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GOBERNACION QUINDIO 2019\PAGINA WEB\SGTO PDD I TRIMESTRE 2019\SGTO I TRIMESTRE 2019\"/>
    </mc:Choice>
  </mc:AlternateContent>
  <bookViews>
    <workbookView xWindow="0" yWindow="0" windowWidth="24000" windowHeight="9135" firstSheet="10" activeTab="10"/>
  </bookViews>
  <sheets>
    <sheet name="SGTO PA ADMINISTRATIVA" sheetId="1" r:id="rId1"/>
    <sheet name="SGTO PA PLANEACION" sheetId="11" r:id="rId2"/>
    <sheet name="SGTO PA HACIENDA" sheetId="6" r:id="rId3"/>
    <sheet name="SGTO PA AGUAS INFRA" sheetId="9" r:id="rId4"/>
    <sheet name="SGTO PA INTERIOR" sheetId="10" r:id="rId5"/>
    <sheet name="SGTO PA CULTURA" sheetId="3" r:id="rId6"/>
    <sheet name="SGTO PA TURISMO" sheetId="17" r:id="rId7"/>
    <sheet name="SGTO PA AGRICULTURA" sheetId="2" r:id="rId8"/>
    <sheet name="SGTO PA PRIVADA" sheetId="13" r:id="rId9"/>
    <sheet name="SGTO PA EDUCACION" sheetId="4" r:id="rId10"/>
    <sheet name="SGTO PA FAMILIA" sheetId="18" r:id="rId11"/>
    <sheet name="SGTO PA REPR JUDICIAL" sheetId="15" r:id="rId12"/>
    <sheet name="SGTO PS SALUD" sheetId="16" r:id="rId13"/>
    <sheet name="SGTO PA INDEPORTES" sheetId="8" r:id="rId14"/>
    <sheet name="SGTO PA PROMOTORA" sheetId="14" r:id="rId15"/>
    <sheet name="SGTO PA IDTQ" sheetId="7" r:id="rId16"/>
  </sheets>
  <externalReferences>
    <externalReference r:id="rId17"/>
    <externalReference r:id="rId18"/>
    <externalReference r:id="rId19"/>
    <externalReference r:id="rId20"/>
  </externalReferences>
  <definedNames>
    <definedName name="_1._Apoyo_con_equipos_para_la_seguridad_vial_Licenciamiento_de_software_para_comunicaciones" localSheetId="7">#REF!</definedName>
    <definedName name="_1._Apoyo_con_equipos_para_la_seguridad_vial_Licenciamiento_de_software_para_comunicaciones" localSheetId="3">#REF!</definedName>
    <definedName name="_1._Apoyo_con_equipos_para_la_seguridad_vial_Licenciamiento_de_software_para_comunicaciones" localSheetId="5">#REF!</definedName>
    <definedName name="_1._Apoyo_con_equipos_para_la_seguridad_vial_Licenciamiento_de_software_para_comunicaciones" localSheetId="9">#REF!</definedName>
    <definedName name="_1._Apoyo_con_equipos_para_la_seguridad_vial_Licenciamiento_de_software_para_comunicaciones" localSheetId="10">#REF!</definedName>
    <definedName name="_1._Apoyo_con_equipos_para_la_seguridad_vial_Licenciamiento_de_software_para_comunicaciones" localSheetId="2">#REF!</definedName>
    <definedName name="_1._Apoyo_con_equipos_para_la_seguridad_vial_Licenciamiento_de_software_para_comunicaciones" localSheetId="15">#REF!</definedName>
    <definedName name="_1._Apoyo_con_equipos_para_la_seguridad_vial_Licenciamiento_de_software_para_comunicaciones" localSheetId="13">#REF!</definedName>
    <definedName name="_1._Apoyo_con_equipos_para_la_seguridad_vial_Licenciamiento_de_software_para_comunicaciones" localSheetId="4">#REF!</definedName>
    <definedName name="_1._Apoyo_con_equipos_para_la_seguridad_vial_Licenciamiento_de_software_para_comunicaciones" localSheetId="1">#REF!</definedName>
    <definedName name="_1._Apoyo_con_equipos_para_la_seguridad_vial_Licenciamiento_de_software_para_comunicaciones" localSheetId="8">#REF!</definedName>
    <definedName name="_1._Apoyo_con_equipos_para_la_seguridad_vial_Licenciamiento_de_software_para_comunicaciones" localSheetId="14">#REF!</definedName>
    <definedName name="_1._Apoyo_con_equipos_para_la_seguridad_vial_Licenciamiento_de_software_para_comunicaciones" localSheetId="11">#REF!</definedName>
    <definedName name="_1._Apoyo_con_equipos_para_la_seguridad_vial_Licenciamiento_de_software_para_comunicaciones" localSheetId="6">#REF!</definedName>
    <definedName name="_1._Apoyo_con_equipos_para_la_seguridad_vial_Licenciamiento_de_software_para_comunicaciones" localSheetId="12">#REF!</definedName>
    <definedName name="_1._Apoyo_con_equipos_para_la_seguridad_vial_Licenciamiento_de_software_para_comunicaciones">#REF!</definedName>
    <definedName name="_xlnm._FilterDatabase" localSheetId="9" hidden="1">'SGTO PA EDUCACION'!$A$11:$CL$11</definedName>
    <definedName name="_xlnm._FilterDatabase" localSheetId="1" hidden="1">'SGTO PA PLANEACION'!$A$1:$BR$149</definedName>
    <definedName name="_xlnm.Print_Area" localSheetId="1">'SGTO PA PLANEACION'!$A$1:$BR$11</definedName>
    <definedName name="_xlnm.Print_Area" localSheetId="14">'SGTO PA PROMOTORA'!$A$1:$BR$57</definedName>
    <definedName name="CODIGO_DIVIPOLA" localSheetId="7">#REF!</definedName>
    <definedName name="CODIGO_DIVIPOLA" localSheetId="3">#REF!</definedName>
    <definedName name="CODIGO_DIVIPOLA" localSheetId="5">#REF!</definedName>
    <definedName name="CODIGO_DIVIPOLA" localSheetId="9">#REF!</definedName>
    <definedName name="CODIGO_DIVIPOLA" localSheetId="10">#REF!</definedName>
    <definedName name="CODIGO_DIVIPOLA" localSheetId="2">#REF!</definedName>
    <definedName name="CODIGO_DIVIPOLA" localSheetId="15">#REF!</definedName>
    <definedName name="CODIGO_DIVIPOLA" localSheetId="13">#REF!</definedName>
    <definedName name="CODIGO_DIVIPOLA" localSheetId="4">#REF!</definedName>
    <definedName name="CODIGO_DIVIPOLA" localSheetId="1">#REF!</definedName>
    <definedName name="CODIGO_DIVIPOLA" localSheetId="8">#REF!</definedName>
    <definedName name="CODIGO_DIVIPOLA" localSheetId="14">#REF!</definedName>
    <definedName name="CODIGO_DIVIPOLA" localSheetId="11">#REF!</definedName>
    <definedName name="CODIGO_DIVIPOLA" localSheetId="6">#REF!</definedName>
    <definedName name="CODIGO_DIVIPOLA" localSheetId="12">#REF!</definedName>
    <definedName name="CODIGO_DIVIPOLA">#REF!</definedName>
    <definedName name="DboREGISTRO_LEY_617" localSheetId="7">#REF!</definedName>
    <definedName name="DboREGISTRO_LEY_617" localSheetId="3">#REF!</definedName>
    <definedName name="DboREGISTRO_LEY_617" localSheetId="5">#REF!</definedName>
    <definedName name="DboREGISTRO_LEY_617" localSheetId="9">#REF!</definedName>
    <definedName name="DboREGISTRO_LEY_617" localSheetId="10">#REF!</definedName>
    <definedName name="DboREGISTRO_LEY_617" localSheetId="2">#REF!</definedName>
    <definedName name="DboREGISTRO_LEY_617" localSheetId="15">#REF!</definedName>
    <definedName name="DboREGISTRO_LEY_617" localSheetId="13">#REF!</definedName>
    <definedName name="DboREGISTRO_LEY_617" localSheetId="4">#REF!</definedName>
    <definedName name="DboREGISTRO_LEY_617" localSheetId="1">#REF!</definedName>
    <definedName name="DboREGISTRO_LEY_617" localSheetId="8">#REF!</definedName>
    <definedName name="DboREGISTRO_LEY_617" localSheetId="14">#REF!</definedName>
    <definedName name="DboREGISTRO_LEY_617" localSheetId="11">#REF!</definedName>
    <definedName name="DboREGISTRO_LEY_617" localSheetId="6">#REF!</definedName>
    <definedName name="DboREGISTRO_LEY_617" localSheetId="12">#REF!</definedName>
    <definedName name="DboREGISTRO_LEY_617">#REF!</definedName>
    <definedName name="ññ" localSheetId="7">#REF!</definedName>
    <definedName name="ññ" localSheetId="3">#REF!</definedName>
    <definedName name="ññ" localSheetId="5">#REF!</definedName>
    <definedName name="ññ" localSheetId="9">#REF!</definedName>
    <definedName name="ññ" localSheetId="10">#REF!</definedName>
    <definedName name="ññ" localSheetId="2">#REF!</definedName>
    <definedName name="ññ" localSheetId="15">#REF!</definedName>
    <definedName name="ññ" localSheetId="13">#REF!</definedName>
    <definedName name="ññ" localSheetId="4">#REF!</definedName>
    <definedName name="ññ" localSheetId="1">#REF!</definedName>
    <definedName name="ññ" localSheetId="8">#REF!</definedName>
    <definedName name="ññ" localSheetId="14">#REF!</definedName>
    <definedName name="ññ" localSheetId="11">#REF!</definedName>
    <definedName name="ññ" localSheetId="6">#REF!</definedName>
    <definedName name="ññ" localSheetId="12">#REF!</definedName>
    <definedName name="ññ">#REF!</definedName>
    <definedName name="_xlnm.Print_Titles" localSheetId="1">'SGTO PA PLANEACION'!$1:$7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34" i="18" l="1"/>
  <c r="V133" i="18"/>
  <c r="T133" i="18"/>
  <c r="T131" i="18"/>
  <c r="V129" i="18"/>
  <c r="T126" i="18"/>
  <c r="P122" i="18" s="1"/>
  <c r="V125" i="18"/>
  <c r="T125" i="18"/>
  <c r="BF122" i="18"/>
  <c r="BD122" i="18"/>
  <c r="BC122" i="18"/>
  <c r="AB122" i="18"/>
  <c r="Z122" i="18"/>
  <c r="BG107" i="18"/>
  <c r="BH107" i="18" s="1"/>
  <c r="BF107" i="18"/>
  <c r="BD107" i="18"/>
  <c r="BH102" i="18"/>
  <c r="BD102" i="18"/>
  <c r="BC102" i="18"/>
  <c r="AN102" i="18"/>
  <c r="AM102" i="18"/>
  <c r="BH100" i="18"/>
  <c r="BD100" i="18"/>
  <c r="BC100" i="18"/>
  <c r="AL100" i="18"/>
  <c r="AK100" i="18"/>
  <c r="BC97" i="18"/>
  <c r="BH95" i="18"/>
  <c r="BD95" i="18"/>
  <c r="BC95" i="18"/>
  <c r="T87" i="18"/>
  <c r="T80" i="18"/>
  <c r="BH76" i="18"/>
  <c r="BG76" i="18"/>
  <c r="BF76" i="18"/>
  <c r="P76" i="18"/>
  <c r="T74" i="18"/>
  <c r="V68" i="18"/>
  <c r="T66" i="18"/>
  <c r="T65" i="18"/>
  <c r="V64" i="18"/>
  <c r="T63" i="18"/>
  <c r="P59" i="18" s="1"/>
  <c r="O59" i="18" s="1"/>
  <c r="T62" i="18"/>
  <c r="BD60" i="18"/>
  <c r="BG59" i="18"/>
  <c r="BH59" i="18" s="1"/>
  <c r="BF59" i="18"/>
  <c r="BC59" i="18"/>
  <c r="BG45" i="18"/>
  <c r="BH45" i="18" s="1"/>
  <c r="BF45" i="18"/>
  <c r="BD45" i="18"/>
  <c r="P45" i="18"/>
  <c r="O54" i="18" s="1"/>
  <c r="O45" i="18"/>
  <c r="T42" i="18"/>
  <c r="T41" i="18"/>
  <c r="T37" i="18"/>
  <c r="T35" i="18"/>
  <c r="T33" i="18"/>
  <c r="T32" i="18"/>
  <c r="P31" i="18" s="1"/>
  <c r="BG31" i="18"/>
  <c r="BH31" i="18" s="1"/>
  <c r="BF31" i="18"/>
  <c r="BD31" i="18"/>
  <c r="BC31" i="18"/>
  <c r="T31" i="18"/>
  <c r="T26" i="18"/>
  <c r="T25" i="18"/>
  <c r="T24" i="18"/>
  <c r="T134" i="18" s="1"/>
  <c r="BH23" i="18"/>
  <c r="BG23" i="18"/>
  <c r="BF23" i="18"/>
  <c r="BD23" i="18"/>
  <c r="BC23" i="18"/>
  <c r="AJ23" i="18"/>
  <c r="O17" i="18"/>
  <c r="BG13" i="18"/>
  <c r="BH13" i="18" s="1"/>
  <c r="BF13" i="18"/>
  <c r="BF134" i="18" s="1"/>
  <c r="BD13" i="18"/>
  <c r="BC13" i="18"/>
  <c r="AH13" i="18"/>
  <c r="P13" i="18"/>
  <c r="O13" i="18"/>
  <c r="V134" i="18" l="1"/>
  <c r="O130" i="18"/>
  <c r="O38" i="18"/>
  <c r="O41" i="18"/>
  <c r="O31" i="18"/>
  <c r="O129" i="18"/>
  <c r="O132" i="18"/>
  <c r="O122" i="18"/>
  <c r="V131" i="18"/>
  <c r="BG122" i="18" s="1"/>
  <c r="BG134" i="18" s="1"/>
  <c r="P23" i="18"/>
  <c r="O23" i="18" s="1"/>
  <c r="O51" i="18"/>
  <c r="R26" i="1"/>
  <c r="R25" i="1"/>
  <c r="Y87" i="17" l="1"/>
  <c r="Y85" i="17"/>
  <c r="X85" i="17"/>
  <c r="W85" i="17"/>
  <c r="Y84" i="17"/>
  <c r="X84" i="17"/>
  <c r="W84" i="17"/>
  <c r="S82" i="17" s="1"/>
  <c r="R82" i="17" s="1"/>
  <c r="Y83" i="17"/>
  <c r="X83" i="17"/>
  <c r="W83" i="17"/>
  <c r="BF82" i="17"/>
  <c r="Y82" i="17"/>
  <c r="BJ82" i="17" s="1"/>
  <c r="X82" i="17"/>
  <c r="BI82" i="17" s="1"/>
  <c r="W82" i="17"/>
  <c r="X71" i="17"/>
  <c r="BJ69" i="17"/>
  <c r="BK69" i="17" s="1"/>
  <c r="BI69" i="17"/>
  <c r="BF69" i="17"/>
  <c r="S69" i="17"/>
  <c r="R69" i="17"/>
  <c r="X66" i="17"/>
  <c r="W66" i="17"/>
  <c r="AM65" i="17"/>
  <c r="AI65" i="17"/>
  <c r="AG65" i="17"/>
  <c r="BJ63" i="17"/>
  <c r="BJ87" i="17" s="1"/>
  <c r="BI63" i="17"/>
  <c r="BI87" i="17" s="1"/>
  <c r="BG63" i="17"/>
  <c r="BF63" i="17"/>
  <c r="AK63" i="17"/>
  <c r="AE63" i="17"/>
  <c r="AC63" i="17"/>
  <c r="Y63" i="17"/>
  <c r="X63" i="17"/>
  <c r="X87" i="17" s="1"/>
  <c r="W63" i="17"/>
  <c r="S63" i="17" s="1"/>
  <c r="BK58" i="17"/>
  <c r="W58" i="17"/>
  <c r="R58" i="17" s="1"/>
  <c r="BK55" i="17"/>
  <c r="W55" i="17"/>
  <c r="W53" i="17"/>
  <c r="BK52" i="17"/>
  <c r="BG52" i="17"/>
  <c r="S52" i="17"/>
  <c r="R55" i="17" s="1"/>
  <c r="W48" i="17"/>
  <c r="BK47" i="17"/>
  <c r="BK43" i="17"/>
  <c r="BK39" i="17"/>
  <c r="W34" i="17"/>
  <c r="BK33" i="17"/>
  <c r="BG33" i="17"/>
  <c r="S33" i="17"/>
  <c r="R43" i="17" s="1"/>
  <c r="BK29" i="17"/>
  <c r="BK26" i="17"/>
  <c r="W24" i="17"/>
  <c r="R23" i="17" s="1"/>
  <c r="BG23" i="17"/>
  <c r="S23" i="17"/>
  <c r="R26" i="17" s="1"/>
  <c r="BK17" i="17"/>
  <c r="W14" i="17"/>
  <c r="W87" i="17" s="1"/>
  <c r="BG13" i="17"/>
  <c r="R66" i="17" l="1"/>
  <c r="R63" i="17"/>
  <c r="BK82" i="17"/>
  <c r="R39" i="17"/>
  <c r="R29" i="17"/>
  <c r="R33" i="17"/>
  <c r="R52" i="17"/>
  <c r="R47" i="17"/>
  <c r="S13" i="17"/>
  <c r="R17" i="17" s="1"/>
  <c r="BK63" i="17"/>
  <c r="Y297" i="16"/>
  <c r="W297" i="16"/>
  <c r="R291" i="16"/>
  <c r="BK290" i="16"/>
  <c r="BJ290" i="16"/>
  <c r="BI290" i="16"/>
  <c r="R287" i="16"/>
  <c r="BK284" i="16"/>
  <c r="BJ284" i="16"/>
  <c r="BI284" i="16"/>
  <c r="BG284" i="16"/>
  <c r="BE284" i="16"/>
  <c r="BC284" i="16"/>
  <c r="BA284" i="16"/>
  <c r="AU284" i="16"/>
  <c r="AS284" i="16"/>
  <c r="AQ284" i="16"/>
  <c r="AO284" i="16"/>
  <c r="AI284" i="16"/>
  <c r="AG284" i="16"/>
  <c r="AE284" i="16"/>
  <c r="AC284" i="16"/>
  <c r="R284" i="16"/>
  <c r="R282" i="16"/>
  <c r="BJ275" i="16"/>
  <c r="BI275" i="16"/>
  <c r="BK275" i="16" s="1"/>
  <c r="BG275" i="16"/>
  <c r="BE275" i="16"/>
  <c r="BC275" i="16"/>
  <c r="BA275" i="16"/>
  <c r="AU275" i="16"/>
  <c r="AS275" i="16"/>
  <c r="AQ275" i="16"/>
  <c r="AO275" i="16"/>
  <c r="AI275" i="16"/>
  <c r="AG275" i="16"/>
  <c r="AE275" i="16"/>
  <c r="AC275" i="16"/>
  <c r="R275" i="16"/>
  <c r="BJ268" i="16"/>
  <c r="BI268" i="16"/>
  <c r="BK268" i="16" s="1"/>
  <c r="BG268" i="16"/>
  <c r="BE268" i="16"/>
  <c r="BC268" i="16"/>
  <c r="BA268" i="16"/>
  <c r="AU268" i="16"/>
  <c r="AS268" i="16"/>
  <c r="AQ268" i="16"/>
  <c r="AO268" i="16"/>
  <c r="AM268" i="16"/>
  <c r="AI268" i="16"/>
  <c r="AG268" i="16"/>
  <c r="AE268" i="16"/>
  <c r="AC268" i="16"/>
  <c r="BK263" i="16"/>
  <c r="BJ263" i="16"/>
  <c r="BI263" i="16"/>
  <c r="BE263" i="16"/>
  <c r="BC263" i="16"/>
  <c r="BA263" i="16"/>
  <c r="AU263" i="16"/>
  <c r="AS263" i="16"/>
  <c r="AQ263" i="16"/>
  <c r="AO263" i="16"/>
  <c r="AM263" i="16"/>
  <c r="AI263" i="16"/>
  <c r="AG263" i="16"/>
  <c r="AE263" i="16"/>
  <c r="AC263" i="16"/>
  <c r="BK259" i="16"/>
  <c r="BJ259" i="16"/>
  <c r="BI259" i="16"/>
  <c r="BG259" i="16"/>
  <c r="BE259" i="16"/>
  <c r="BC259" i="16"/>
  <c r="BA259" i="16"/>
  <c r="AU259" i="16"/>
  <c r="AS259" i="16"/>
  <c r="AQ259" i="16"/>
  <c r="AO259" i="16"/>
  <c r="AM259" i="16"/>
  <c r="AI259" i="16"/>
  <c r="AG259" i="16"/>
  <c r="AE259" i="16"/>
  <c r="AC259" i="16"/>
  <c r="BK250" i="16"/>
  <c r="BJ250" i="16"/>
  <c r="BI250" i="16"/>
  <c r="BG250" i="16"/>
  <c r="BE250" i="16"/>
  <c r="BC250" i="16"/>
  <c r="BA250" i="16"/>
  <c r="AU250" i="16"/>
  <c r="AS250" i="16"/>
  <c r="AQ250" i="16"/>
  <c r="AO250" i="16"/>
  <c r="AI250" i="16"/>
  <c r="AG250" i="16"/>
  <c r="AE250" i="16"/>
  <c r="AC250" i="16"/>
  <c r="R246" i="16"/>
  <c r="R243" i="16"/>
  <c r="BJ240" i="16"/>
  <c r="BI240" i="16"/>
  <c r="BK240" i="16" s="1"/>
  <c r="BG240" i="16"/>
  <c r="BE240" i="16"/>
  <c r="BC240" i="16"/>
  <c r="BA240" i="16"/>
  <c r="AU240" i="16"/>
  <c r="AS240" i="16"/>
  <c r="AQ240" i="16"/>
  <c r="AO240" i="16"/>
  <c r="AI240" i="16"/>
  <c r="AG240" i="16"/>
  <c r="AE240" i="16"/>
  <c r="AC240" i="16"/>
  <c r="R240" i="16"/>
  <c r="X233" i="16"/>
  <c r="R233" i="16"/>
  <c r="BJ229" i="16"/>
  <c r="BK229" i="16" s="1"/>
  <c r="BI229" i="16"/>
  <c r="BG229" i="16"/>
  <c r="BE229" i="16"/>
  <c r="BC229" i="16"/>
  <c r="BA229" i="16"/>
  <c r="AU229" i="16"/>
  <c r="AS229" i="16"/>
  <c r="AQ229" i="16"/>
  <c r="AO229" i="16"/>
  <c r="AI229" i="16"/>
  <c r="AG229" i="16"/>
  <c r="AE229" i="16"/>
  <c r="AC229" i="16"/>
  <c r="R229" i="16"/>
  <c r="BJ221" i="16"/>
  <c r="BK221" i="16" s="1"/>
  <c r="BI221" i="16"/>
  <c r="BG221" i="16"/>
  <c r="BE221" i="16"/>
  <c r="BC221" i="16"/>
  <c r="BA221" i="16"/>
  <c r="AU221" i="16"/>
  <c r="AS221" i="16"/>
  <c r="AQ221" i="16"/>
  <c r="AO221" i="16"/>
  <c r="AL221" i="16"/>
  <c r="AM221" i="16" s="1"/>
  <c r="AK221" i="16"/>
  <c r="AJ221" i="16"/>
  <c r="AI221" i="16"/>
  <c r="AG221" i="16"/>
  <c r="AE221" i="16"/>
  <c r="AC221" i="16"/>
  <c r="S221" i="16"/>
  <c r="BJ215" i="16"/>
  <c r="BK215" i="16" s="1"/>
  <c r="BI215" i="16"/>
  <c r="BG215" i="16"/>
  <c r="BE215" i="16"/>
  <c r="BC215" i="16"/>
  <c r="BA215" i="16"/>
  <c r="AU215" i="16"/>
  <c r="AS215" i="16"/>
  <c r="AQ215" i="16"/>
  <c r="AO215" i="16"/>
  <c r="AM215" i="16"/>
  <c r="AK215" i="16"/>
  <c r="AI215" i="16"/>
  <c r="AG215" i="16"/>
  <c r="AE215" i="16"/>
  <c r="AC215" i="16"/>
  <c r="S215" i="16"/>
  <c r="R206" i="16"/>
  <c r="R200" i="16"/>
  <c r="R192" i="16"/>
  <c r="BK186" i="16"/>
  <c r="BJ186" i="16"/>
  <c r="BI186" i="16"/>
  <c r="BG186" i="16"/>
  <c r="BE186" i="16"/>
  <c r="BC186" i="16"/>
  <c r="BA186" i="16"/>
  <c r="AU186" i="16"/>
  <c r="AS186" i="16"/>
  <c r="AQ186" i="16"/>
  <c r="AO186" i="16"/>
  <c r="AE186" i="16"/>
  <c r="AC186" i="16"/>
  <c r="R186" i="16"/>
  <c r="Y178" i="16"/>
  <c r="X178" i="16"/>
  <c r="R177" i="16"/>
  <c r="R176" i="16"/>
  <c r="Y175" i="16"/>
  <c r="X175" i="16"/>
  <c r="BI172" i="16" s="1"/>
  <c r="BK172" i="16" s="1"/>
  <c r="BJ172" i="16"/>
  <c r="BG172" i="16"/>
  <c r="BE172" i="16"/>
  <c r="BC172" i="16"/>
  <c r="BA172" i="16"/>
  <c r="AU172" i="16"/>
  <c r="AS172" i="16"/>
  <c r="AQ172" i="16"/>
  <c r="AO172" i="16"/>
  <c r="AI172" i="16"/>
  <c r="AG172" i="16"/>
  <c r="AE172" i="16"/>
  <c r="AC172" i="16"/>
  <c r="R172" i="16"/>
  <c r="R166" i="16"/>
  <c r="BJ160" i="16"/>
  <c r="BI160" i="16"/>
  <c r="BK160" i="16" s="1"/>
  <c r="BG160" i="16"/>
  <c r="BE160" i="16"/>
  <c r="BC160" i="16"/>
  <c r="BA160" i="16"/>
  <c r="AU160" i="16"/>
  <c r="AS160" i="16"/>
  <c r="AQ160" i="16"/>
  <c r="AO160" i="16"/>
  <c r="AI160" i="16"/>
  <c r="AG160" i="16"/>
  <c r="AE160" i="16"/>
  <c r="AC160" i="16"/>
  <c r="R160" i="16"/>
  <c r="BJ152" i="16"/>
  <c r="BI152" i="16"/>
  <c r="BK152" i="16" s="1"/>
  <c r="R152" i="16"/>
  <c r="X149" i="16"/>
  <c r="X148" i="16"/>
  <c r="X147" i="16"/>
  <c r="X146" i="16"/>
  <c r="X145" i="16"/>
  <c r="X144" i="16"/>
  <c r="X143" i="16"/>
  <c r="X142" i="16"/>
  <c r="X141" i="16"/>
  <c r="X139" i="16"/>
  <c r="X138" i="16"/>
  <c r="X135" i="16"/>
  <c r="X297" i="16" s="1"/>
  <c r="X132" i="16"/>
  <c r="X131" i="16"/>
  <c r="X130" i="16"/>
  <c r="BJ128" i="16"/>
  <c r="BG128" i="16"/>
  <c r="BE128" i="16"/>
  <c r="BC128" i="16"/>
  <c r="BA128" i="16"/>
  <c r="AU128" i="16"/>
  <c r="AS128" i="16"/>
  <c r="AQ128" i="16"/>
  <c r="AO128" i="16"/>
  <c r="AI128" i="16"/>
  <c r="AG128" i="16"/>
  <c r="AE128" i="16"/>
  <c r="AC128" i="16"/>
  <c r="X128" i="16"/>
  <c r="BI128" i="16" s="1"/>
  <c r="BK128" i="16" s="1"/>
  <c r="S128" i="16"/>
  <c r="R120" i="16"/>
  <c r="BJ106" i="16"/>
  <c r="BK106" i="16" s="1"/>
  <c r="BI106" i="16"/>
  <c r="BG106" i="16"/>
  <c r="BE106" i="16"/>
  <c r="BC106" i="16"/>
  <c r="BA106" i="16"/>
  <c r="AU106" i="16"/>
  <c r="AS106" i="16"/>
  <c r="AQ106" i="16"/>
  <c r="AO106" i="16"/>
  <c r="AM106" i="16"/>
  <c r="AK106" i="16"/>
  <c r="AI106" i="16"/>
  <c r="AG106" i="16"/>
  <c r="AE106" i="16"/>
  <c r="AC106" i="16"/>
  <c r="R106" i="16"/>
  <c r="R102" i="16"/>
  <c r="BJ98" i="16"/>
  <c r="BI98" i="16"/>
  <c r="BK98" i="16" s="1"/>
  <c r="AG98" i="16"/>
  <c r="S98" i="16"/>
  <c r="R98" i="16" s="1"/>
  <c r="BJ86" i="16"/>
  <c r="BI86" i="16"/>
  <c r="BK86" i="16" s="1"/>
  <c r="S86" i="16"/>
  <c r="R86" i="16" s="1"/>
  <c r="BK66" i="16"/>
  <c r="BJ66" i="16"/>
  <c r="BI66" i="16"/>
  <c r="S66" i="16"/>
  <c r="R80" i="16" s="1"/>
  <c r="R66" i="16"/>
  <c r="BK39" i="16"/>
  <c r="BJ39" i="16"/>
  <c r="BI39" i="16"/>
  <c r="S39" i="16"/>
  <c r="R60" i="16" s="1"/>
  <c r="R39" i="16"/>
  <c r="R35" i="16"/>
  <c r="BJ34" i="16"/>
  <c r="BK34" i="16" s="1"/>
  <c r="BI34" i="16"/>
  <c r="BG34" i="16"/>
  <c r="BE34" i="16"/>
  <c r="BC34" i="16"/>
  <c r="BA34" i="16"/>
  <c r="AW34" i="16"/>
  <c r="AU34" i="16"/>
  <c r="AS34" i="16"/>
  <c r="AQ34" i="16"/>
  <c r="AO34" i="16"/>
  <c r="AM34" i="16"/>
  <c r="AK34" i="16"/>
  <c r="AI34" i="16"/>
  <c r="AG34" i="16"/>
  <c r="AE34" i="16"/>
  <c r="AC34" i="16"/>
  <c r="R34" i="16"/>
  <c r="R25" i="16"/>
  <c r="R20" i="16"/>
  <c r="BJ13" i="16"/>
  <c r="BJ297" i="16" s="1"/>
  <c r="BI13" i="16"/>
  <c r="BG13" i="16"/>
  <c r="BF13" i="16"/>
  <c r="BE13" i="16"/>
  <c r="BD13" i="16"/>
  <c r="BC13" i="16"/>
  <c r="BB13" i="16"/>
  <c r="BA13" i="16"/>
  <c r="AZ13" i="16"/>
  <c r="AY13" i="16"/>
  <c r="AX13" i="16"/>
  <c r="AW13" i="16"/>
  <c r="AV13" i="16"/>
  <c r="AU13" i="16"/>
  <c r="AT13" i="16"/>
  <c r="AS13" i="16"/>
  <c r="AR13" i="16"/>
  <c r="AQ13" i="16"/>
  <c r="AP13" i="16"/>
  <c r="AO13" i="16"/>
  <c r="AN13" i="16"/>
  <c r="AM13" i="16"/>
  <c r="AL13" i="16"/>
  <c r="AK13" i="16"/>
  <c r="AJ13" i="16"/>
  <c r="AI13" i="16"/>
  <c r="AH13" i="16"/>
  <c r="AG13" i="16"/>
  <c r="AF13" i="16"/>
  <c r="AE13" i="16"/>
  <c r="AD13" i="16"/>
  <c r="AC13" i="16"/>
  <c r="AB13" i="16"/>
  <c r="R13" i="16"/>
  <c r="R13" i="17" l="1"/>
  <c r="BI297" i="16"/>
  <c r="R90" i="16"/>
  <c r="BK13" i="16"/>
  <c r="R43" i="16"/>
  <c r="R75" i="16"/>
  <c r="R48" i="16"/>
  <c r="S297" i="16"/>
  <c r="R94" i="16"/>
  <c r="Y23" i="15" l="1"/>
  <c r="X23" i="15"/>
  <c r="W23" i="15"/>
  <c r="BG19" i="15"/>
  <c r="BF19" i="15"/>
  <c r="Y26" i="14" l="1"/>
  <c r="X26" i="14"/>
  <c r="W26" i="14"/>
  <c r="BF25" i="14"/>
  <c r="BF24" i="14"/>
  <c r="S24" i="14"/>
  <c r="BF23" i="14"/>
  <c r="S23" i="14"/>
  <c r="BF22" i="14"/>
  <c r="S22" i="14"/>
  <c r="BJ21" i="14"/>
  <c r="BJ26" i="14" s="1"/>
  <c r="BI21" i="14"/>
  <c r="BI26" i="14" s="1"/>
  <c r="BF21" i="14"/>
  <c r="S21" i="14"/>
  <c r="BK19" i="14"/>
  <c r="S19" i="14"/>
  <c r="S26" i="14" s="1"/>
  <c r="R23" i="14" l="1"/>
  <c r="R22" i="14"/>
  <c r="R24" i="14"/>
  <c r="R21" i="14"/>
  <c r="R19" i="14"/>
  <c r="BK21" i="14"/>
  <c r="R26" i="14" l="1"/>
  <c r="W25" i="13" l="1"/>
  <c r="V25" i="13"/>
  <c r="U24" i="13"/>
  <c r="U21" i="13"/>
  <c r="Q20" i="13" s="1"/>
  <c r="P20" i="13" s="1"/>
  <c r="BI20" i="13"/>
  <c r="BD20" i="13"/>
  <c r="BH17" i="13"/>
  <c r="BH25" i="13" s="1"/>
  <c r="BG17" i="13"/>
  <c r="BG25" i="13" s="1"/>
  <c r="BD17" i="13"/>
  <c r="Q17" i="13"/>
  <c r="P17" i="13" s="1"/>
  <c r="U16" i="13"/>
  <c r="U14" i="13"/>
  <c r="U25" i="13" s="1"/>
  <c r="BI13" i="13"/>
  <c r="BD13" i="13"/>
  <c r="BI25" i="13" l="1"/>
  <c r="Q13" i="13"/>
  <c r="BI17" i="13"/>
  <c r="Q25" i="13" l="1"/>
  <c r="P13" i="13"/>
  <c r="BH149" i="11"/>
  <c r="X149" i="11"/>
  <c r="W145" i="11"/>
  <c r="R144" i="11" s="1"/>
  <c r="W141" i="11"/>
  <c r="W138" i="11"/>
  <c r="W131" i="11"/>
  <c r="W129" i="11"/>
  <c r="R128" i="11" s="1"/>
  <c r="BK128" i="11"/>
  <c r="BJ128" i="11"/>
  <c r="BI128" i="11"/>
  <c r="BF128" i="11"/>
  <c r="S128" i="11"/>
  <c r="R143" i="11" s="1"/>
  <c r="W126" i="11"/>
  <c r="W125" i="11"/>
  <c r="S116" i="11" s="1"/>
  <c r="BK116" i="11"/>
  <c r="BJ116" i="11"/>
  <c r="BI116" i="11"/>
  <c r="BF116" i="11"/>
  <c r="BB116" i="11"/>
  <c r="W115" i="11"/>
  <c r="W113" i="11"/>
  <c r="W112" i="11"/>
  <c r="W110" i="11"/>
  <c r="W108" i="11"/>
  <c r="W106" i="11"/>
  <c r="W101" i="11"/>
  <c r="S97" i="11" s="1"/>
  <c r="W100" i="11"/>
  <c r="BJ97" i="11"/>
  <c r="BK97" i="11" s="1"/>
  <c r="BI97" i="11"/>
  <c r="BF97" i="11"/>
  <c r="W96" i="11"/>
  <c r="W94" i="11"/>
  <c r="S91" i="11" s="1"/>
  <c r="W92" i="11"/>
  <c r="BJ91" i="11"/>
  <c r="BI91" i="11"/>
  <c r="BF91" i="11"/>
  <c r="W90" i="11"/>
  <c r="W89" i="11"/>
  <c r="W87" i="11"/>
  <c r="S82" i="11" s="1"/>
  <c r="W85" i="11"/>
  <c r="W83" i="11"/>
  <c r="BJ82" i="11"/>
  <c r="BK82" i="11" s="1"/>
  <c r="BI82" i="11"/>
  <c r="BF82" i="11"/>
  <c r="W81" i="11"/>
  <c r="W79" i="11"/>
  <c r="W74" i="11"/>
  <c r="W73" i="11"/>
  <c r="W72" i="11"/>
  <c r="W71" i="11"/>
  <c r="W70" i="11"/>
  <c r="W69" i="11"/>
  <c r="W68" i="11"/>
  <c r="S67" i="11" s="1"/>
  <c r="BJ67" i="11"/>
  <c r="BK67" i="11" s="1"/>
  <c r="BI67" i="11"/>
  <c r="BF67" i="11"/>
  <c r="W67" i="11"/>
  <c r="W64" i="11"/>
  <c r="W63" i="11"/>
  <c r="W62" i="11"/>
  <c r="W61" i="11"/>
  <c r="W60" i="11"/>
  <c r="S53" i="11" s="1"/>
  <c r="W58" i="11"/>
  <c r="W57" i="11"/>
  <c r="W149" i="11" s="1"/>
  <c r="BJ53" i="11"/>
  <c r="BK53" i="11" s="1"/>
  <c r="BI53" i="11"/>
  <c r="BF53" i="11"/>
  <c r="BJ35" i="11"/>
  <c r="BI35" i="11"/>
  <c r="BF35" i="11"/>
  <c r="S35" i="11"/>
  <c r="Y29" i="11"/>
  <c r="Y28" i="11"/>
  <c r="Y27" i="11"/>
  <c r="Y26" i="11"/>
  <c r="Y25" i="11"/>
  <c r="Y24" i="11"/>
  <c r="Y23" i="11"/>
  <c r="Y22" i="11"/>
  <c r="Y21" i="11"/>
  <c r="Y20" i="11"/>
  <c r="Y19" i="11"/>
  <c r="Y18" i="11"/>
  <c r="Y17" i="11"/>
  <c r="Y149" i="11" s="1"/>
  <c r="Y15" i="11"/>
  <c r="BI12" i="11"/>
  <c r="BI149" i="11" s="1"/>
  <c r="BF12" i="11"/>
  <c r="S12" i="11"/>
  <c r="R78" i="11" l="1"/>
  <c r="R77" i="11"/>
  <c r="R76" i="11"/>
  <c r="R75" i="11"/>
  <c r="R67" i="11"/>
  <c r="S149" i="11"/>
  <c r="BJ12" i="11"/>
  <c r="R140" i="11"/>
  <c r="R147" i="11"/>
  <c r="R133" i="11"/>
  <c r="R135" i="11"/>
  <c r="R130" i="11"/>
  <c r="R137" i="11"/>
  <c r="BK12" i="11" l="1"/>
  <c r="BJ149" i="11"/>
  <c r="Y173" i="10"/>
  <c r="BJ173" i="10" s="1"/>
  <c r="X173" i="10"/>
  <c r="BI173" i="10" s="1"/>
  <c r="S173" i="10"/>
  <c r="R173" i="10"/>
  <c r="Y169" i="10"/>
  <c r="X169" i="10"/>
  <c r="BI166" i="10" s="1"/>
  <c r="Y166" i="10"/>
  <c r="BJ166" i="10" s="1"/>
  <c r="BK166" i="10" s="1"/>
  <c r="X166" i="10"/>
  <c r="S166" i="10"/>
  <c r="R166" i="10"/>
  <c r="X152" i="10"/>
  <c r="BJ138" i="10"/>
  <c r="BK138" i="10" s="1"/>
  <c r="BI138" i="10"/>
  <c r="S138" i="10"/>
  <c r="R152" i="10" s="1"/>
  <c r="BJ132" i="10"/>
  <c r="BK132" i="10" s="1"/>
  <c r="BI132" i="10"/>
  <c r="S132" i="10"/>
  <c r="R134" i="10" s="1"/>
  <c r="R132" i="10"/>
  <c r="Y129" i="10"/>
  <c r="X129" i="10"/>
  <c r="Y128" i="10"/>
  <c r="X128" i="10"/>
  <c r="Y125" i="10"/>
  <c r="X125" i="10"/>
  <c r="W122" i="10"/>
  <c r="W178" i="10" s="1"/>
  <c r="Y118" i="10"/>
  <c r="X118" i="10"/>
  <c r="BI115" i="10"/>
  <c r="Y115" i="10"/>
  <c r="BJ115" i="10" s="1"/>
  <c r="BK115" i="10" s="1"/>
  <c r="X115" i="10"/>
  <c r="X109" i="10"/>
  <c r="X106" i="10"/>
  <c r="X105" i="10"/>
  <c r="X103" i="10"/>
  <c r="BI102" i="10" s="1"/>
  <c r="BJ102" i="10"/>
  <c r="BK102" i="10" s="1"/>
  <c r="S102" i="10"/>
  <c r="R104" i="10" s="1"/>
  <c r="Y96" i="10"/>
  <c r="X96" i="10"/>
  <c r="X93" i="10"/>
  <c r="BJ92" i="10"/>
  <c r="Y92" i="10"/>
  <c r="X92" i="10"/>
  <c r="BI92" i="10" s="1"/>
  <c r="S92" i="10"/>
  <c r="R94" i="10" s="1"/>
  <c r="Y89" i="10"/>
  <c r="X89" i="10"/>
  <c r="Y86" i="10"/>
  <c r="X86" i="10"/>
  <c r="Y78" i="10"/>
  <c r="X78" i="10"/>
  <c r="Y74" i="10"/>
  <c r="Y178" i="10" s="1"/>
  <c r="X74" i="10"/>
  <c r="X72" i="10"/>
  <c r="Y70" i="10"/>
  <c r="BJ68" i="10" s="1"/>
  <c r="X70" i="10"/>
  <c r="BI68" i="10" s="1"/>
  <c r="S68" i="10"/>
  <c r="R85" i="10" s="1"/>
  <c r="BI51" i="10"/>
  <c r="Y51" i="10"/>
  <c r="BJ51" i="10" s="1"/>
  <c r="BK51" i="10" s="1"/>
  <c r="S51" i="10"/>
  <c r="Y47" i="10"/>
  <c r="X47" i="10"/>
  <c r="R47" i="10"/>
  <c r="Y43" i="10"/>
  <c r="X43" i="10"/>
  <c r="X178" i="10" s="1"/>
  <c r="R20" i="10"/>
  <c r="R16" i="10"/>
  <c r="BJ13" i="10"/>
  <c r="BJ178" i="10" s="1"/>
  <c r="BI13" i="10"/>
  <c r="BI178" i="10" s="1"/>
  <c r="S13" i="10"/>
  <c r="R15" i="10" s="1"/>
  <c r="R13" i="10"/>
  <c r="BJ151" i="11" l="1"/>
  <c r="BK149" i="11"/>
  <c r="BK68" i="10"/>
  <c r="BK173" i="10"/>
  <c r="BK92" i="10"/>
  <c r="R79" i="10"/>
  <c r="R87" i="10"/>
  <c r="R161" i="10"/>
  <c r="BK13" i="10"/>
  <c r="R65" i="10"/>
  <c r="R98" i="10"/>
  <c r="S115" i="10"/>
  <c r="R157" i="10"/>
  <c r="R51" i="10"/>
  <c r="R68" i="10"/>
  <c r="R92" i="10"/>
  <c r="R102" i="10"/>
  <c r="R138" i="10"/>
  <c r="R158" i="10"/>
  <c r="R58" i="10"/>
  <c r="R77" i="10"/>
  <c r="BI58" i="9"/>
  <c r="BH58" i="9"/>
  <c r="Y58" i="9"/>
  <c r="X58" i="9"/>
  <c r="S57" i="9"/>
  <c r="R57" i="9"/>
  <c r="R56" i="9"/>
  <c r="R45" i="9"/>
  <c r="S38" i="9"/>
  <c r="R53" i="9" s="1"/>
  <c r="R38" i="9"/>
  <c r="S27" i="9"/>
  <c r="BK27" i="9" s="1"/>
  <c r="R27" i="9"/>
  <c r="S22" i="9"/>
  <c r="R22" i="9"/>
  <c r="S21" i="9"/>
  <c r="R21" i="9"/>
  <c r="S17" i="9"/>
  <c r="R17" i="9"/>
  <c r="BJ13" i="9"/>
  <c r="BJ58" i="9" s="1"/>
  <c r="BK58" i="9" s="1"/>
  <c r="BI13" i="9"/>
  <c r="W13" i="9"/>
  <c r="R123" i="10" l="1"/>
  <c r="R118" i="10"/>
  <c r="R115" i="10"/>
  <c r="R116" i="10"/>
  <c r="R124" i="10"/>
  <c r="S178" i="10"/>
  <c r="R51" i="9"/>
  <c r="S13" i="9"/>
  <c r="R32" i="9"/>
  <c r="R43" i="9"/>
  <c r="R55" i="9"/>
  <c r="W58" i="9"/>
  <c r="BK38" i="9"/>
  <c r="S58" i="9" l="1"/>
  <c r="BK13" i="9"/>
  <c r="R13" i="9"/>
  <c r="BG13" i="9" l="1"/>
  <c r="AU13" i="9"/>
  <c r="AM13" i="9"/>
  <c r="AE13" i="9"/>
  <c r="BE13" i="9"/>
  <c r="BC13" i="9"/>
  <c r="AQ13" i="9"/>
  <c r="BA13" i="9"/>
  <c r="AO13" i="9"/>
  <c r="AG13" i="9"/>
  <c r="AS13" i="9"/>
  <c r="AK13" i="9"/>
  <c r="AC13" i="9"/>
  <c r="AI13" i="9"/>
  <c r="S46" i="8" l="1"/>
  <c r="R46" i="8" s="1"/>
  <c r="Y44" i="8"/>
  <c r="X44" i="8"/>
  <c r="X48" i="8" s="1"/>
  <c r="W44" i="8"/>
  <c r="W48" i="8" s="1"/>
  <c r="BJ42" i="8"/>
  <c r="BI42" i="8"/>
  <c r="BK42" i="8" s="1"/>
  <c r="BF42" i="8"/>
  <c r="S42" i="8"/>
  <c r="R43" i="8" s="1"/>
  <c r="R42" i="8"/>
  <c r="Y41" i="8"/>
  <c r="Y48" i="8" s="1"/>
  <c r="X41" i="8"/>
  <c r="W41" i="8"/>
  <c r="BJ32" i="8"/>
  <c r="BJ48" i="8" s="1"/>
  <c r="BI32" i="8"/>
  <c r="BG32" i="8"/>
  <c r="BF32" i="8"/>
  <c r="S32" i="8"/>
  <c r="R38" i="8" s="1"/>
  <c r="Y30" i="8"/>
  <c r="X30" i="8"/>
  <c r="W30" i="8"/>
  <c r="R28" i="8"/>
  <c r="R27" i="8"/>
  <c r="BK26" i="8"/>
  <c r="BJ26" i="8"/>
  <c r="BI26" i="8"/>
  <c r="BG26" i="8"/>
  <c r="BF26" i="8"/>
  <c r="S26" i="8"/>
  <c r="R29" i="8" s="1"/>
  <c r="R26" i="8"/>
  <c r="Y25" i="8"/>
  <c r="X25" i="8"/>
  <c r="W25" i="8"/>
  <c r="R24" i="8"/>
  <c r="R23" i="8"/>
  <c r="BK22" i="8"/>
  <c r="BJ22" i="8"/>
  <c r="BI22" i="8"/>
  <c r="BG22" i="8"/>
  <c r="BF22" i="8"/>
  <c r="S22" i="8"/>
  <c r="R22" i="8"/>
  <c r="Y21" i="8"/>
  <c r="X21" i="8"/>
  <c r="W21" i="8"/>
  <c r="BP19" i="8"/>
  <c r="BK19" i="8"/>
  <c r="BJ19" i="8"/>
  <c r="BI19" i="8"/>
  <c r="S19" i="8"/>
  <c r="S48" i="8" s="1"/>
  <c r="R19" i="8"/>
  <c r="Y18" i="8"/>
  <c r="X18" i="8"/>
  <c r="W18" i="8"/>
  <c r="R17" i="8"/>
  <c r="R15" i="8"/>
  <c r="R14" i="8"/>
  <c r="BK13" i="8"/>
  <c r="BJ13" i="8"/>
  <c r="BI13" i="8"/>
  <c r="BG13" i="8"/>
  <c r="BF13" i="8"/>
  <c r="S13" i="8"/>
  <c r="R16" i="8" s="1"/>
  <c r="R13" i="8"/>
  <c r="R35" i="8" l="1"/>
  <c r="R39" i="8"/>
  <c r="BK32" i="8"/>
  <c r="R36" i="8"/>
  <c r="R40" i="8"/>
  <c r="BI48" i="8"/>
  <c r="R20" i="8"/>
  <c r="R33" i="8"/>
  <c r="R37" i="8"/>
  <c r="R32" i="8"/>
  <c r="R34" i="8"/>
  <c r="W24" i="7" l="1"/>
  <c r="W23" i="7"/>
  <c r="S23" i="7"/>
  <c r="R23" i="7" s="1"/>
  <c r="W22" i="7"/>
  <c r="W21" i="7"/>
  <c r="S21" i="7"/>
  <c r="R21" i="7" s="1"/>
  <c r="W20" i="7"/>
  <c r="BK19" i="7"/>
  <c r="AQ19" i="7"/>
  <c r="AO19" i="7"/>
  <c r="AM19" i="7"/>
  <c r="AK19" i="7"/>
  <c r="AI19" i="7"/>
  <c r="AG19" i="7"/>
  <c r="AE19" i="7"/>
  <c r="AC19" i="7"/>
  <c r="Y19" i="7"/>
  <c r="Y25" i="7" s="1"/>
  <c r="BJ19" i="7" s="1"/>
  <c r="X19" i="7"/>
  <c r="X25" i="7" s="1"/>
  <c r="BI19" i="7" s="1"/>
  <c r="W19" i="7"/>
  <c r="S19" i="7"/>
  <c r="R19" i="7" s="1"/>
  <c r="W25" i="7" l="1"/>
  <c r="BJ23" i="6"/>
  <c r="BK23" i="6" s="1"/>
  <c r="BI23" i="6"/>
  <c r="Y23" i="6"/>
  <c r="X23" i="6"/>
  <c r="W22" i="6"/>
  <c r="R21" i="6" s="1"/>
  <c r="BK20" i="6"/>
  <c r="BG20" i="6"/>
  <c r="BE20" i="6"/>
  <c r="BC20" i="6"/>
  <c r="BA20" i="6"/>
  <c r="AU20" i="6"/>
  <c r="AS20" i="6"/>
  <c r="AQ20" i="6"/>
  <c r="AO20" i="6"/>
  <c r="AM20" i="6"/>
  <c r="AK20" i="6"/>
  <c r="AI20" i="6"/>
  <c r="AG20" i="6"/>
  <c r="AE20" i="6"/>
  <c r="AC20" i="6"/>
  <c r="S20" i="6"/>
  <c r="R20" i="6"/>
  <c r="W16" i="6"/>
  <c r="W14" i="6"/>
  <c r="R13" i="6" s="1"/>
  <c r="BK13" i="6"/>
  <c r="BG13" i="6"/>
  <c r="BE13" i="6"/>
  <c r="BC13" i="6"/>
  <c r="BA13" i="6"/>
  <c r="AU13" i="6"/>
  <c r="AS13" i="6"/>
  <c r="AQ13" i="6"/>
  <c r="AO13" i="6"/>
  <c r="AM13" i="6"/>
  <c r="AK13" i="6"/>
  <c r="AI13" i="6"/>
  <c r="AG13" i="6"/>
  <c r="AE13" i="6"/>
  <c r="AC13" i="6"/>
  <c r="S13" i="6"/>
  <c r="R15" i="6" s="1"/>
  <c r="W23" i="6" l="1"/>
  <c r="R17" i="6"/>
  <c r="S23" i="6"/>
  <c r="Y123" i="4" l="1"/>
  <c r="X123" i="4"/>
  <c r="W122" i="4"/>
  <c r="BJ121" i="4"/>
  <c r="BI121" i="4"/>
  <c r="W121" i="4"/>
  <c r="S121" i="4" s="1"/>
  <c r="R118" i="4"/>
  <c r="BF116" i="4"/>
  <c r="S116" i="4"/>
  <c r="R116" i="4"/>
  <c r="BJ114" i="4"/>
  <c r="BK114" i="4" s="1"/>
  <c r="BI114" i="4"/>
  <c r="BF114" i="4"/>
  <c r="S114" i="4"/>
  <c r="R114" i="4"/>
  <c r="BJ110" i="4"/>
  <c r="BK110" i="4" s="1"/>
  <c r="BI110" i="4"/>
  <c r="S110" i="4"/>
  <c r="R110" i="4" s="1"/>
  <c r="R108" i="4"/>
  <c r="S106" i="4"/>
  <c r="R106" i="4"/>
  <c r="BJ100" i="4"/>
  <c r="BK100" i="4" s="1"/>
  <c r="BI100" i="4"/>
  <c r="S100" i="4"/>
  <c r="R100" i="4" s="1"/>
  <c r="W99" i="4"/>
  <c r="R98" i="4" s="1"/>
  <c r="R96" i="4"/>
  <c r="W95" i="4"/>
  <c r="BJ93" i="4"/>
  <c r="BK93" i="4" s="1"/>
  <c r="BI93" i="4"/>
  <c r="S93" i="4"/>
  <c r="R93" i="4" s="1"/>
  <c r="S87" i="4"/>
  <c r="W81" i="4"/>
  <c r="BJ80" i="4"/>
  <c r="BI80" i="4"/>
  <c r="BK80" i="4" s="1"/>
  <c r="W80" i="4"/>
  <c r="S80" i="4"/>
  <c r="R80" i="4" s="1"/>
  <c r="W76" i="4"/>
  <c r="W73" i="4"/>
  <c r="R72" i="4" s="1"/>
  <c r="BJ72" i="4"/>
  <c r="BK72" i="4" s="1"/>
  <c r="BI72" i="4"/>
  <c r="S72" i="4"/>
  <c r="R74" i="4" s="1"/>
  <c r="W68" i="4"/>
  <c r="W57" i="4"/>
  <c r="W55" i="4"/>
  <c r="BJ54" i="4"/>
  <c r="BI54" i="4"/>
  <c r="BK54" i="4" s="1"/>
  <c r="W46" i="4"/>
  <c r="BJ44" i="4"/>
  <c r="BI44" i="4"/>
  <c r="BK44" i="4" s="1"/>
  <c r="BJ34" i="4"/>
  <c r="BI34" i="4"/>
  <c r="BK34" i="4" s="1"/>
  <c r="S34" i="4"/>
  <c r="R33" i="4"/>
  <c r="R31" i="4"/>
  <c r="R28" i="4"/>
  <c r="W27" i="4"/>
  <c r="BK26" i="4"/>
  <c r="BJ26" i="4"/>
  <c r="BI26" i="4"/>
  <c r="BI123" i="4" s="1"/>
  <c r="S26" i="4"/>
  <c r="R32" i="4" s="1"/>
  <c r="R26" i="4"/>
  <c r="W24" i="4"/>
  <c r="W21" i="4"/>
  <c r="W16" i="4"/>
  <c r="W14" i="4"/>
  <c r="W123" i="4" s="1"/>
  <c r="BJ12" i="4"/>
  <c r="BJ123" i="4" s="1"/>
  <c r="BI12" i="4"/>
  <c r="BF12" i="4"/>
  <c r="R45" i="4" l="1"/>
  <c r="R57" i="4"/>
  <c r="R78" i="4"/>
  <c r="R76" i="4"/>
  <c r="R94" i="4"/>
  <c r="R121" i="4"/>
  <c r="R29" i="4"/>
  <c r="S44" i="4"/>
  <c r="R49" i="4" s="1"/>
  <c r="S54" i="4"/>
  <c r="S12" i="4"/>
  <c r="BK12" i="4"/>
  <c r="R21" i="4" l="1"/>
  <c r="S123" i="4"/>
  <c r="R17" i="4"/>
  <c r="R12" i="4"/>
  <c r="R62" i="4"/>
  <c r="R68" i="4"/>
  <c r="R56" i="4"/>
  <c r="R66" i="4"/>
  <c r="R58" i="4"/>
  <c r="R70" i="4"/>
  <c r="R65" i="4"/>
  <c r="R54" i="4"/>
  <c r="R60" i="4"/>
  <c r="Y57" i="3" l="1"/>
  <c r="X57" i="3"/>
  <c r="W56" i="3"/>
  <c r="S52" i="3" s="1"/>
  <c r="R54" i="3" s="1"/>
  <c r="W54" i="3"/>
  <c r="BJ52" i="3"/>
  <c r="BK52" i="3" s="1"/>
  <c r="BI52" i="3"/>
  <c r="BF52" i="3"/>
  <c r="W52" i="3"/>
  <c r="W49" i="3"/>
  <c r="W48" i="3"/>
  <c r="W46" i="3"/>
  <c r="BJ44" i="3"/>
  <c r="BK44" i="3" s="1"/>
  <c r="BI44" i="3"/>
  <c r="S44" i="3"/>
  <c r="W41" i="3"/>
  <c r="W40" i="3"/>
  <c r="W39" i="3"/>
  <c r="W38" i="3"/>
  <c r="W37" i="3"/>
  <c r="W36" i="3"/>
  <c r="BJ35" i="3"/>
  <c r="BK35" i="3" s="1"/>
  <c r="BI35" i="3"/>
  <c r="BG35" i="3"/>
  <c r="BF35" i="3"/>
  <c r="W35" i="3"/>
  <c r="S35" i="3" s="1"/>
  <c r="R35" i="3" s="1"/>
  <c r="BJ32" i="3"/>
  <c r="BK32" i="3" s="1"/>
  <c r="BI32" i="3"/>
  <c r="S32" i="3"/>
  <c r="R32" i="3"/>
  <c r="W30" i="3"/>
  <c r="W29" i="3"/>
  <c r="W28" i="3"/>
  <c r="W27" i="3"/>
  <c r="W26" i="3"/>
  <c r="W25" i="3"/>
  <c r="Y24" i="3"/>
  <c r="W24" i="3"/>
  <c r="R23" i="3" s="1"/>
  <c r="W23" i="3"/>
  <c r="W22" i="3"/>
  <c r="W20" i="3"/>
  <c r="BI19" i="3"/>
  <c r="BI57" i="3" s="1"/>
  <c r="BG19" i="3"/>
  <c r="BF19" i="3"/>
  <c r="Y19" i="3"/>
  <c r="BJ19" i="3" s="1"/>
  <c r="W19" i="3"/>
  <c r="R19" i="3" s="1"/>
  <c r="S19" i="3"/>
  <c r="R27" i="3" s="1"/>
  <c r="W18" i="3"/>
  <c r="R16" i="3" s="1"/>
  <c r="BF16" i="3"/>
  <c r="S16" i="3"/>
  <c r="S57" i="3" l="1"/>
  <c r="BK19" i="3"/>
  <c r="BJ57" i="3"/>
  <c r="R52" i="3"/>
  <c r="W57" i="3"/>
  <c r="BG68" i="2" l="1"/>
  <c r="BF68" i="2"/>
  <c r="V68" i="2"/>
  <c r="U68" i="2"/>
  <c r="T68" i="2"/>
  <c r="P68" i="2"/>
  <c r="O67" i="2"/>
  <c r="O66" i="2"/>
  <c r="O65" i="2"/>
  <c r="O64" i="2"/>
  <c r="BH63" i="2"/>
  <c r="BC63" i="2"/>
  <c r="O63" i="2"/>
  <c r="O59" i="2"/>
  <c r="BH58" i="2"/>
  <c r="BC58" i="2"/>
  <c r="O58" i="2"/>
  <c r="O56" i="2"/>
  <c r="O55" i="2"/>
  <c r="O54" i="2"/>
  <c r="BH53" i="2"/>
  <c r="BC53" i="2"/>
  <c r="O53" i="2"/>
  <c r="BH50" i="2"/>
  <c r="BC50" i="2"/>
  <c r="O50" i="2"/>
  <c r="BH48" i="2"/>
  <c r="BC48" i="2"/>
  <c r="O48" i="2"/>
  <c r="O47" i="2"/>
  <c r="O46" i="2"/>
  <c r="O45" i="2"/>
  <c r="BH43" i="2"/>
  <c r="BC43" i="2"/>
  <c r="O43" i="2"/>
  <c r="O41" i="2"/>
  <c r="O38" i="2"/>
  <c r="O36" i="2"/>
  <c r="BH34" i="2"/>
  <c r="BC34" i="2"/>
  <c r="O34" i="2"/>
  <c r="O30" i="2"/>
  <c r="O29" i="2"/>
  <c r="O27" i="2"/>
  <c r="BH26" i="2"/>
  <c r="BC26" i="2"/>
  <c r="P26" i="2"/>
  <c r="O28" i="2" s="1"/>
  <c r="O26" i="2"/>
  <c r="O25" i="2"/>
  <c r="BH23" i="2"/>
  <c r="BC23" i="2"/>
  <c r="O23" i="2"/>
  <c r="O21" i="2"/>
  <c r="BH20" i="2"/>
  <c r="BC20" i="2"/>
  <c r="O20" i="2"/>
  <c r="O18" i="2"/>
  <c r="O17" i="2"/>
  <c r="O16" i="2"/>
  <c r="O15" i="2"/>
  <c r="BH13" i="2"/>
  <c r="BC13" i="2"/>
  <c r="O13" i="2"/>
  <c r="BJ29" i="1" l="1"/>
  <c r="BI29" i="1"/>
  <c r="Y29" i="1"/>
  <c r="X29" i="1"/>
  <c r="S29" i="1"/>
  <c r="R28" i="1"/>
  <c r="R27" i="1"/>
  <c r="W26" i="1"/>
  <c r="BK25" i="1"/>
  <c r="BK24" i="1"/>
  <c r="R24" i="1"/>
  <c r="BK22" i="1"/>
  <c r="R22" i="1"/>
  <c r="BK21" i="1"/>
  <c r="BF21" i="1"/>
  <c r="W21" i="1"/>
  <c r="W29" i="1" s="1"/>
  <c r="R21" i="1"/>
  <c r="BK19" i="1"/>
  <c r="R19" i="1"/>
</calcChain>
</file>

<file path=xl/comments1.xml><?xml version="1.0" encoding="utf-8"?>
<comments xmlns="http://schemas.openxmlformats.org/spreadsheetml/2006/main">
  <authors>
    <author>AUXINFRA28</author>
  </authors>
  <commentList>
    <comment ref="X39" authorId="0" shapeId="0">
      <text>
        <r>
          <rPr>
            <b/>
            <sz val="9"/>
            <color indexed="81"/>
            <rFont val="Tahoma"/>
            <family val="2"/>
          </rPr>
          <t>AUXINFRA28:</t>
        </r>
        <r>
          <rPr>
            <sz val="9"/>
            <color indexed="81"/>
            <rFont val="Tahoma"/>
            <family val="2"/>
          </rPr>
          <t xml:space="preserve">
$ 140498900 CORRESPONDE A RUBRO EDUCATIVA Y $ 271325300 A EQUIPAMIENTO</t>
        </r>
      </text>
    </comment>
    <comment ref="Y39" authorId="0" shapeId="0">
      <text>
        <r>
          <rPr>
            <b/>
            <sz val="9"/>
            <color indexed="81"/>
            <rFont val="Tahoma"/>
            <family val="2"/>
          </rPr>
          <t>AUXINFRA28:</t>
        </r>
        <r>
          <rPr>
            <sz val="9"/>
            <color indexed="81"/>
            <rFont val="Tahoma"/>
            <family val="2"/>
          </rPr>
          <t xml:space="preserve">
$ 20.304.300 CORRESPONDE A EDUCATIVA Y $ 92.798.900 CORRESPONDE A EQUIPAMIENTO
</t>
        </r>
      </text>
    </comment>
  </commentList>
</comments>
</file>

<file path=xl/sharedStrings.xml><?xml version="1.0" encoding="utf-8"?>
<sst xmlns="http://schemas.openxmlformats.org/spreadsheetml/2006/main" count="5604" uniqueCount="2579">
  <si>
    <t>SEGUIMIENTO PLAN DE ACCIÓN
SECRETARIA ADMINISTRATIVA
I TRIMESTRE 2019 2019</t>
  </si>
  <si>
    <t xml:space="preserve">CODIGO:  </t>
  </si>
  <si>
    <t>F-PLA-07</t>
  </si>
  <si>
    <t xml:space="preserve">VERSIÓN: </t>
  </si>
  <si>
    <t xml:space="preserve">FECHA: </t>
  </si>
  <si>
    <t>Nov. 22 de 2017</t>
  </si>
  <si>
    <t>PÁGINA:</t>
  </si>
  <si>
    <t>01 de 1</t>
  </si>
  <si>
    <t xml:space="preserve">PLAN DE DESARROLLO DEPARTAMENTAL </t>
  </si>
  <si>
    <t xml:space="preserve">PROYECTO </t>
  </si>
  <si>
    <t>CODIGO</t>
  </si>
  <si>
    <t xml:space="preserve">ESTRATEGIA </t>
  </si>
  <si>
    <t xml:space="preserve">PROGRAMA </t>
  </si>
  <si>
    <t xml:space="preserve">SUBPROGRAMA </t>
  </si>
  <si>
    <t xml:space="preserve">META DE PRODUCTO PLAN DE DESARROLLO </t>
  </si>
  <si>
    <t xml:space="preserve">INDICADOR </t>
  </si>
  <si>
    <t>META FISICA PROGRAMADA</t>
  </si>
  <si>
    <t>IMPUTACION PRESUPUESTAL</t>
  </si>
  <si>
    <t>No.</t>
  </si>
  <si>
    <t>PESO DE LA META %</t>
  </si>
  <si>
    <t xml:space="preserve">VALOR EN PESOS </t>
  </si>
  <si>
    <t xml:space="preserve">OBJETIVO GENERAL DEL PROYECTO </t>
  </si>
  <si>
    <t xml:space="preserve">OBJETIVOS ESPECIFICOS </t>
  </si>
  <si>
    <t>ACTIVIDADES CUANTIFICADAS</t>
  </si>
  <si>
    <t xml:space="preserve">FUENTE DE RECURSOS </t>
  </si>
  <si>
    <t>GENERO</t>
  </si>
  <si>
    <t>DISTRIBUCIÓN ETÁREA (EDAD)</t>
  </si>
  <si>
    <t xml:space="preserve">GRUPOS ÉTNICOS </t>
  </si>
  <si>
    <t xml:space="preserve">POBLACIÓN VULNERABLE </t>
  </si>
  <si>
    <t>TOTAL</t>
  </si>
  <si>
    <t>CONTRATOS</t>
  </si>
  <si>
    <t xml:space="preserve">FECHA DE INICIO </t>
  </si>
  <si>
    <t xml:space="preserve">FECHA DE TERMINACIÓN </t>
  </si>
  <si>
    <t xml:space="preserve">RESPONSABLE </t>
  </si>
  <si>
    <t>MUJER</t>
  </si>
  <si>
    <t>HOMBRE</t>
  </si>
  <si>
    <t>Edad Escolar 
(0 - 14 años)</t>
  </si>
  <si>
    <t>Adolescencia
 (15 - 19 años)</t>
  </si>
  <si>
    <t>Edad Económicamente Activa      (20-59 años)</t>
  </si>
  <si>
    <t>Adultos Mayores (Mayores a 60 años)</t>
  </si>
  <si>
    <t>Indígena</t>
  </si>
  <si>
    <t>Afrocolombiano</t>
  </si>
  <si>
    <t>Raizal</t>
  </si>
  <si>
    <t>Rom</t>
  </si>
  <si>
    <t xml:space="preserve">Mestiza </t>
  </si>
  <si>
    <t>palenqueras</t>
  </si>
  <si>
    <t xml:space="preserve">Desplazados </t>
  </si>
  <si>
    <t xml:space="preserve">Discapacitados </t>
  </si>
  <si>
    <t xml:space="preserve">Victimas </t>
  </si>
  <si>
    <t xml:space="preserve">No. DE 
CONTRATOS </t>
  </si>
  <si>
    <t>VALOR COMPROMISOS</t>
  </si>
  <si>
    <t>VALOR DE LAS OBLIGACIONES</t>
  </si>
  <si>
    <t>% DE EJECUCION</t>
  </si>
  <si>
    <t>FUENTE DE LOS RECURSOS</t>
  </si>
  <si>
    <t>SUPERVISOR RESPONSABLE</t>
  </si>
  <si>
    <t>P</t>
  </si>
  <si>
    <t>E</t>
  </si>
  <si>
    <t>PRESUPUESTADO</t>
  </si>
  <si>
    <t>E (COMPROMISOS)</t>
  </si>
  <si>
    <t>E (OBLIGACIONES)</t>
  </si>
  <si>
    <t>5 BUEN GOBIERNO</t>
  </si>
  <si>
    <t>28 GESTIÓN TERRITORIAL</t>
  </si>
  <si>
    <t>89 MODERNIZACIÓN TECNOLOGICA Y ADMINISTRATIVA</t>
  </si>
  <si>
    <t>Virtualizar ocho (8) trámites de la administración departamental a través de Gobierno en Línea</t>
  </si>
  <si>
    <t>Número de trámites virtualizados</t>
  </si>
  <si>
    <t>0304 - 5 - 3 1 5 28 89 17 1 - 20</t>
  </si>
  <si>
    <t>201663000-0001</t>
  </si>
  <si>
    <t>Apoyo a la estrategia de Gobierno en linea en el Departamento del Quindio</t>
  </si>
  <si>
    <t xml:space="preserve">Mejorar el acceso de los usuarios internos como externos mediante  los servicios informáticos ofrecidos por la entidad, para el grado de satisfaccion de los usuarios </t>
  </si>
  <si>
    <t>Mejorar los sistemas de información y equipos tecnológicos mediante la actualizacion y mantenimiento para aumentar los tiempos de respuesta de atención al usuario</t>
  </si>
  <si>
    <t>Sostenibilidad de la estrategia de gobierno en linea</t>
  </si>
  <si>
    <t>Recurso Ordinario</t>
  </si>
  <si>
    <t>Jaime Alberto Llano Chaparro</t>
  </si>
  <si>
    <t>SECRETARIA ADMINISTRATIVA
DIRECCIÓN DE TIC</t>
  </si>
  <si>
    <t>Compra o adquisición de Sofware</t>
  </si>
  <si>
    <t>Formular e  implementar un (1) programa de seguridad y salud en el trabajo, capacitación y bienestar social en  el departamento</t>
  </si>
  <si>
    <t>Programa de seguridad y salud formulado e implementado</t>
  </si>
  <si>
    <t>0304 - 5 - 3 1 5 28 89 17 2 - 20</t>
  </si>
  <si>
    <t>201663000-0002</t>
  </si>
  <si>
    <t>Formulación e implementación del programa de seguridad y salud en el trabajo, capacitación y bienestar social en el Departamento del Quindio</t>
  </si>
  <si>
    <t xml:space="preserve">Ejecutar el 95% del programa de seguridad y salud en el trabajo,del plan de bienestar social y el plan institucional de capacitación, formulados para la vigencia 2018.
</t>
  </si>
  <si>
    <t>Formular e implementar 1 programa de seguridad y salud en el trabajo para la Gobernación del Departamento del Quindío, para la vigencia 2018</t>
  </si>
  <si>
    <t>Desarrollo y Ejecución de actividades de Seguridad y Salud en el Trabajo, de conformidad con el Plan anual de trabajo de seguridad y salud en el trabajo aprobado</t>
  </si>
  <si>
    <t>Mario Alberto Leal Mejia</t>
  </si>
  <si>
    <t>SECRETARIA  ADMINISTRATIVA Y DIRECIÓN DE TALENTO HUMANO</t>
  </si>
  <si>
    <t>Fortalecer el programa de  infraestructura tecnológica de la  Administración Departamental (hadware, aplicativos, redes, y capacitación)</t>
  </si>
  <si>
    <t>Programa de infraestructura tecnologica de la administracion fortalecido</t>
  </si>
  <si>
    <t xml:space="preserve">0304 - 5 - 3 1 5 28 89 17 3 - 20     </t>
  </si>
  <si>
    <t>201663000-0003</t>
  </si>
  <si>
    <t>Actualización de la infraestructura tecnológica de la Gobernación del Quindío.</t>
  </si>
  <si>
    <t xml:space="preserve">Apoyar el programa de  infraestructura tecnológica de la  Administración Departamental (hadware, aplicativos, redes, y capacitación)
</t>
  </si>
  <si>
    <t>Compra o adquisicion de hardware</t>
  </si>
  <si>
    <t>DIRECCIÓN TIC</t>
  </si>
  <si>
    <t>Incrementar la  renovación de las herramientas tecnológicas a través de outsourcing para ampliar el numero de equipos de ultima tecnología logrando una mejor atención a los usuarios</t>
  </si>
  <si>
    <t>Soporte aplicativos</t>
  </si>
  <si>
    <t xml:space="preserve">Fortalecer el programa de sostenibilidad de las  Tecnologias de la Información de las Comunicaciones de la Gobernación del Quindio </t>
  </si>
  <si>
    <t>Programa de sostenibilidad de las TIC fortalecido</t>
  </si>
  <si>
    <t>0304 - 5 - 3 1 5 28 89 17 4 - 20</t>
  </si>
  <si>
    <t>201663000-0004</t>
  </si>
  <si>
    <t>Apoyo a la sostenibilidad de las tecnologías de la información y comunicación de la Gobernación del Quindío.</t>
  </si>
  <si>
    <t>Optimizar la infraestructura informática y de comunicaciones disponible a través de actualizacion de equipos y aplicaciones para una mejor atencion al usuario</t>
  </si>
  <si>
    <t>Modernizar la infraestructura tecnológica mediante la actualizacion de herramientas tecnológicas y soporte de primer nivel; para agilizar los procesos</t>
  </si>
  <si>
    <t>Apoyo técnico y/o profesional</t>
  </si>
  <si>
    <t>DIRECCION TIC</t>
  </si>
  <si>
    <t>Adquirir e implementar un (1) software para la sistematización de las historias laborales del Fondo Territorial de Pensiones del departamento</t>
  </si>
  <si>
    <t>Software adquirido e implementado</t>
  </si>
  <si>
    <t>201663000-0005</t>
  </si>
  <si>
    <t>Implementación de un programa  de  modernización de la gestión administrativa en el Departamento del Quindio</t>
  </si>
  <si>
    <t xml:space="preserve">Satisfacer en un 90%, las necesidades de los usuarios y partes interesadas de la entidad. 
</t>
  </si>
  <si>
    <t>Digitalizar y consultar en línea los expedientes de los pensionados, evitando la perdida de documentos</t>
  </si>
  <si>
    <t xml:space="preserve">Actualización y registro en el aplicativo de gestión documental de la información relacionada con las historias laborales del fondo territorial de pensiones </t>
  </si>
  <si>
    <t>Claudia Marcela Londoño</t>
  </si>
  <si>
    <t>SECRETARIA ADMINISTRATIVA Y GESTIÓN DOCUMENTAL</t>
  </si>
  <si>
    <t>Administrar, depurar y registrar la totalidad de los bienes  de propiedad de la Gobernación del Departamento del Quindío con información real  y pertinente</t>
  </si>
  <si>
    <t>Realizar avalúos a los bienes inmuebles a cargo de la entidad</t>
  </si>
  <si>
    <t>Implementar un (1) programa de modernización de la gestión documental en el departamento</t>
  </si>
  <si>
    <t>Programa de modernización implementado</t>
  </si>
  <si>
    <t>0304 - 5 - 3 1 5 28 89 17 5 - 46</t>
  </si>
  <si>
    <t>Cumplir las directrices definidas por la Ley General de Archivo</t>
  </si>
  <si>
    <t>Ejecutar las actividades establecidas en el Plan Institucional de Archivos PINAR</t>
  </si>
  <si>
    <t xml:space="preserve">Recurso Ordinario </t>
  </si>
  <si>
    <t>Adquirir  un (1) bien inmueble para adelantar acciones de cara al servicio de la comunidad</t>
  </si>
  <si>
    <t>Bien inmueble adquirido</t>
  </si>
  <si>
    <t>Disponer de espacios físicos más amplios y acordes para la atención a los diferentes tipos de población que se acerca a la  entidad y así como para la debida disposición de los documentos que reposan en el archivo central evitando la perdida  y/o deterioro de los mismos.</t>
  </si>
  <si>
    <t>Adelantar acciones en el proceso de adquisición de un bien inmueble</t>
  </si>
  <si>
    <t xml:space="preserve">Recurso del Crédito </t>
  </si>
  <si>
    <t>SEGUIMIENTO PLAN DE ACCIÓN
SECRETARIA DE AGRICULTURA,  DESARROLLO RURAL Y MEDIO AMBIENTE
I TRIMESTRE 2019</t>
  </si>
  <si>
    <t>O6</t>
  </si>
  <si>
    <t xml:space="preserve"> 1 de 1</t>
  </si>
  <si>
    <t>POBLACIÓN</t>
  </si>
  <si>
    <t xml:space="preserve">No </t>
  </si>
  <si>
    <t>Edad Económicamente Activa
(20-59 años)</t>
  </si>
  <si>
    <t>DESARROLLO SOSTENIBLE</t>
  </si>
  <si>
    <t>Quindío territorio vital</t>
  </si>
  <si>
    <t>Generación de entornos favorables y sostenibilidad ambiental</t>
  </si>
  <si>
    <t xml:space="preserve">Implementar un (1)  Sistema de Gestión Ambiental Departamental SIGAD </t>
  </si>
  <si>
    <t>Sistema de Gestión Ambiental Departamental SIGAD implementado</t>
  </si>
  <si>
    <t>0312 - 5 - 3 1 1 1 1 10 64 - 20</t>
  </si>
  <si>
    <t>201663000-0064</t>
  </si>
  <si>
    <t xml:space="preserve">GENERACION DE ENTORNOS FAVORABLES Y SOSTENIBILIDAD AMBIENTAL PARA EL DEPARTAMENTO DEL QUINDÍO </t>
  </si>
  <si>
    <t xml:space="preserve">Mantener la oferta hídrica promedio anual  de las Unidades de Manejo de Cuenca (UMC) del departamento del Quindío, a través procesos de consevación y mantenimiento de las areas de protección ambiental y  apoyo insterinsticuional en el Departamento del Quindio </t>
  </si>
  <si>
    <t>Potencializar  el Sistema Departamental y municipal de áreas protegidas</t>
  </si>
  <si>
    <t xml:space="preserve">Realización de actividades SIGAD. </t>
  </si>
  <si>
    <t>ORDINARIO</t>
  </si>
  <si>
    <t>JULIANA ACOSTA JARAMILLO</t>
  </si>
  <si>
    <t xml:space="preserve"> JULIANA ACOSTA JARAMILLO</t>
  </si>
  <si>
    <t>Promocion y divulgacion del SIGAD.</t>
  </si>
  <si>
    <t xml:space="preserve">Apoyar cuatro (4) planes de manejo de áreas protegidas del Departamento </t>
  </si>
  <si>
    <t>Planes de manejo apoyados</t>
  </si>
  <si>
    <t>Actualización y apoyo en el fortalecimiento de  los planes de manejo de áreas protegidas del Departamento</t>
  </si>
  <si>
    <t xml:space="preserve">Apoyar el Plan Departamental  para la Gestión Integral de la Biodiversidad y sus Servicios Ecosistémicos PDGIB 2013-2024  </t>
  </si>
  <si>
    <t>Plan departamental apoyado</t>
  </si>
  <si>
    <t xml:space="preserve">Adecuadar planificación para la sostenibilidad de los recursos naturales
</t>
  </si>
  <si>
    <t>Apoyo al Plan de gestión de la biodiversidad y sus servicios ecosistemicos PDGIB</t>
  </si>
  <si>
    <t>Diseñay ejecutar una poiica Departamental de uso racional de resiudos solidos y uso eficiente de energia</t>
  </si>
  <si>
    <t>Política departamental diseñada y ejecutada</t>
  </si>
  <si>
    <t xml:space="preserve">Realizar actividades de educación en competencias de sostenibilidad  que esten encamidas a la estructuración e implementación de las politicas de residuos y energia. </t>
  </si>
  <si>
    <t xml:space="preserve">Apoyar a los doce (12) municipios en las acciones de control y vigilancia de la explotación minera en coordinación con la autoridad ambiental </t>
  </si>
  <si>
    <t>Número de municipios en acciones de control y vigilancia de la explotación minera apoyados</t>
  </si>
  <si>
    <t xml:space="preserve">Acompañamiento a los municipios en las acciones de control y vigilancia de la explotación minera en coordinación con la autoridad ambiental </t>
  </si>
  <si>
    <t>Manejo integral del agua y saneamiento básico</t>
  </si>
  <si>
    <t xml:space="preserve">Crear e implementar el Fondo del Agua del departamento del Quindío </t>
  </si>
  <si>
    <t>Fondo del Agua creado e implementado</t>
  </si>
  <si>
    <t>0312 - 5 - 3 1 1 1 2 10 67 -20</t>
  </si>
  <si>
    <t>201663000-0067</t>
  </si>
  <si>
    <t>GESTIÓN INTEGRAL DE CUENCAS HIDROGRÁFICAS EN EL DEPARTAMENTO DEL QUINDÍO</t>
  </si>
  <si>
    <t xml:space="preserve">Mantener  de la oferta hídrica promedio anual  de las Unidades de Manejo de Cuenca (UMC) del departamento del Quindío </t>
  </si>
  <si>
    <t>Realizar y coordinar acciones de  recuperación y mantenimiento del recursos hídrico</t>
  </si>
  <si>
    <t xml:space="preserve">Implementar el Fondo del Agua del departamento del Quindío  </t>
  </si>
  <si>
    <t>09/082019</t>
  </si>
  <si>
    <t>Caracterizar los servicios ecosistémicos en 6 cuencas de abastecimientode los acueductos municipales con sus correspondientes acciones de mejoramiento</t>
  </si>
  <si>
    <t>Número de cuencas con servicios ecosistémicos caracterizados</t>
  </si>
  <si>
    <t>Elaboracion de inventario de servicios ecosistemicos y diagnostico de los componentes de flora, fauna y recursos hidricos de 2 cuencas hidrograficas</t>
  </si>
  <si>
    <t>Bienes y servicios ambientales para las nuevas generaciones</t>
  </si>
  <si>
    <t>Conservar Y Restaurar Seis (2) Áreas De Importancia Estratégica Para El Recurso Hídrico Del Departamento</t>
  </si>
  <si>
    <t>Áreas conservadas y restauradas</t>
  </si>
  <si>
    <t>0312 - 5 - 3 1 1 1 3 10 68 - 20</t>
  </si>
  <si>
    <t>201663000-0068</t>
  </si>
  <si>
    <t>APLICACIÓN DE MECANISMOS DE PROTECCIÓN AMBIENTAL EN EL DEPARTAMENTO DEL QUINDIO</t>
  </si>
  <si>
    <t xml:space="preserve">Mantener  de la oferta hídrica promedio anual  de las Unidades de Manejo de Cuenca (UMC) del departamento del Quindío 
</t>
  </si>
  <si>
    <t>Vigilancia, control y seguimiento a las áreas de protección</t>
  </si>
  <si>
    <t>RECURSO ORDINARIO</t>
  </si>
  <si>
    <t>Recuperación y mantenimiento de  las  zonas deterioradas en las áreas de protección.</t>
  </si>
  <si>
    <t>Adquirir Doscientos Setenta (270) Ha Para Áreas De Conservación En Predios De Importancia Estratégica Para El Recurso Hídrico Del Departamento Del Quindío</t>
  </si>
  <si>
    <t>Áreas De Conservación En Predios De Importancia Estratégica Adquiridas</t>
  </si>
  <si>
    <t>Adquirir doscientos setenta (270) ha para áreas de conservación en predios de importancia estratégica para el recurso hídrico del departamento del Quindío</t>
  </si>
  <si>
    <t>Conservar Para La Sostenibilidad Ambiental Dos (2) Cuencas De Los Municipios Con Declaratoria De Paisaje Cultural Cafetero Pcc</t>
  </si>
  <si>
    <t>Número de cuencas conservadas</t>
  </si>
  <si>
    <t>0312 - 5 - 3 1 1 1 3 10 69 - 20</t>
  </si>
  <si>
    <t>201663000-0069</t>
  </si>
  <si>
    <t>FORTALECIMIENTO Y POTENCIALIZACIÓN DE LOS SERVICIOS ECOSISTÉMICOS EN EL DEPARTAMENTO DEL QUINDIO</t>
  </si>
  <si>
    <t xml:space="preserve">Disminuir en la presión por cargas contaminantes, medida por el Índice de Alteración Potencial de la Calidad del Agua </t>
  </si>
  <si>
    <t xml:space="preserve">Mejorar en la calidad del agua en los sistemas hídricos  </t>
  </si>
  <si>
    <t>Intervenir en herramientas del PCC las cuencas de los municipios con declaratoria de paisaje cultural cafetero</t>
  </si>
  <si>
    <t>Promover La Creación Y Adopción  En Los Doce (12) Municipios Del Departamento, De Herramientas Para El Estímulo De Incentivos A La Conservación</t>
  </si>
  <si>
    <t>Número de municipios con acciones de incentivos a la conservación promovidas</t>
  </si>
  <si>
    <t xml:space="preserve">Promover los incentivos a la conservación con la normativa vigente  </t>
  </si>
  <si>
    <t>Restaurar Con Obras De Bioingeniería Veinte (20) Ha En Áreas O Zonas Críticas De Riesgo.</t>
  </si>
  <si>
    <t xml:space="preserve">Número de hectáreas restauradas </t>
  </si>
  <si>
    <t>Poner en marcha obras de bioingenieria</t>
  </si>
  <si>
    <t>Desarrollar Treinta Y Un (31) Estrategias De Educación Ambiental  En Los Espacios Participativos, Comunitarios Y Educativos Del Departamento</t>
  </si>
  <si>
    <t>Número de estrategias de educación desarrolladas</t>
  </si>
  <si>
    <t xml:space="preserve">Desarrollar estrategias de educación ambiental para el desarrollo sostenible </t>
  </si>
  <si>
    <t>Capacitar A 250 Jóvenes, Mujeres, Población Vulnerable Y Con Enfoque Diferencial Como Lideres De Educación Ambiental En El Departamento</t>
  </si>
  <si>
    <t>Número de  jóvenes,  mujeres, población vulnerable y con enfoque diferencial capacitados</t>
  </si>
  <si>
    <t>Formar multiplicadores ambientales para el desarrollo sostenible</t>
  </si>
  <si>
    <t>PROSPERIDAD CON EQUIDAD</t>
  </si>
  <si>
    <t>Quindío rural, inteligente, competitivo y empresarial</t>
  </si>
  <si>
    <t>Innovación para una caficultura sostenible en el departamento del Quindío</t>
  </si>
  <si>
    <t>Capacitar a cuatrocientos (400) caficultores del departamento en producción limpia y sostenible con producción de café con taza limpia, catación, tostión y barismo</t>
  </si>
  <si>
    <t>Número de caficultores capacitados</t>
  </si>
  <si>
    <t>0312 - 5 - 3 1 2 2 4 13 72 - 20</t>
  </si>
  <si>
    <t>201663000-0072</t>
  </si>
  <si>
    <t xml:space="preserve">FORTALECIMIENTO E INNOVACIÓN EMPRESARIAL DE LA CAFICULTURA EN EL DEPARTAMENTO DEL QUINDIO </t>
  </si>
  <si>
    <t xml:space="preserve">Generar las condiciones adecuadas para aumetar del crecimiento del PIB del departamento  del Quindio frente al PIB Nacional  a travez de la participacion en ruedas de negocios y eventos especializados para acceder a mercados internacionales por parte del sector empresarial rural.
</t>
  </si>
  <si>
    <t>Cadena productiva del café sin valos agregado</t>
  </si>
  <si>
    <t>Capacitar A Caficultores  En Buenas Prácticas Agrícolas Sostenible Y Aseguramiento De La Calidad De Café</t>
  </si>
  <si>
    <t>MAURICIO RUIZ HAMBRA</t>
  </si>
  <si>
    <t>Capacitar A Caficultores En Catación, Tostión Y Barísmo</t>
  </si>
  <si>
    <t>Crear (6) seis grupos multiplicadores de conocimiento en emprendimiento y calidad del café  para jóvenes y mujeres rurales, campesinas y cafeteras</t>
  </si>
  <si>
    <t>Número de grupos multiplicadores creados</t>
  </si>
  <si>
    <t>Fortalecimiento A Asociaciones De Café De Jóvenes Y Mujeres Rurales En Buenas Prácticas Agrícolas Y Aseguramiento De La Calidad Del Café A Traves De Asistencia Técnica Y Talleres</t>
  </si>
  <si>
    <t xml:space="preserve">Capacitación  A Jóvenes Y Mujeres Rurales En Asociatividad, Emprendimiento,  En Mejoramiento Y Aseguramiento De La Calidad  </t>
  </si>
  <si>
    <t xml:space="preserve"> Crear (1) portafolio de café origen Quindío a través de la valoración de 6000 predios</t>
  </si>
  <si>
    <t>Portafolio de café origen Quindío creado</t>
  </si>
  <si>
    <t>Bajo  nivel de conocimiento de los productores en producción limpia y sostenible con énfasis en calidad sensorial del café</t>
  </si>
  <si>
    <t>Visitas De Asistencia Técnicas De Caracterización A Predios Productores De Café Del Departamento Del Quindío</t>
  </si>
  <si>
    <t>Toma De Muestras De Café Y Análisis De Catación Y Perfilación A Través De Convenios Interadministrativos Y/O Interinstitucionales</t>
  </si>
  <si>
    <t>Promoción Y Divulgación Del Portafolio De Café Origen Quindío</t>
  </si>
  <si>
    <t>Formalizar (1) un convenio interinstitucional para la inserción de los cafés de origen Quindío en los mercados nacionales e internacionales</t>
  </si>
  <si>
    <t>Convenio interinstitucional formalizado</t>
  </si>
  <si>
    <t>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</si>
  <si>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</si>
  <si>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</si>
  <si>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Núcleos de asistencia creados e implementados</t>
  </si>
  <si>
    <t>0312 - 5 - 3 1 2 2 5 8 176 - 20
0312 - 5 - 3 1 2 2 5 8 176 - 46</t>
  </si>
  <si>
    <t>201663000-0176</t>
  </si>
  <si>
    <t>CREACIÓN E IMPLEMENTACIÓN DE LOS CENTROS AGROINDUSTRIALES REGIONALES PARA LA PAZ"CARPAZ" EN EL DEPARTAMENTO DEL QUINDIO</t>
  </si>
  <si>
    <t xml:space="preserve">Equiparar el crecimiento del PIB del departamento del Quindío al PIB nacional
</t>
  </si>
  <si>
    <t>Mejorar  la productividad primaria agropecuaria</t>
  </si>
  <si>
    <t>Crear Un Núcleo De Asistencia Agrícola</t>
  </si>
  <si>
    <t>ORDINARIO Y RECURSO DEL CRÉDITO</t>
  </si>
  <si>
    <t>JORGE IVAN LOAIZA BONILLA</t>
  </si>
  <si>
    <t>Crear Un Núcleo De Asistencia Pecuaria</t>
  </si>
  <si>
    <t>Apoyar cinco (5) sectores productivos agropecuarios del departamento en métodos de mercadeo que propicien innovación en los aspectos comerciales de los productos del Quindío</t>
  </si>
  <si>
    <t>Sectores productivos apoyados</t>
  </si>
  <si>
    <t>Realizar Eventos De Educomunicación (Agrícola Y Pecuario)</t>
  </si>
  <si>
    <t>Crear  seis (6) centros logísticos  para la transformación agroindustrial - CARPAZ</t>
  </si>
  <si>
    <t>Centros logísticos creados</t>
  </si>
  <si>
    <t>Articular la demanda existente y la oferta efectiva</t>
  </si>
  <si>
    <t>Crear Centros Logísticos Agroindustriales</t>
  </si>
  <si>
    <t>RECURSO DEL CRÉDITO</t>
  </si>
  <si>
    <t>Capacitar seis (6) unidades agro empresariales de jóvenes y mujeres rurales</t>
  </si>
  <si>
    <t>Unidades agro empresariales capacitadas</t>
  </si>
  <si>
    <t>Brindar un sistema eficiente de prestación de servicios públicos</t>
  </si>
  <si>
    <t>Capacitación En Estrategias De Mercadeo A Diferentes   Grupos Asociativos De Productores Agrícolas Y Agroindustriales</t>
  </si>
  <si>
    <t>Crear E Implementar El Fondo De Financiamiento De Desarrollo Rural Fider</t>
  </si>
  <si>
    <t>Fondo de financiamiento creado e implementado</t>
  </si>
  <si>
    <t>0312 - 5 - 3 1 2 2 5 8 177 - 20</t>
  </si>
  <si>
    <t>201663000-0177</t>
  </si>
  <si>
    <t>CREACION E IMPLEMENTACION DEL FONDO DE FINANCIAMIENTO DE DESARROLLO RURAL - FIDER</t>
  </si>
  <si>
    <t>Mejoramiento de las condiciones de acceso al financiamiento de los productores agropecuarios, mediante la creacion de un fondo financiero para el desarrollo rural en el departamento del Quindío</t>
  </si>
  <si>
    <t>Generación de procesos de  apoyo financiero de facil acceso para desarrolo del sector productivo rural.</t>
  </si>
  <si>
    <t>Asistencia Técnica En La Creación Y Elaboración De Un Fondo De Financiamiento Para El Desarrollo Rural</t>
  </si>
  <si>
    <t>Financiamiento Al Pequeño Productor Rural</t>
  </si>
  <si>
    <t>Reactivar un instrumento de prevención por eventos naturales para productos agrícolas.</t>
  </si>
  <si>
    <t>Instrumento de prevención por eventos naturales para productos agrícolas reactivado</t>
  </si>
  <si>
    <t>0312 - 5 - 3 1 2 2 5 8 175 - 20</t>
  </si>
  <si>
    <t>2016663000-0175</t>
  </si>
  <si>
    <t>IMPLEMENTACIÓN DE UN INSTRUMENTO PARA LA PREVENCIÓN DE EVENTOS NATURALES PRODUCTOS AGRICOLAS EN E DEPARTAMENTO DEL QUINDÍO</t>
  </si>
  <si>
    <t>Mejoramiento En El Rendimiento Productivo, Mediante Estrategias De Mitigación, Para Contrarrestar Eventos Y Riesgos Naturales En El Sector Agropecuario</t>
  </si>
  <si>
    <t xml:space="preserve">Fortalecimiento de los  programas de prevención en el sector rural, para mejorar la capacidad de respuesta ante posibles eventos y riesgos naturales </t>
  </si>
  <si>
    <t>Acompañamiento Técnico Y Promoción De El Plan Integral De Gestión De Cambio Climático Como Instrumento  Prevención  Y Adaptación En Eventos Climáticos</t>
  </si>
  <si>
    <t xml:space="preserve">Generación de espacios de articulación institucional en apoyo de asistencia técnica rural ante eventos y riesgos naturales  </t>
  </si>
  <si>
    <t>Emprendimiento y empleo rural</t>
  </si>
  <si>
    <t>Apoyo En La Formalización De Empresas En (4)  Sectores Productivos Agropecuarios Del Departamento</t>
  </si>
  <si>
    <t>Número de sectores productivos apoyados</t>
  </si>
  <si>
    <t>0312 - 5 - 3 1 2 2 6 13 75 - 20</t>
  </si>
  <si>
    <t>201663000-0075</t>
  </si>
  <si>
    <t xml:space="preserve">FOMENTO AL EMPRENDIMIENTO Y  AL EMPLEO RURAL EN EL DEPARTAMENTO DEL QUINDÍO  </t>
  </si>
  <si>
    <t xml:space="preserve">Aumetar crecimiento del PIB del departamento  del Quindio a frente al PIB Nacional </t>
  </si>
  <si>
    <t xml:space="preserve">Apoyar la formalización de empresas en los sectores productivos  del departamenato, a tarvés de la identificación , analisis y priorización  de los  potenciales empredimientos  rurales, con el fin de contribuir a generar condiciones para  aumentar   producto interno bruto  el departamento   durante la vigencia 2016 </t>
  </si>
  <si>
    <t>Apoyo En La Formalización De Empresas En Los Sectores Productivos</t>
  </si>
  <si>
    <t>Generar Un Apalancamiento A 100 Iniciativas Rurales</t>
  </si>
  <si>
    <t>Número de iniciativas productivas apalancadas</t>
  </si>
  <si>
    <t xml:space="preserve">Realizar apálacamiento a las iniciativas productivas rurales, a través  de  procesos de acompañamiento  a la consolidación de  ideas de negocio e  implementación de garantias complementarias para el facilitar el acceso a la diferentes fuentes financiación con el fin de contribuir a generar condiciones para  aumentar   producto interno bruto  el departamento   durante la vigencia 2016 , 
</t>
  </si>
  <si>
    <t>Identificación Y Caracterización De Las Nuevas Iniciativas Productivas Rurales</t>
  </si>
  <si>
    <t>Capacitar A (1.200) Jóvenes Y Mujeres Rurales En Actividades  Agrícolas Y No Agrícolas</t>
  </si>
  <si>
    <t>Número de jóvenes y mujeres rurales capacitados</t>
  </si>
  <si>
    <t xml:space="preserve">Capacitar a jóvenes y mujeres en actividadeas agricolas y no agricolas con procesois de seguimiento y evaluación  en la generación de ideas y/o consolidación de negocios con el fin de contribuir a generar condiciones para  aumentar   producto interno bruto  el departamento   durante la vigencia 2016 </t>
  </si>
  <si>
    <t>Capacitación A Jóvenes Y Mujeres Rurales En Actividades Agrícolas Y No Agrícolas</t>
  </si>
  <si>
    <t>Beneficiar A 2.400 Mujeres Rurales Campesinas, Personas En Condición De Vulnerabilidad Y Con Enfoque Diferencial En Formación Para El Trabajo Y Desarrollo Humano</t>
  </si>
  <si>
    <t>Número de mujeres rurales campesinas, personas en condición de vulnerabilidad y con enfoque diferencial beneficiados</t>
  </si>
  <si>
    <t>Formación Para El Trabajo Y El Desarrollo Humano</t>
  </si>
  <si>
    <t>Impulso a la competitividad productiva y empresarial del sector Rural</t>
  </si>
  <si>
    <t>Apoyar a 5 Sectores Productivos Del Departamento En Ruedas De Negocio</t>
  </si>
  <si>
    <t>0312 - 5 - 3 1 2 2 7 13 78 - 20</t>
  </si>
  <si>
    <t>201663000-0078</t>
  </si>
  <si>
    <t>FORTALECIMIENTO A LA COMPETITIVIDAD PRODUCTIVA Y EMPRESARIAL DEL SECTOR RURAL EN EL DEPARTAMENTO DEL QUINDIO</t>
  </si>
  <si>
    <t>Crecimiento del PIB del departamento  del Quindio frente al PIB Nacional</t>
  </si>
  <si>
    <t xml:space="preserve">Conocimiento de metodos no tradicionales de comercialización </t>
  </si>
  <si>
    <t>Impulsar la competitivdad productiva y empresarial  mediante ruedas de negocio</t>
  </si>
  <si>
    <t>JORGE IVAN LOAIZA</t>
  </si>
  <si>
    <t>01/01/82019</t>
  </si>
  <si>
    <t>Diseñar e implementar (1) un instrumento de planificación e información rural para la comercialización de productos transables</t>
  </si>
  <si>
    <t>Instrumento de planificación e información diseñado e implementado</t>
  </si>
  <si>
    <t xml:space="preserve">Aumentar la  divulgacion de eventos especializados para acceder a mercados internacionales
</t>
  </si>
  <si>
    <t>Puesta en marcha de los instrumentos de planificación e información rural</t>
  </si>
  <si>
    <t>INCLUSION SOCIAL</t>
  </si>
  <si>
    <t>Soberanía, seguridad alimentaria y nutricional</t>
  </si>
  <si>
    <t>Fomento a la Agricultura Familiar Campesina, agricultura urbana y mercados campesinos para la soberanía y  Seguridad alimentaria</t>
  </si>
  <si>
    <t>Diseñar E Implementar El Programa De Agricultura Familiar Y Campesina</t>
  </si>
  <si>
    <t>Programa de agricultura familiar campesina diseñado e implementado</t>
  </si>
  <si>
    <t>0312 - 5 - 3 1 3 11 34 8 79 - 20</t>
  </si>
  <si>
    <t>201663000-0079</t>
  </si>
  <si>
    <t>FOMENTO A LA AGRICULTURA FAMILIAR CAMPESINA, AGRICULTURA URBANA Y MERCADOS CAMPESINOS PARA LA SOBERANÍA Y SEGURIDAD ALIMENTARIA</t>
  </si>
  <si>
    <t xml:space="preserve">Aumentar La Producción De Frutas Y Verduras Para El Autoconsumo Del Departamento Del Quindío A Través De La Implementación De Un Sistema De Parcelas Campesinas Y Comercio De Excedentes </t>
  </si>
  <si>
    <t>Diseñar e implementar un (1) programa de agricultura familiar campesina</t>
  </si>
  <si>
    <t>Asistencia Técnica A Beneficiarios Del Programa Soberanía Y Seguridad Alimentaria Y Nutricional</t>
  </si>
  <si>
    <t>Apoyar La Conformación De Cuatro Alianzas Para Contratos De Compra Anticipada De Productos De La Agricultura Familiar En El Departamento Del Quindío</t>
  </si>
  <si>
    <t>Numero de alianzas para contratos de compra anticipada apoyados</t>
  </si>
  <si>
    <t>Apoyar la conformación de cuatro (4) alianzas para contratos de compra anticipada de productos de la agricultura familiar en el departamento del Quindío</t>
  </si>
  <si>
    <t>Acompañamiento Y Asistencia Técnica A Productores Agropecuarios En La Productividad Primaria Y Alistamiento De La Oferta, Permitiendo Así El Aseguramiento De La Cadena Agroalimentaria En La Productividad Primaria</t>
  </si>
  <si>
    <t>Sembrar Quinientas (500) Ha De Productos De La Canasta Básica Familiar Para Aumentar La Disponibilidad De Alimentos</t>
  </si>
  <si>
    <t>Número de hectáreas sembradas</t>
  </si>
  <si>
    <t>Sembrar 150 Ha De Productos De La Canasta Básica Familiar</t>
  </si>
  <si>
    <t>Beneficiar A 2.400 Familias Urbanas Y Periurbanas Con Parcelas De Agricultura Familiar Para Autoconsumo Y Comercio De Excedentes</t>
  </si>
  <si>
    <t>Numero de familias beneficiadas</t>
  </si>
  <si>
    <t>Beneficiar a 2400 familias urbanas y periurbanas con parcelas de agricultura familiar para autoconsumo y comercio de excedentes</t>
  </si>
  <si>
    <t>Acompañamiento A Familias Urbanas Y Periurbanas En El Establecimiento De Parcelas De Agricultura Familiar</t>
  </si>
  <si>
    <t>Mejorar El Estado Nutricional De 1795 Niños Menor De 5 Años Y De 1531 Niños De 6 A 18 Años  En Riesgo De Desnutrición En El Departamento</t>
  </si>
  <si>
    <t>Numero de población infantil en riesgo con estado nutricional de 0 a 5 años y de 6 a 18 años mejorado</t>
  </si>
  <si>
    <t>Mejorar el estado nutricional de 1795 niños menor de 5 años y de 1531 niños de 6 a 18 años  en riesgo de desnutrición en el departamento</t>
  </si>
  <si>
    <t>Talleres De Capacitación En El Mejoramiento De La Dieta Alimenticia A Partir De Productos De La Canasta Básica Familiar</t>
  </si>
  <si>
    <t>TOTALES</t>
  </si>
  <si>
    <t>ÁLVARO ARIAS YOUNG</t>
  </si>
  <si>
    <t>Secretario de Agricultura, medio Ambiente y Desarrollo Rural</t>
  </si>
  <si>
    <t>SEGUIMIENTO PLAN DE ACCIÓN
SECRETARIA DE CULTURA
I TRIMESTRE 2019</t>
  </si>
  <si>
    <t xml:space="preserve">HOMBRE </t>
  </si>
  <si>
    <t>Mestiza</t>
  </si>
  <si>
    <t>Victimas</t>
  </si>
  <si>
    <t xml:space="preserve">PRESUPUESTADO </t>
  </si>
  <si>
    <t xml:space="preserve">P </t>
  </si>
  <si>
    <t>Inclusion Social</t>
  </si>
  <si>
    <t>Educacion Para la Paz</t>
  </si>
  <si>
    <t>Arte para todos</t>
  </si>
  <si>
    <t xml:space="preserve">Apoyar treinta (30) proyectos y/o actividades de formacion,difusion, circulacion, creacion e investigacion, planeacion y de espacios para el disdfrute de las artes </t>
  </si>
  <si>
    <t>Nro. de artistas y gestores en base de datos  / Cantidad de artistas y gestores incluidos en seguridad social</t>
  </si>
  <si>
    <t>0310 - 5 - 3 1 3 9 29 5 45 - 33
0310 - 5 - 3 1 3 9 29 5 45 - 83</t>
  </si>
  <si>
    <t>201663000-0045</t>
  </si>
  <si>
    <t xml:space="preserve">Apoyo a seguridad social del creador y gestor cultural del Departamento del Quindio </t>
  </si>
  <si>
    <t xml:space="preserve">Garantizar de seguridad social integral a gestores culturales y artistas </t>
  </si>
  <si>
    <t xml:space="preserve">Garantizar la seguridad social  para artistas y gestores culturales </t>
  </si>
  <si>
    <t xml:space="preserve">Reconocimiento de la calidad de artista y gestor cultural por el consejo Departamental de cultura </t>
  </si>
  <si>
    <t>Estampilla Procultura 10% Seguridad Social</t>
  </si>
  <si>
    <t>James Gonzalez Mata
Secretaria de Cultura</t>
  </si>
  <si>
    <t>Superávit Estampilla Procultura 10% Seguridad Social</t>
  </si>
  <si>
    <t xml:space="preserve">Aportes para la seguridad social de artistas reconocidos por el consejo Departamental de Cultura </t>
  </si>
  <si>
    <t>Apoyar  treinta (30) proyectos y/o actividades de formación, difusión, circulación, creación e investigación, planeación y de espacios para el disfrute de las artes</t>
  </si>
  <si>
    <t>Nro de proyectos o actividades programdas  /  Proyectos o actividades ejecutados</t>
  </si>
  <si>
    <t xml:space="preserve">
0310 - 5 - 3 1 3 9 29 5 46 - 88
0310 - 5 - 3 1 3 9 29 5 46 - 20
0310 - 5 - 3 1 3 9 29 5 46 - 39
0310 - 5 - 3 1 3 9 29 5 46 - 41
0310 - 5 - 3 1 3 9 29 5 46 - 83</t>
  </si>
  <si>
    <t>201663000-0046</t>
  </si>
  <si>
    <t>Apoyo al arte y la cultura en todo el Departamento del Quindío</t>
  </si>
  <si>
    <t>Fortalecimiento en los procesos culturales y artísticos para mejorar la calidad, la creatividad, la difusión y el reconocimiento de la diversidad y la diferencia en el departamento</t>
  </si>
  <si>
    <t xml:space="preserve"> Ampliación de las oportunidades de acceso de la ciudadania al arte y la cultura </t>
  </si>
  <si>
    <t>Escuelas de formación</t>
  </si>
  <si>
    <t>Secretario de Cultura
Directora de Cultura Arte y Patrimonio
Asesora de Despacho
Profesional Universitario</t>
  </si>
  <si>
    <t xml:space="preserve"> Difusión y Circulación Artística</t>
  </si>
  <si>
    <t xml:space="preserve">Recurso Ordinario
</t>
  </si>
  <si>
    <t>Superavit Ordinario</t>
  </si>
  <si>
    <t>Apoyo técnico y logístico</t>
  </si>
  <si>
    <t xml:space="preserve">Recurso Ordinario
</t>
  </si>
  <si>
    <t>Apoyar  ciento veinte (120) proyectos del programa de concertación cultural del departamento</t>
  </si>
  <si>
    <t>Alta concertación de proyectos con la institucionalidad cultural</t>
  </si>
  <si>
    <t>Convocatoria y apoyo logístico</t>
  </si>
  <si>
    <t>Estampilla Procultura 50% Concertación</t>
  </si>
  <si>
    <t xml:space="preserve">Evaluación y Seguimiento </t>
  </si>
  <si>
    <t>Cofinanciación de proyectos</t>
  </si>
  <si>
    <t>Superavit E.P.C</t>
  </si>
  <si>
    <t>Apoyar treinta y seis (36) proyectos mediante estímulos artísticos y culturales</t>
  </si>
  <si>
    <t>Mayor apoyo a la creación investigación y producción artistica</t>
  </si>
  <si>
    <t>Estampilla Procultura 10% Estímulos</t>
  </si>
  <si>
    <t xml:space="preserve"> Evaluación y Seguimiento </t>
  </si>
  <si>
    <t xml:space="preserve">Estampilla Procultura 10% EStímulos
</t>
  </si>
  <si>
    <t xml:space="preserve">Emprendimiento Cultural </t>
  </si>
  <si>
    <t>Fortalecer cinco (5) procesos de emprendimiento cultural y de desarrollo de industrias creativas</t>
  </si>
  <si>
    <t>0310 - 5 - 3 1 3 9 30 5 47 - 20</t>
  </si>
  <si>
    <t>201663000-0047</t>
  </si>
  <si>
    <t xml:space="preserve">Fortalecimiento y promoción del  emprendimiento cultural y las industrias creativas en el Departamento </t>
  </si>
  <si>
    <t xml:space="preserve">Disminución en la tasa de desempleo del departamento </t>
  </si>
  <si>
    <t>Fortalecimiento de los  procesos de emprendimiento cultural y de desarrollo de industrias creativas en el departamento</t>
  </si>
  <si>
    <t>Identificación y apoyo económico a organizaciones con proyectos de emprendimiento cultural</t>
  </si>
  <si>
    <t xml:space="preserve">Asesora de Despacho, Jefe de Patrimonio y Artes
Secretario de Cultura </t>
  </si>
  <si>
    <t xml:space="preserve"> Seguimiento y evaluación del proceso de apoyo a emprendedores</t>
  </si>
  <si>
    <t>Lectura, escritura y bibliotecas</t>
  </si>
  <si>
    <t>Apoyar  veinte (20) proyectos y/o actividades en investigación, capacitación y difusión de la lectura y escritura para fortalecer la Red Departamental de Bibliotecas</t>
  </si>
  <si>
    <t>0310 - 5 - 3 1 3 9 31 5 48 - 34
0310 - 5 - 3 1 3 9 31 5 48 - 83 
0310 - 5 - 3 1 3 9 31 5 48 - 56</t>
  </si>
  <si>
    <t>201663000-0048</t>
  </si>
  <si>
    <t>Fortalecimiento al  Plan Departamental  de lectura, escritura y bibliotecas en el Departamento del Quindio .</t>
  </si>
  <si>
    <t xml:space="preserve">Disminuir la proporción de niños que desertan en educación básica secundaria y media   </t>
  </si>
  <si>
    <t>Aprovechamiento de la Red Departamental de Bibliotecas Públicas para la formación en lectura y escritura</t>
  </si>
  <si>
    <t>Realización de procesos formativos para promotores de lectura y escritura</t>
  </si>
  <si>
    <t>Estampilla Procultura 10% Bibliotecas</t>
  </si>
  <si>
    <t xml:space="preserve">
Profesional Universitario,    Secretario de Cultura 
Jefe de Patrimonio y Artes</t>
  </si>
  <si>
    <t>Encuentros para el intercambio, formación y retroalimentación de la Red de Bibliotecas</t>
  </si>
  <si>
    <t xml:space="preserve">Coordinación de actividades para el fortalecimiento de la Red </t>
  </si>
  <si>
    <t>Coordinación de actividades para el fortalecimiento de la Red según aceptacion de ayuda economica en el programa iberoamericano de bibliotecas publicas, VI convocatoria de ayudas 2018</t>
  </si>
  <si>
    <t>Superávit Cofinanciación Nacional</t>
  </si>
  <si>
    <t xml:space="preserve">Ampliación de espacios y acciones para la difusión de la lectura y escritura </t>
  </si>
  <si>
    <t>Apoyo al proyecto editorial Biblioteca de Autores Quindianos</t>
  </si>
  <si>
    <t xml:space="preserve">Estampilla Procultura 10% Bibliotecas
</t>
  </si>
  <si>
    <t>Superavit Estampilla Procultura</t>
  </si>
  <si>
    <t>Apoyo a actividades de difusión, promoción y circulación literaria</t>
  </si>
  <si>
    <t>Patrimonio, paisaje cultural cafetero, ciudadanía y diversidad cultural</t>
  </si>
  <si>
    <t>Viviendo el patrimonio y el Paisaje Cultural Cafetero</t>
  </si>
  <si>
    <t xml:space="preserve">Apoyar treinta y dos (32) proyectos y/o actividades en gestión, investigación,  protección, divulgación y salvaguardia del patrimonio y diversidad cultural </t>
  </si>
  <si>
    <t>0310 - 5 - 3 1 3 10 32 5 49 - 20
0310 - 5 - 3 1 3 10 32 5 49 - 47
0310 - 5 - 3 1 3 10 32 5 49 - 93</t>
  </si>
  <si>
    <t>201663000-0049</t>
  </si>
  <si>
    <t>Apoyo al reconocimiento, apropiación, salvaguardia y difusión del patrimonio cultural en todo el Departamento del Quindío.</t>
  </si>
  <si>
    <t xml:space="preserve">Alta valoracion, apropiacion y salvaguardia del patrimonio cultural material e inmaterial </t>
  </si>
  <si>
    <t>Programas departamentales para conservación, protección, salvaguardia y difusión del Patrimonio Cultural</t>
  </si>
  <si>
    <t>Difusión y salvaguardia del patrimonio cultural</t>
  </si>
  <si>
    <t>IVA Telefonia movil Cultura</t>
  </si>
  <si>
    <t xml:space="preserve">Jefe de Patrimonio y Arte, Secretario de Cultura </t>
  </si>
  <si>
    <t>Recurso Ordinaro</t>
  </si>
  <si>
    <t>Superavit IVA Telefonia movil Cultura</t>
  </si>
  <si>
    <t>Investigaciones</t>
  </si>
  <si>
    <t>Apoyo a procesos, evaluación y seguimiento</t>
  </si>
  <si>
    <t>Mayor reconocimiento y valoración de la diversidad poblacional presente en el Quindío</t>
  </si>
  <si>
    <t>Apoyo a  proyectos y/o actividades de poblaciones especiales</t>
  </si>
  <si>
    <t xml:space="preserve">IVA Telefonia movil Cultura     
</t>
  </si>
  <si>
    <t xml:space="preserve">Apoyar diez (10) proyectos y/o actividades orientados a fortalecer la articulación comunicación y cultura </t>
  </si>
  <si>
    <t>0310 - 5 - 3 1 3 10 33 5 50 - 20
0310 - 5 - 3 1 3 10 33 5 50 - 88</t>
  </si>
  <si>
    <t>201663000-0050</t>
  </si>
  <si>
    <t>Fortalecimiento de la comunicación, la ciudadanía  y el sistema departamental de cultura  en el Quindio.</t>
  </si>
  <si>
    <t xml:space="preserve">Incremento en iniciativas que integren comunicación y cultura que contribuyan fortalecimiento del Sistema Departamental de Cultura  </t>
  </si>
  <si>
    <t>Mayor articulación entre la institucionalidad cultural y los gestores culturales para ampliar el acceso a la cultura y las artes.</t>
  </si>
  <si>
    <t>Apoyo a medios ciudadanos y comunitarios</t>
  </si>
  <si>
    <t xml:space="preserve">Directora de Cultura arte y Patrimonio
</t>
  </si>
  <si>
    <t>Apoyar  dieciséis (16) actividades y/o proyectos  para el afianzamiento del Sistema Departamental de Cultura</t>
  </si>
  <si>
    <t>Participación y  apoyo por parte de la Gobernación del Quindío a medios ciudadanos, comunitarios y de interés público</t>
  </si>
  <si>
    <t>Fortalecimiento del Sistema de Información Cultural</t>
  </si>
  <si>
    <t>Apoyo a Consejos de las artes y la cultura</t>
  </si>
  <si>
    <t>JAMES GONZALEZ MATA</t>
  </si>
  <si>
    <t xml:space="preserve"> SECRETARIO DE CULTURA</t>
  </si>
  <si>
    <t>SEGUIMIENTO  PLAN DE ACCIÓN
SECRETARIA DE EDUCACION
I TRIMESTRE  2019</t>
  </si>
  <si>
    <t>E
(COMPROMISOS)</t>
  </si>
  <si>
    <t>E
(OBLIGACIONES)</t>
  </si>
  <si>
    <t>Edad Económicamente 
Activa (20-59 años)</t>
  </si>
  <si>
    <t>No. DE CONTRATOS</t>
  </si>
  <si>
    <t xml:space="preserve">% DE EJECUCION </t>
  </si>
  <si>
    <t>FUENTES DE LOS RECURSOS</t>
  </si>
  <si>
    <t>Cobertura Educativa</t>
  </si>
  <si>
    <t>Acceso y Pemanencia</t>
  </si>
  <si>
    <t>Implementar un (1) plan, programa y/o proyecto para el acceso de niños, niñas y jóvenes en las instituciones educativas</t>
  </si>
  <si>
    <t>Número de planes, programas y/o proyectos implementados</t>
  </si>
  <si>
    <t>0314 - 5 - 3 1 3 5 16 1 84 - 20
0314 - 5 - 3 1 3 5 16 1 84 - 35
1404 - 5 - 3 1 3 5 16 1 84 - 81
0314 - 5 - 3 1 3 5 16 1 84 - 91
0314 - 5 - 3 1 3 5 16 1 84 - 88
1404 - 5 - 3 1 3 5 16 1 84 - 137</t>
  </si>
  <si>
    <t>201663000-0084</t>
  </si>
  <si>
    <t xml:space="preserve">Fortalecimiento de las estrategias para el acceso,  permanencia y seguridad  de los niños, niñas y jóvenes en el  sistema  educativo del Departamento del Quindio. </t>
  </si>
  <si>
    <t xml:space="preserve"> Bajar  los indices de deserciòn escolar en el Deprtamento del Quindío</t>
  </si>
  <si>
    <t xml:space="preserve"> Garantizar el adecuado manteniniento en las Instituciones  y Sedes Educativas
</t>
  </si>
  <si>
    <t>Servicio de Aseo y  Vigilancia para las Instituciones Educativas Oficiales y sus sedes educativas del Departamento del Quindio</t>
  </si>
  <si>
    <t>Monopolio</t>
  </si>
  <si>
    <t>Recurso Ordinario
Superavit Ordinario
PAE Transferencia Nación</t>
  </si>
  <si>
    <t xml:space="preserve">Laura Echeverry
Auxiliar Administrativa
Paula Camacho
Profesional Universitario
</t>
  </si>
  <si>
    <t>Secretario de Educación Departamental</t>
  </si>
  <si>
    <t>Superávit Monopolio</t>
  </si>
  <si>
    <t xml:space="preserve">Superavit Ordinario </t>
  </si>
  <si>
    <t>Implementar el Programa de Alimentación Escolar (PAE) en el departamento del Quindío</t>
  </si>
  <si>
    <t>Programa PAE implementado</t>
  </si>
  <si>
    <t xml:space="preserve">Implementar un programa de alimentacion escolar para las Instituciones educativas del departamento del Quindio, con el fin de  disminuir los indices de deserciòn escolar  durante la vigencia 2017
</t>
  </si>
  <si>
    <t xml:space="preserve">Suministro de alimientación escolar para la jornada regular y unica par los niños, niñas, adolescentes  y jóvenes escolarizados con matricula oficial en las Instituciones Educativas </t>
  </si>
  <si>
    <t xml:space="preserve"> Educación PAE </t>
  </si>
  <si>
    <t>Rendimientos PAE</t>
  </si>
  <si>
    <t>Superavit Programa de Alimentación EScolar PAE</t>
  </si>
  <si>
    <t>Personal de apoyo , para el acompañamiento, seguimiento y verificación y supervision de la ejecucion del PAE</t>
  </si>
  <si>
    <t>Implementar el programa de transporte escolar en el departamento del Quindio</t>
  </si>
  <si>
    <t>Programa de transporte escolar implementado</t>
  </si>
  <si>
    <t>Garantizar el transporte escolar a los niños, niñas, jóvenes y adolescentes de la zona rural de los 11 municipios no certificados del Departamento del Quindío para disminuir las distancias de desplazamiento y garantizar el acceso al sistema educativo.</t>
  </si>
  <si>
    <t>Transferencia de recursos  a los Municipios, para la cofinanciación del servicio de transporte a los alumnos de básica y media que habiten en los corregimientos y veredas, que granaticen la permanencia en el sistema educativo 
Municipios Transporte</t>
  </si>
  <si>
    <t>Educación inclusiva con acceso y permanencia para poblaciones vulnerables - diferenciales</t>
  </si>
  <si>
    <t>Atender cuatro mil quinientos (4.500)  personas de la población adulta del departamento (jóvenes y adultos, madres cabeza de hogar)</t>
  </si>
  <si>
    <t>número de estudiantes  pertenecientes a la población adulta  (jóvenes y adultos) atendidos  en el sistema educativo</t>
  </si>
  <si>
    <t> 0314 - 5 - 3 1 3 5 17 1 86 - 20
1404 - 5 - 3 1 3 5 17 1 86 - 25
0314 - 5 - 3 1 3 5 17 1 86 - 88</t>
  </si>
  <si>
    <t>201663000-0086</t>
  </si>
  <si>
    <t>Implementación de estrategias de inclusión para garantizar la atención educativa a población vulnerable en el  Departamento del  Quindío.</t>
  </si>
  <si>
    <t>Incrementar la atención de la población vulnerable del departamento del Quindío</t>
  </si>
  <si>
    <t>Implementar un plan integral  gubernamental para la caracterización y atencion de la poblacion vulnerabe en edad escolar en el departamento del quindio</t>
  </si>
  <si>
    <t>Logística (papeleria, afiches, volantes, folletos, pendones, entre otras), para el desarrollo de actividades  educativas de la poblacion adulta del departamento</t>
  </si>
  <si>
    <t>SGP Educacion
Ordinario</t>
  </si>
  <si>
    <t>Gladiz Giraldo
Profesional Universitario
Ana Luisa Ruiz Tejada
Directora Cobertura Educativa</t>
  </si>
  <si>
    <t xml:space="preserve">
Secretario de Educación Departamental</t>
  </si>
  <si>
    <t>Diseñar e implementar una estrategia que permita disminuir la tasa de analfabetismo en los municipios del Departamento del Quindío</t>
  </si>
  <si>
    <t xml:space="preserve">Estrategia diseñada e  implementada </t>
  </si>
  <si>
    <t>Promoción desarrollo del programa de alfabetización y  educación  poblacion adulta del departamento</t>
  </si>
  <si>
    <t>Atender cuatrocientos noventa (490) personas de la población étnica (Afro descendientes e indígenas)  en el sistema educativo en los diferentes niveles.</t>
  </si>
  <si>
    <t>Número de personas pertenecientes a la población étnica (afrodescendientes e indígenas)  atendidos en el sistema educativo</t>
  </si>
  <si>
    <t>Personal de apoyo educativo,  para población étnica, afrodescendientes e indigenas,</t>
  </si>
  <si>
    <t>Adquisición implementos artísticos, para el fortalecimeinto de la cultura de la población étnica, afrodescendientes e indigenas, en el Departamento</t>
  </si>
  <si>
    <t xml:space="preserve">Atender dos mil quinientos setenta estudiantes (2570) en condición de población  victima del conflicto, residentes en el departamento del Quindío </t>
  </si>
  <si>
    <t xml:space="preserve">Número de estudiantes  pertenecientes a la población victima del conflicto atendidos </t>
  </si>
  <si>
    <t>Personal de apoyo educativo, para población  víctima del conflicto en el Departamento</t>
  </si>
  <si>
    <t>Atender  cuatrocientos cincuenta y cinco (455)  menores y/o adultos  que se encuentran en riesgo social    en conflicto con la ley penal,  iletrados, habitantes de frontera y/o menores  trabajadores.</t>
  </si>
  <si>
    <t xml:space="preserve">Número de personas que se encuentran en riesgo social, en conflicto con la ley penal,  iletrados, habitantes de frontera y/o menores  trabajadores,  atendidos  </t>
  </si>
  <si>
    <t>Implementar un programa para brindarles una mejor atencion educativa a los menores y/o adultos con situaciones penales, iletrados, menores trabajadores.</t>
  </si>
  <si>
    <t>Diseñar e implementar un plan para la caracterización y atención de la población en condiciones especiales y excepcionales del departa</t>
  </si>
  <si>
    <t>Plan diseñado e implementado</t>
  </si>
  <si>
    <t>Personal de apoyo idoneos para la atencion de la poblacion con NNE y talentos Excepcionales.</t>
  </si>
  <si>
    <t>SGP Educacion</t>
  </si>
  <si>
    <t>Sostener dos mil doscientos treinta y dos (2.232) docentes, directivos docentes y administrativos viabilizados por el ministerio de educación nacional vinculados a la secretaria de educación departamental</t>
  </si>
  <si>
    <t>Número de docentes, directivos docentes y administrativos  sostenidos</t>
  </si>
  <si>
    <t>1402 - 5 - 3 1 3 5 18 1 87 - 25</t>
  </si>
  <si>
    <t>201663000-0087</t>
  </si>
  <si>
    <t>Aplicación funcionamiento y prestación del servicio educativo de las instituciones educativas</t>
  </si>
  <si>
    <t xml:space="preserve">Mejorar los niveles de eficiencia y eficacia en los procesos administrativos para la 
presentacion de los informes y/o reportes que garanticen la viabilidad ante el ministerio de educacion nacional de la planta docente, directivos docentes y administrativos de las institucinoes educativas oficiales del departamento del Quindío
</t>
  </si>
  <si>
    <t>Generar estrategias que garantice la sostenibilidad de la planta docente, directivos docentes y administratvos viabilizados por el ministerio de educación nacional vinculados a la secretaría de educación departamental</t>
  </si>
  <si>
    <t>Gastos de personal,  generales, transferencias de la Planta Docente, Directivos Docentes y  personal administrativo de las Instituciones Educativas Oficiales del Departamento.</t>
  </si>
  <si>
    <t>SGP Educación CSF</t>
  </si>
  <si>
    <t>SGP Educación</t>
  </si>
  <si>
    <t>arcela Delgado
Profesional Universitario</t>
  </si>
  <si>
    <t>1402 - 5 - 3 1 3 5 18 1 87 25</t>
  </si>
  <si>
    <t>1402 - 5 - 3 1 3 5 18 1 2 4 1 2 - 146</t>
  </si>
  <si>
    <t>SGP Educación SSF</t>
  </si>
  <si>
    <t>1402 - 5 - 3 1 3 5 18 1 87 - 26</t>
  </si>
  <si>
    <t>1402 - 5 - 3 1 3 5 18 1 87 - 9</t>
  </si>
  <si>
    <t>Superavit SGP</t>
  </si>
  <si>
    <t>1403 - 5 - 3 1 3 5 18 1 87 -25</t>
  </si>
  <si>
    <t>1403 - 5 - 3 1 3 5 18 1 87 - 26</t>
  </si>
  <si>
    <t>0314 - 5 - 3 1 3 5 18 1 87 - 88</t>
  </si>
  <si>
    <t>Superavit Recurso Ordinario</t>
  </si>
  <si>
    <t>Calidad Educativa</t>
  </si>
  <si>
    <t>Calidad Educativa para la Paz</t>
  </si>
  <si>
    <t xml:space="preserve">Mejorar el  índice sintético de calidad educativa (ISCE) en el nivel de básica primaria,  por encima del promedio nacional, en treinta  y seis  (36)  Instituciones Educativas oficiales </t>
  </si>
  <si>
    <t>Número de Instituciones Educativas con el ISCE mejorado</t>
  </si>
  <si>
    <t>201663000-0089</t>
  </si>
  <si>
    <t xml:space="preserve">Implementación de  estrategias para el mejoramiento continuo del indice sintetico de calidad educativa en los niveles de básica primaria, básica secundaria y nivel de media en el Departamento del Quindio 
</t>
  </si>
  <si>
    <t xml:space="preserve">iImplementación de estrategias para el mejoramiento del  índice sintetico de calidad educativa en los niveles de básica primaria, básica secundaria y nivel de media en el Departamento del Quindio </t>
  </si>
  <si>
    <t xml:space="preserve">Brindar acompañamiento a docentes de instituciones educativas del departamento del quindío con tutores del programa todos a  aprender </t>
  </si>
  <si>
    <t>Capacitación y Lógistica</t>
  </si>
  <si>
    <t xml:space="preserve">Alvaro Betancurt
Profesional Universitario
</t>
  </si>
  <si>
    <t>Capacitar a mil doscientos (1.200) docentes en estrategias para el mejoramiento del ISCE en el Departamento del Quindío</t>
  </si>
  <si>
    <t>Número de docentes capacitados</t>
  </si>
  <si>
    <t>Capacitar a docentes en estrategias para el mejoramiento del Indice Sintético de Calidad Educativa en el Departamento del Quindío</t>
  </si>
  <si>
    <t>Capacitación y Lógistica
 (• Talleres MEN
• Red de coordinadores
• Refrigerios
• Almuerzos
• Material impreso
• Textos matemáticas y lenguaje
• Prensa escuela)</t>
  </si>
  <si>
    <t xml:space="preserve">0314 - 5 - 3 1 3 6 19 1 89 - 20
0314 - 5 - 3 1 3 6 19 1 89 - 88
</t>
  </si>
  <si>
    <t>Beneficiar a ochenta (80) docentes  con becas de posgrado</t>
  </si>
  <si>
    <t xml:space="preserve">Número de docentes beneficiados </t>
  </si>
  <si>
    <t>Beneficiar a docentes de instituciones educativas del departamento del Quindío con becas de posgrado</t>
  </si>
  <si>
    <t>Seguimiento a Docentes Becas para la excelencia</t>
  </si>
  <si>
    <t xml:space="preserve">Apoyar quince (15) instituciones educativas participando en el programa todo a aprender </t>
  </si>
  <si>
    <t>Número de Instituciones Ediucatrivas participando  en el Progrma PTA</t>
  </si>
  <si>
    <t xml:space="preserve">Gestionar con el Ministerio de Educación nacional para la focalización  de nuevas instituciones educativas del departamento del quindío con el programa todos a aprender  </t>
  </si>
  <si>
    <t>Brindar apoyo a las instituciones educativas focalizadas, para la Formación  del Programa Todos a Aprender</t>
  </si>
  <si>
    <t>Brindar acompañamiento a doscientos treinta (230) docentes con  tutores PTA</t>
  </si>
  <si>
    <t>Número de docentes acompañados de tutores PTA</t>
  </si>
  <si>
    <t xml:space="preserve">Brindar acompañamiento a docentes de instituciones educativas del departamento del quindío con tutores del programa todos a  aprender  </t>
  </si>
  <si>
    <t>Brindar acompañamiento a los docentes con tutores,  para la Formación  del Programa Todos a Aprender</t>
  </si>
  <si>
    <t>Beneficiar a 4.700  estudiantes con el  Programas Todos  a Aprender</t>
  </si>
  <si>
    <t>Número de estudiantes beneficiados con el PTA</t>
  </si>
  <si>
    <t>Beneficiar a estudiantes de instituciones Educativas del departamento del quindío con el  Programa Todos  a Aprender</t>
  </si>
  <si>
    <t>Beneficiar a estudiantes de instituciones Educativas del departamento,  con el  Programa Todos  a Aprender</t>
  </si>
  <si>
    <t xml:space="preserve">Mejorar el  índice sintético de calidad educativa (ISCE) en el nivel de básica secundaria,  por encima del promedio nacional, en cuarenta  y un  (41)  Instituciones Educativas oficiales </t>
  </si>
  <si>
    <t>Número de I.E. con índice ISCE en básica secundaria por encima del promedio nacional mejoradas</t>
  </si>
  <si>
    <t>Capacitación y Lógistica, para el  mejoramiento  del  índice sintético de calidad educativa (ISCE) en el nivel de básica secundaria.</t>
  </si>
  <si>
    <t xml:space="preserve">Mejorar el  índice sintético de calidad educativa (ISCE) en el nivel de media,  por encima del promedio nacional, en cuarenta  (40)  Instituciones Educativas oficiales </t>
  </si>
  <si>
    <t>Número de I.E. con índice ISCE en media por encima del promedio nacional mejoradas</t>
  </si>
  <si>
    <t>Capacitación y Lógistica, para el  mejoramiento  del  índice sintético de calidad educativa (ISCE) en el nivel de básica media</t>
  </si>
  <si>
    <t>Educación, Ambientes Escolares y Cultura para la Paz</t>
  </si>
  <si>
    <t xml:space="preserve">Fortalecer cincuenta y cuatro (54) comités de convivencia escolar de las instituciones educativas </t>
  </si>
  <si>
    <t>Numero de comités fortalecidos</t>
  </si>
  <si>
    <t>201663000-0090</t>
  </si>
  <si>
    <t>Mejoramiento de ambientes escolares y  fortalecimiento de modelos educativos articuladores de la ciencia, los lenguajes, las artes y el deporte en el Departamento del Quindio</t>
  </si>
  <si>
    <t>Mejorar las condiciones de Infraestructura y de elementos  pedagógicos para la implementación de la jornada única y ambientes escolares para la Paz</t>
  </si>
  <si>
    <t>Fortalecer los comités de convivencia escolar en las 54 IE</t>
  </si>
  <si>
    <t>Apoyo para el fortalecimiento de los Comités de Convivencia Escolar</t>
  </si>
  <si>
    <t>lara Ines Buitrago
Profesional Universitario
Alvaro Betancurt
Profesional Universitario
Alvaro Betancurt Profesional Universitario</t>
  </si>
  <si>
    <t>01/03/209</t>
  </si>
  <si>
    <t>Diseñar y ejecutar treinta (30)  proyectos educativos institucionales resignificados en el contexto de la paz y la jornada única</t>
  </si>
  <si>
    <t>Proyectos educativos institucionales diseñados y ejecutados</t>
  </si>
  <si>
    <t xml:space="preserve"> Resignificar los proyectos educativos institucionales en el contexto de la paz y la jornada única</t>
  </si>
  <si>
    <t>Acompañamiento a los Directores Docentes en el proceso de Resignificación de los PEI-Jornada Unica-Ingles-Directoras de Núcleo</t>
  </si>
  <si>
    <t>Diseñar e implementar la estrategia "escuela de padres" en treinta (30) instituciones educativa</t>
  </si>
  <si>
    <t>Numero de instituciones con estrategia de escuela de padres diseñada e implementada</t>
  </si>
  <si>
    <t>Diseñar e implementar la estrategia Escuela de Padres</t>
  </si>
  <si>
    <t xml:space="preserve">Acompañamiento a la instituciones educativas  para la implementación de la escuela de padres </t>
  </si>
  <si>
    <t>Conformar y dotar   grupos culturales y artísticos en treinta (30)  instituciones educativas con  protagonismo en cada uno de los municipios</t>
  </si>
  <si>
    <t>Número de instituciones educativas con grupos conformados y dotados</t>
  </si>
  <si>
    <t>Conformar y dotar grupos culturales artísticos en instituciones educativas</t>
  </si>
  <si>
    <t>Adquisición  de Instrumentos Músicales para el apoyo a los Grupos culturales y  Artísticos de las Instituciones Educativas</t>
  </si>
  <si>
    <t xml:space="preserve">
SGP Prestación de Servicios Educación</t>
  </si>
  <si>
    <t>Implementar el proyecto PRAE en treinta y seis (36)  instituciones educativas del departamento</t>
  </si>
  <si>
    <t>Número de instituciones educativas con PRAE implementado</t>
  </si>
  <si>
    <t>Implementar el proyecto PRAE en instituciones educativas del departamento</t>
  </si>
  <si>
    <t>Apoyo  para la Implementación  del proyecto PRAE en treinta y seis (36)  instituciones educativas del departamento</t>
  </si>
  <si>
    <t>0314 - 5 - 3 1 3 6 20 1 90 - 20</t>
  </si>
  <si>
    <t>Dotación de implementos de mitigación, prevencion y atención del riesgo para el fortalecimiento del Plan Escolar de Gestión del Riesgo (PEGER)</t>
  </si>
  <si>
    <t>Realizar ocho (8) eventos académicos, investigativos y culturales</t>
  </si>
  <si>
    <t>Número de eventos realizados</t>
  </si>
  <si>
    <t>Encuentro Cultural de Étnoeducación</t>
  </si>
  <si>
    <t>1404 - 5 - 3 1 3 6 20 1 90 - 21</t>
  </si>
  <si>
    <t>Feria Concetar TIC</t>
  </si>
  <si>
    <t xml:space="preserve">Festival de Literatura y Escritura
</t>
  </si>
  <si>
    <t xml:space="preserve">Implementar el  programa de  jornada única con el acceso y permanencia de veinte mil (20.000) estudiantes </t>
  </si>
  <si>
    <t>Numero de estudiantes en el programa jornada única</t>
  </si>
  <si>
    <t>0314 - 5 - 3 1 3 6 20 1 90 - 88</t>
  </si>
  <si>
    <t>Implementar el programa de jornada única</t>
  </si>
  <si>
    <t>Coordinación del programa de Jornada Unica con el acompañamiento de los  rectores de las Instituciones Educativas focalizadas</t>
  </si>
  <si>
    <t xml:space="preserve">Mantener, adecuar y/o construir la infraestructura ciento treinta (130) sedes de las instituciones educativas  </t>
  </si>
  <si>
    <t>Numero de sedes mantenidas, adecuadas y/o construidas</t>
  </si>
  <si>
    <t>Mejorar las condiciones de infraestructura y de elementos pedagógicos para la implementación de la jornada única y ambientes escolares para la Paz</t>
  </si>
  <si>
    <t>Tranferencia de Recursos para Pequeñas Intervenciones en las Instituciones Educativas del Departamento.</t>
  </si>
  <si>
    <t>Levantamiento de planos para determinar necesidades en la adecuación y/o construcción de pequeñas intervenciones en infraestructura de las sedes educativas</t>
  </si>
  <si>
    <t xml:space="preserve">Dotar cincuenta y cuatro (54) instituciones educativas con material didáctico, mobiliario escolar y/o infraestructura tecnológica  </t>
  </si>
  <si>
    <t>Numero de instituciones educativas dotadas</t>
  </si>
  <si>
    <t>Dotar Instituciones Educativas de material didáctico, mobiliario escolar y/o infraestructura tecnológica</t>
  </si>
  <si>
    <t>Dotación  de material didactico, mobiliario escolar y/o infraestructura tecnológica en las instituciones educativas.</t>
  </si>
  <si>
    <t>Implementar la jornada complementaria y/o unica que articule arte,deporte y cultura, en seis (6) municipios declarados en el sistema de alertas tempranas de la defensoría del pueblo</t>
  </si>
  <si>
    <t>Municipios declarados en el sistema de alertas tempranas con jormada complementaria y/o única</t>
  </si>
  <si>
    <t>Implementar jornada complementaria y/o única que articule arte, cultura y deporte.</t>
  </si>
  <si>
    <t>Implementación jornada complementaria y/o única que articule arte, cultura y deporte.</t>
  </si>
  <si>
    <t>Plan Departamental del Lectura y Escritura</t>
  </si>
  <si>
    <t xml:space="preserve">Implementar el programa "pásate a la biblioteca"  en treinta y seis (36)  instituciones educativas </t>
  </si>
  <si>
    <t>Número de instituciones educativas con programa "pásate a la biblioteca" implementado</t>
  </si>
  <si>
    <t>201663000-0091</t>
  </si>
  <si>
    <t>Implementación de  estrategias educativas en  lectura y escritura en las instituciones educativas en el Departamento del Quindío.</t>
  </si>
  <si>
    <t xml:space="preserve">Implementación de  estrategias para  el desarrollo de competencias  y habilidades en lectura y escritura de los docentes y estudiantes de las insituciones educativas del  Departamento del Quindio
</t>
  </si>
  <si>
    <t>Implementar el programa "pasate a la Biblioteca  en instituciones educativas del departamento del Quindio</t>
  </si>
  <si>
    <t>Fortalecimiento del programa EN Literatuta y Escritura</t>
  </si>
  <si>
    <t xml:space="preserve">Orinarios </t>
  </si>
  <si>
    <t>Alvaro Betancurt
Profesional Universitario</t>
  </si>
  <si>
    <t xml:space="preserve">Dotar ciento cuarenta (140) sedes educativas con la colección semilla </t>
  </si>
  <si>
    <t>Número de sedes educativas dotadas</t>
  </si>
  <si>
    <t xml:space="preserve"> Dotar sedes educativas del Departamento del Quindío con la colección semilla</t>
  </si>
  <si>
    <t>Adquisiciíon Colección Semilla</t>
  </si>
  <si>
    <t>0314 - 5 - 3 1 3 6 21 1 91 - 20</t>
  </si>
  <si>
    <t>Apoyar los  procesos de capacitación  de quinientos (500) docentes del departamento</t>
  </si>
  <si>
    <t>Número de docentes apoyados</t>
  </si>
  <si>
    <t>Apoyar los  procesos de capacitación  de docentes de instituciones educativas del departamento del quindío en estrategias de lectura y escritura</t>
  </si>
  <si>
    <t>Apoyo procesos de capacitación de docentes en   Inglés,  Español y Literatura,  Convivencia Escolar,  PRAES</t>
  </si>
  <si>
    <t>1404 - 5 - 3 1 3 6 21 1 91 - 21</t>
  </si>
  <si>
    <t xml:space="preserve">Realizar seis (6)  festivales o encuentros de literatura y escritura el departamento </t>
  </si>
  <si>
    <t>Número de festivales o encuentros realizados</t>
  </si>
  <si>
    <t>0314 - 5 - 3 1 3 6 21 1 91 - 88</t>
  </si>
  <si>
    <t>Realizar festivales o encuentros de literatura y escritura dirigidos a estudiantes y docentes de instituciones educativas del  departamento del Quindío</t>
  </si>
  <si>
    <t xml:space="preserve">Realización de festivales de Literatura y Escritura  en las Instituciones Educativas del Departamento
</t>
  </si>
  <si>
    <t>Funcionamiento de las Instituciones Educativas</t>
  </si>
  <si>
    <t xml:space="preserve">Contar con cincuenta y dos (52) instituciones educativas con  mayor eficiencia en la gestión de sus procesos y proyectos  ante la entidad  territorial y la Secretaria de Educación Departamental.
</t>
  </si>
  <si>
    <t>Numero de instituciones educativas con mayor eficiencia en los procesos</t>
  </si>
  <si>
    <t>201663000-0093</t>
  </si>
  <si>
    <t>Mejoramiento de estrategias que permitan una mayor eficiencia en la gestion de procesos y proyectos de las instituciones educativas del Departamento del Quindio.</t>
  </si>
  <si>
    <t> asistir tecnicamente a las instituciones educativas del departamento para mejorar los proceos administrativos para el manejo de los fondos educativos.</t>
  </si>
  <si>
    <t>debida ejecucion de los recursos de los fondos educativos</t>
  </si>
  <si>
    <t xml:space="preserve"> Capacitaciones ditigidas a los rectores de las Instituciones Educativas para el manejo de los fondos Educativos.</t>
  </si>
  <si>
    <t>Ordinarios</t>
  </si>
  <si>
    <t>Edna Ensuasty Puerto
Profesional Universitario</t>
  </si>
  <si>
    <t>0314 - 5 - 3 1 3 6 22 1 93 - 20</t>
  </si>
  <si>
    <t>0314-5-313724193-88</t>
  </si>
  <si>
    <t>Pertinencia e Innovación</t>
  </si>
  <si>
    <t>Quindío Bilingüe</t>
  </si>
  <si>
    <t>Apoyar cincuenta y cinco (55) docentes licenciados en lenguas modernas formados en ingles con  dominio B2</t>
  </si>
  <si>
    <t>Numero de docentes apoyados en formación en ingles con dominio B2</t>
  </si>
  <si>
    <t>201663000-0094</t>
  </si>
  <si>
    <t>Implementación de estrategias para el mejoramiento de las competencias en lengua extranjera en estudiantes y docentes de las instituciones educativas del Departamento del Quindío</t>
  </si>
  <si>
    <t>Aumentar el nivel de competencia en inglés de docentes y Directivos Docentes</t>
  </si>
  <si>
    <t>Aumentar la cualificación de los docentes de inglés en aspectos linguísticos y metodológicos</t>
  </si>
  <si>
    <t>Capacitar docentes licenciados en lenguas modernas, en competencias linguisticas y medtodologia de la enseñanza del ingles</t>
  </si>
  <si>
    <t>Cualificar la formación de ciento cincuenta (150) docentes de preescolar y básica primaria en inglés con dominio A2 y B1 y metodología para la enseñanza</t>
  </si>
  <si>
    <t>Numero de docentes de preescolar y básica primaria formados</t>
  </si>
  <si>
    <t>Capacitar docentes de  preescolar y básica primaria con dominio A2 y B1 en inglés</t>
  </si>
  <si>
    <t>capacitar docentes de preescolar y básica primaria, en competencias linguisticas y medtodologia de la enseñanza del ingles</t>
  </si>
  <si>
    <t>Iniciar el proceso de bilinguismo  en niños  entre pre-escolar - quinto grado de primaria de colegios públicos en seis (6) municipios</t>
  </si>
  <si>
    <t>Número de Municipio con Bilinguismo</t>
  </si>
  <si>
    <t>Implementar un curriculo de preescolar a grado quinto con docentes en lengua extranjera ingles en isticuiones educativas</t>
  </si>
  <si>
    <t>Dotar cincuenta y cuatro (54) instituciones educativas con herramientas audiovisuales para la enseñanza del ingles</t>
  </si>
  <si>
    <t>Número de instituciones educativas dotadas</t>
  </si>
  <si>
    <t>Dotar insitituciones educativas con herramientas audiovisuales</t>
  </si>
  <si>
    <t>Adquisición herramientas audiovisuales para la enseñanza del Inglés</t>
  </si>
  <si>
    <t>Realizar siete (7)  concursos  para evaluar las competencias comunicativas en ingles de los estudiantes</t>
  </si>
  <si>
    <t>Número de concursos en inglés realizados</t>
  </si>
  <si>
    <t>Realizar actividades de evaluación de competencias comunicativas en inglés a estudiantes</t>
  </si>
  <si>
    <t xml:space="preserve">Concurso de Deletreo Inglés
</t>
  </si>
  <si>
    <t>Fortalecimiento de la Media Técnica</t>
  </si>
  <si>
    <t>Desarrollar doce (12) talleres para docentes en el uso de las TICs</t>
  </si>
  <si>
    <t>Número de talleres desarrollados</t>
  </si>
  <si>
    <t>201663000-0095</t>
  </si>
  <si>
    <t xml:space="preserve">Fortalecimiento de los niveles de educación  básica y media para la articulación con la educación terciaria en el Departamento del Quindio </t>
  </si>
  <si>
    <t>Mejorar los porcentajes de estudiantes con posibilidad de ingreso a la educación superior y etdh en el departamento del Quindío.</t>
  </si>
  <si>
    <t>Brindar a la población egresada de las instituciones educativas oficiales del departamento, meyores y mejores oportunidades para el ingreso a la educación terciaria</t>
  </si>
  <si>
    <t>Apoyo  a docentes de las Instituciones Educativas,  en el  Uso y Apropiacion de TICs  y Redes LAN</t>
  </si>
  <si>
    <t xml:space="preserve">20
</t>
  </si>
  <si>
    <t>Alvaro Betancurt Profesional Universitario</t>
  </si>
  <si>
    <t>Fortalecer cincuenta (50)   instituciones educativas en competencias básicas</t>
  </si>
  <si>
    <t>Número de instituciones educativas fortalecidas</t>
  </si>
  <si>
    <t>Capacitación y Logistica, Talleres de Referentes, Planeación Curricular, Evaluación de los Aprendizajes</t>
  </si>
  <si>
    <t>superavit ordinario</t>
  </si>
  <si>
    <t>Fortalecer cuarenta y siete (47) instituciones educativas con el programa de articulación con la educación superior y Educacion para el Trabajo y Desarrollo  Humano ETDH</t>
  </si>
  <si>
    <t xml:space="preserve">0314 - 5 - 3 1 3 7 24 1 95 - 20
</t>
  </si>
  <si>
    <t>Atención estudiantes de educación media de las Instituciones Educativas Oficiales del Departamento, en programas de nivel técnico  profesional</t>
  </si>
  <si>
    <t>0314 - 5 - 3 1 3 7 24 1 95 - 88</t>
  </si>
  <si>
    <t>Implementar un Programa de Alimentación Escolar Universitario PAEU para estudiantes universitarios</t>
  </si>
  <si>
    <t>Programa PAEU implementado</t>
  </si>
  <si>
    <t>Implementación  Programa de Alimentación Escolar Universitario PAEU para estudiantes universitarios</t>
  </si>
  <si>
    <t>Implementar el programa de acceso y permanencia de la educación técnica, tecnologica y superior en el departamento del Quindío</t>
  </si>
  <si>
    <t>Programa Implementado</t>
  </si>
  <si>
    <t>2017003630-122</t>
  </si>
  <si>
    <t>Implementación de un Fondo de apoyo departamental para el acceso y la permanencia de la educación técnica, tecnológica y superior en el Departamneto del Quindío</t>
  </si>
  <si>
    <t>Asignación Becas a Estudianrtes Egresados de las Instituciones  Educativas  Oficiales del Departamento</t>
  </si>
  <si>
    <t xml:space="preserve">Recurso MOnopolio
</t>
  </si>
  <si>
    <t xml:space="preserve">0314 - 5 - 3 1 3 7 24 1 122 - 20
</t>
  </si>
  <si>
    <t xml:space="preserve">Recurso Ordinadio
</t>
  </si>
  <si>
    <t>0314 - 5 - 3 1 3 7 24 1 122 - 91</t>
  </si>
  <si>
    <t>Aportes ente territorial para la infraestructura en educación superior</t>
  </si>
  <si>
    <t>Pago cuota compraventa bien inmueble Institucion Educativa San Jose de Circasia ordenanzas 035 de 2010,047 de 2010 y 020 de 2011</t>
  </si>
  <si>
    <t>Eficiencia Educativa</t>
  </si>
  <si>
    <t>Eficiencia y modernización administrativa</t>
  </si>
  <si>
    <t>Fortalecer, hacer seguimiento y auditar cuatro (4)  procesos certificados con que cuenta la Secretaria de Educación Departamental</t>
  </si>
  <si>
    <t>Numero de procesos certificados fortalecidos, con seguimiento y auditados</t>
  </si>
  <si>
    <t>0314 - 5 - 3 1 3 8 25 1 96 - 20</t>
  </si>
  <si>
    <t>201663000-0096</t>
  </si>
  <si>
    <t xml:space="preserve">Fortalecimiento de los niveles de eficiencia administrativa en la Secretaría de Educación Departamental del Quindío </t>
  </si>
  <si>
    <t>Mejorar los niveles de eficiencia administrativa en la secretaría de educación departamental del Quindío</t>
  </si>
  <si>
    <t>Iimplementación de estrategias que garantice la eficiencia administrativa en la secretaría de educación departamental del Quindío</t>
  </si>
  <si>
    <t>Realizar la  auditoría ICONTEC, a los cuatro macroprocesos de educación</t>
  </si>
  <si>
    <t>Crear e implementar  en cincuenta y dos (52) instituciones educativas procesos presupuestales y financieros integrados</t>
  </si>
  <si>
    <t>Número de instituciones educativas con proceso presupuestal y financiero integrado creado e implementado</t>
  </si>
  <si>
    <t>Adquisición de software para la automatiación de procesos financieros en las instituciones educativas oficiales del departamento del Quindío</t>
  </si>
  <si>
    <t>Inicio  automatización  aplicativo para procesos presupuestales y Financieros</t>
  </si>
  <si>
    <t>Otros proyectos de conectividad</t>
  </si>
  <si>
    <t xml:space="preserve"> </t>
  </si>
  <si>
    <t>Implementar y/o mejorar el sistema de conectividad en 200 sedes educativas oficiales en el departamento.</t>
  </si>
  <si>
    <t>Número de sedes educativas implementadas y/o mejoradas</t>
  </si>
  <si>
    <t>1404 - 5 - 3 1 3 8 26 1 97 - 25
0314-5-313826197-20
0314 - 5 - 3 1 3 8 28 1 97 -88</t>
  </si>
  <si>
    <t>201663000-0097</t>
  </si>
  <si>
    <t xml:space="preserve">Fortalecimiento de las herramientas tecnológicas en las Instituciones Educativas del Departamento del Quindío </t>
  </si>
  <si>
    <t>Ampliar la cobertura del servicio de conectividad en las sedes educativas oficiales del departamento del Quindiío</t>
  </si>
  <si>
    <t>Optimizar los procesos administrativos y los recursos económicos con destinación al servicio de conectividad de las sedes educativas del departamento.</t>
  </si>
  <si>
    <t>Mejoramiento del Sistema de  Conectividad de las Sedes Educativas del Departamento</t>
  </si>
  <si>
    <t xml:space="preserve">SGP EDUCACIÓN
</t>
  </si>
  <si>
    <t>Maria Eugenia Rivera
Profesional Universitario</t>
  </si>
  <si>
    <t>Funcionamiento y prestación de servicios del sector educativo del nivel central</t>
  </si>
  <si>
    <t>Realizar el pago oportuno al 100% de los funcionarios de la planta de  administrativos, docentes y directivos docentes del sector central</t>
  </si>
  <si>
    <t>% de funcionarios con pago oportuno</t>
  </si>
  <si>
    <t>1400 - 5 - 3 1 3 8 27 1 98 25</t>
  </si>
  <si>
    <t>201663000-0098</t>
  </si>
  <si>
    <t>Funcionamiento y Prestación de Servicios del Sector Educativo del nivel Central  en el Departamento del Quindio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</si>
  <si>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</si>
  <si>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</si>
  <si>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t xml:space="preserve">Gastos de personal,  generales, transferencias de los funcionarios de la Planta del sector central,   Docentes y  Directivos Docentes </t>
  </si>
  <si>
    <t>Marcela Delgado
Profesional Universitario</t>
  </si>
  <si>
    <t>Eficiencia administrativa y docente en la  gestión del bienestar laboral</t>
  </si>
  <si>
    <t>Realizar el reconocimiento a sesenta (60) docentes, directivos docentes y/o personal administrativo</t>
  </si>
  <si>
    <t>Número de docentes, directivos docentes y/o personal administrativo reconocidos</t>
  </si>
  <si>
    <t xml:space="preserve">0314 - 5 - 3 1 3 8 28 1 100 - 20
</t>
  </si>
  <si>
    <t>201663000-0100</t>
  </si>
  <si>
    <t>Mejoramiento  de la gestión admnistrativa y docente para la eficiencia del bienestar laboral   del Departamento del Quindio</t>
  </si>
  <si>
    <t>Incrementar los niveles de eficiencia administrativa en los procesos relacionados con el bienestar laboral y calidad de vida de los funcionarios de la secretaría de educación departamental del Quindío</t>
  </si>
  <si>
    <t>Fomentar en los docentes, directivos docentes y administrativos de la seretaría de educación departamental del quindío sentido de pertenencia, mediante el reconocimiento de sus logros</t>
  </si>
  <si>
    <t>Reconocimiento  a los  mejores docentes, directivos docentes y personal administrativo, incluida la logistica para el evento</t>
  </si>
  <si>
    <t>Realizar (ocho) 8 eventos y actividades culturales y recreativas, desarrolladas para los funcionarios del servicio educativo del departamento del Quindío</t>
  </si>
  <si>
    <t>Número de eventos y actividades culturales y recreativas realizadas</t>
  </si>
  <si>
    <t>Fomentar en , directivos docentes y administrativos de la seretaría de educación departamental del quindío sentido de pertenencia, mediante el reconocimiento de sus logros</t>
  </si>
  <si>
    <t>Logística actividades culturales y recreativas para los funcionarios del servicio educativo</t>
  </si>
  <si>
    <t>Atención Integral a la Primera Infancia</t>
  </si>
  <si>
    <t xml:space="preserve">Educación Inicial Integral </t>
  </si>
  <si>
    <t>Implementar  un (1)  programa de educación integral  a la primera infancia</t>
  </si>
  <si>
    <t>Programa implementado</t>
  </si>
  <si>
    <t>0314 - 5 - 3 1 3 16 57 1 101 - 20</t>
  </si>
  <si>
    <t>201663000-0101</t>
  </si>
  <si>
    <t xml:space="preserve">Implementación del modelo de atención integral de la educación inicial en el Departamento del  Quindio. </t>
  </si>
  <si>
    <t>Aumentar la tasa de cobertura  de  niños y niñas en edad de transición en las instituciones  educativas del  departamento</t>
  </si>
  <si>
    <t>Adquisición de  Kits Escolares para los estudiantes de los grados de Preescolar en sedes educativas oficiales del Departamento</t>
  </si>
  <si>
    <t>Apoyo para el programa de educación inicial en las instiuciones educativas oficiales del Departamento</t>
  </si>
  <si>
    <t>FRANCISICO JAVIER LOPEZ SEPULVEDA</t>
  </si>
  <si>
    <t>SECRETARIO DE EDUCACION DEPARTAMENTAL</t>
  </si>
  <si>
    <t xml:space="preserve">SEGUIMIENTO  PLAN DE ACCIÓN
SECRETARIA DE FAMILIA
I TRIMESTRE 2019
</t>
  </si>
  <si>
    <t>META FISICA</t>
  </si>
  <si>
    <t>Edad Económicamente Activa 
(20-59 años)</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</si>
  <si>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</si>
  <si>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</si>
  <si>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</si>
  <si>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0316 - 5 - 3 1 3 16 56 14 102 - 20</t>
  </si>
  <si>
    <t>201663000-0102</t>
  </si>
  <si>
    <t>Implementación de un modelo de atención integral a niños y niñas en entornos protectores en el Departamento del Quindío</t>
  </si>
  <si>
    <t>Atención integral a los niños, niñas de primera infancia desde la gestación hasta los 4 años y 11 meses con un modelo integral y diferencial, que permita mejorar sus condiciones de vida.</t>
  </si>
  <si>
    <t xml:space="preserve">Incrementar los índices de apoyo y acompañamiento en el desarrollo infantil en  ambientes familiares y grupales,  alimentación adecuada y seguimiento al desarrollo.
</t>
  </si>
  <si>
    <t>Implementar un programa de atención integral a menores de 5 años y madres gestantes en entornos familiares</t>
  </si>
  <si>
    <t>Natalia Álvarez Ruales
Jefe de Familia</t>
  </si>
  <si>
    <t>MARIA DEL CARMEN AGUIRRE BOTERO
SECRETARIA DE FAMILIA</t>
  </si>
  <si>
    <t>Realizar talleres de sensibilización en entorno Institucional a la primera infancia</t>
  </si>
  <si>
    <t>Apoyo en la realización de actividades y seguimiento del modelo intersectorial de atención integral a los municipios del departamento</t>
  </si>
  <si>
    <t>Realizar seguimiento a las acciones que garanticen la atención integral a la primera infancia</t>
  </si>
  <si>
    <t>Apoyar la creación y/o implementación de Rutas integrales de Atención a la primera infancia.</t>
  </si>
  <si>
    <t>Numero de rutas integrales de atención  a al a primera infancia implementadas y/o creadas</t>
  </si>
  <si>
    <t>Mejorar el acompañamiento en el desarrollo gestacional y  complemento nutricional, pautas de crianza y desarrollo infantil</t>
  </si>
  <si>
    <t>Seguimiento a las 6 rutas implementadas en los municipios priorizados por la nación (Armenia, Buenavista, Circasia, Pijao, Quimbaya y La Tebaida)</t>
  </si>
  <si>
    <t>Prestar asistencia técnica en el proceso de documentación para la creación de las rutas integrales de atención en los municipios de Córdoba, Salento, Montenegro, Génova, Calarcá y Filandia.</t>
  </si>
  <si>
    <t xml:space="preserve">Apoyar la socialización de las rutas integrales de atención, en marco de los comités y consejos que así lo requieran, del orden Departamental y municipal. </t>
  </si>
  <si>
    <t>Apoyo en el seguimiento de la Implementación de la ruta integral de  atención departamental.</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</si>
  <si>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</si>
  <si>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</si>
  <si>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</si>
  <si>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</si>
  <si>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0316 - 5 - 3 1 3 17 58 14 103 - 20</t>
  </si>
  <si>
    <t>201663000-0103</t>
  </si>
  <si>
    <t xml:space="preserve"> Formulación e implementación de  la política pública  de la familia en el departamento del Quindío</t>
  </si>
  <si>
    <t>Implementar la política pública que garantice los derechos de las familias del departamento del Quindío.</t>
  </si>
  <si>
    <t>Aumentar espacios de atención, formación y reflexión, orientados al fortalecimiento de los entornos familiares, sociales y educativos.</t>
  </si>
  <si>
    <t>Apoyar con el seguimiento,  monitoreo y evaluación de la política publica de familia</t>
  </si>
  <si>
    <t>Desarrollar estrategias, programas y/o proyectos que promuevan la garantía de derechos de las familias del departamento y fomenten la prevención de riesgo, a través de mejorar las conductas al interior de las mismas</t>
  </si>
  <si>
    <t>Apoyo  al  seguimiento de  la  ejecución presupuestal  de los recursos destinados   a la  política pública de familia</t>
  </si>
  <si>
    <t>Apoyo y acompañamiento jurídico en el marco de la implementación de la política publica de familia</t>
  </si>
  <si>
    <t>Realizar acciones tendientes a la implementación de la política publica de familia</t>
  </si>
  <si>
    <t xml:space="preserve">Alto grado de tolerancia ante la diversidad de pensamientos y comportamientos al interior de las familias </t>
  </si>
  <si>
    <t xml:space="preserve">Campañas, publicidad y promoción </t>
  </si>
  <si>
    <t>Refrigerios, logística y sonido</t>
  </si>
  <si>
    <t xml:space="preserve">Quindío departamento de derechos  de niñas, niños y adolescentes </t>
  </si>
  <si>
    <t/>
  </si>
  <si>
    <t>Implementar la política pública de primera infancia, infancia y adolescencia</t>
  </si>
  <si>
    <t>Política publica de primera infancia, infancia y adolescencia implementada</t>
  </si>
  <si>
    <t>201663000-0109</t>
  </si>
  <si>
    <t>Implementación de la  política de primera infancia, infancia y adolescencia en el Departamento del Quindío</t>
  </si>
  <si>
    <t xml:space="preserve">Implementar la política pública que garantice los derechos de los niños, niñas y adolescentes del depto. del Quindío. </t>
  </si>
  <si>
    <t>Eficiencia en la articulación Interinstitucional que garantice un seguimiento efectivo del cumplimiento del plan de acción de la política publica de infancia y adolescencia</t>
  </si>
  <si>
    <t>Apoyar con el seguimiento al Plan de Acción de la Política Publica  de primera infancia, infancia y adolescencia del departamento</t>
  </si>
  <si>
    <t>Apoyo al Comité de  Primera Infancia, Infancia y Adolescencia y al Consejo de Política Social</t>
  </si>
  <si>
    <t>Apoyo a programas que conlleven a la  implementación de la Política publica de primera infancia, infancia y adolescencia en el Departamento del Quindío</t>
  </si>
  <si>
    <t>Apoyo en la revisión jurídica en los temas relacionados con la implementación de la política publica de primera infancia, infancia y adolescencia del departamento</t>
  </si>
  <si>
    <t>Brindar asistencia técnica a los municipios del departamento, que así lo requieran en temas relacionados con el seguimiento e implementación de la política publica de primera infancia, infancia y adolescencia del departamento</t>
  </si>
  <si>
    <t>Promover prácticas deportivas, recreativas, lúdicas y culturales, como generadora y potenciadora en el desarrollo integral de los niños, niñas y adolescentes vulnerables del departamento del Quindío.</t>
  </si>
  <si>
    <t>0316 - 5 - 3 1 3 17 59 14 109 - 20</t>
  </si>
  <si>
    <t>Logística operativa, sonido, refrigerios.</t>
  </si>
  <si>
    <t>Implementar  una estrategia de prevención y atención de embarazos y segundos embarazos a temprana edad.</t>
  </si>
  <si>
    <t>Estrategia de prevención  y atención de embarazos a temprana edad implementada</t>
  </si>
  <si>
    <t xml:space="preserve">Disminuir los factores de vulneración de los derechos de niños, niñas y adolescentes (maltrato, abuso, abandono, explotación sexual) </t>
  </si>
  <si>
    <t>Apoyar la Implementación de una estrategia de prevención de embarazos y segundos embarazos a temprana edad</t>
  </si>
  <si>
    <t>Realizar jornadas pedagógicas de prevención en las Instituciones educativas del depto.</t>
  </si>
  <si>
    <t>Apoyar la articulación intersectorial, a través de mesas de trabajo en pro de la prevención de los embarazos en adolescentes y segundos embarazos a temprana edad.</t>
  </si>
  <si>
    <t xml:space="preserve">Implementar una  estrategia  de prevención y atención de la erradicación del abuso, explotación sexual comercial, trabajo infantil y peores formas de trabajo, y actividades delictivas. </t>
  </si>
  <si>
    <t>Estrategia  de prevención y atención de la erradicación del abuso implementada</t>
  </si>
  <si>
    <t>Formular estrategias de prevención de y atención en la erradicación del abuso, explotación sexual, comercial, actividades delictivas</t>
  </si>
  <si>
    <t>Apoyar la implementación de una  estrategia  de prevención y atención de la erradicación del abuso, explotación sexual comercial, trabajo infantil y peores formas de trabajo, y actividades delictivas</t>
  </si>
  <si>
    <t>Apoyar la implementación del Plan integral de prevención y erradicación del trabajo infantil "PIPETI", las peores formas de trabajo y apoyar al CIETI</t>
  </si>
  <si>
    <t>Brindar asistencia técnica y Apoyo a las la diferentes iniciativas  en los doce municipios orientados a la prevención de la vulneración de los derechos de los niños, niñas y adolescentes</t>
  </si>
  <si>
    <t xml:space="preserve"> "Sí para ti" atención integral a adolescentes y jóvenes </t>
  </si>
  <si>
    <t>Revisar, ajustar e implementar la política pública de juventud del departamento</t>
  </si>
  <si>
    <t>Política pública de juventud revisada, ajustada e implementada</t>
  </si>
  <si>
    <t>0316 - 5 - 3 1 3 17 60 14 110 - 20</t>
  </si>
  <si>
    <t>201663000-0110</t>
  </si>
  <si>
    <t>Desarrollar  acciones encaminadas a la atención integral  de los adolescentes y jóvenes del Departamento del Quindío</t>
  </si>
  <si>
    <t>Desarrollar procesos efectivos de atención, generación de impacto, oferta pública y garantía de derechos.</t>
  </si>
  <si>
    <t xml:space="preserve">Revisar, ajustar e implementar la política pública de jóvenes del departamento </t>
  </si>
  <si>
    <t xml:space="preserve">Apoyo y seguimiento a los indicadores de cumplimiento del plan de acción de la política publica de juventud </t>
  </si>
  <si>
    <t xml:space="preserve">20
</t>
  </si>
  <si>
    <t>Manuel Alejandro Patiño</t>
  </si>
  <si>
    <t>María Del Carmen Aguirre Botero
Secretaria de Familia</t>
  </si>
  <si>
    <t xml:space="preserve">Fortalecer los proyectos productivos de organizaciones juveniles legalmente  constituidas </t>
  </si>
  <si>
    <t xml:space="preserve">Capacitaciones, socialización y conformación de espacios de participación juvenil </t>
  </si>
  <si>
    <t>Desarrollo de acciones dispuestas a la implementación de la política de juventud, en los componentes de responsabilidad de la oficina de juventud</t>
  </si>
  <si>
    <t>ADQUISICION DE BIENES Y SERVICIOS: Logística operativa,  refrigerios, sonido, ferretería, etc.</t>
  </si>
  <si>
    <t>Volantes, pendones, afiches, manillas, etc.</t>
  </si>
  <si>
    <t>Implementar  dos (2) estrategias de prevención para adolescentes y jóvenes en riesgo social y/o vinculados a la Ley de responsabilidad  penal</t>
  </si>
  <si>
    <t>Número  de estrategias  de prevención  para adolescentes y jóvenes implementadas</t>
  </si>
  <si>
    <t xml:space="preserve">Actividades pedagógicas y Jornadas de movilización social  sobre el concepto de la práctica barrista como expresión cultural, dirigidas a los jóvenes que son líderes y miembros  de las barras futboleras del Departamento del Quindío. </t>
  </si>
  <si>
    <t>Ordinario</t>
  </si>
  <si>
    <t>Realizar actividades de prevención para adolescentes y jóvenes en riesgo social y/o vinculados a la Ley de responsabilidad  penal</t>
  </si>
  <si>
    <t>Apoyo y seguimiento a los procesos de coordinación del sistema de responsabilidad penal</t>
  </si>
  <si>
    <t>Desarrollar e implementar una estrategia de prevención del consumo de sustancias psico activas  (SPA)  dirigida a adolescentes y jóvenes del departamento.</t>
  </si>
  <si>
    <t>Estrategia   de  prevención del consumo de sustancias psico activas  (SPA) , implementada.</t>
  </si>
  <si>
    <t>Desarrollar  e implementar  estrategias  de prevención  del consumo de sustancias psicoactivas  (SPA)  en  adolescentes y jóvenes del departamento, Con el fin de  sensibilizar  la población frente  a  los daños colaterales generados por  el consumo.</t>
  </si>
  <si>
    <t>Implementar una estrategia de prevención del consumo de SPA en el departamento del Quindío</t>
  </si>
  <si>
    <t>Apoyar  en temas de prevención del consumo de sustancias psicoactivas, a través de talleres de sensibilización.</t>
  </si>
  <si>
    <t xml:space="preserve">Seguimiento a la implementación de la estrategia de prevención de consumo de SPA </t>
  </si>
  <si>
    <t>"Capacidad sin limites"</t>
  </si>
  <si>
    <t>Revisar, ajustar  e implementar   la política pública departamental de discapacidad  "Capacidad sin limites",</t>
  </si>
  <si>
    <t>Política pública departamental de discapacidad  revisada, ajustada  e implementada.</t>
  </si>
  <si>
    <t>0316 - 5 - 3 1 3 17 61 14 114 - 20</t>
  </si>
  <si>
    <t>201663000-0114</t>
  </si>
  <si>
    <t>Actualización e implementación  de   la política pública departamental de discapacidad  "Capacidad sin limites" en el Quindío</t>
  </si>
  <si>
    <t xml:space="preserve">Aumentar los niveles de representatividad e incidencia de las personas con discapacidad en escenarios de participación social y política en el Departamento. </t>
  </si>
  <si>
    <t xml:space="preserve">Realizar acciones para  el  seguimiento al Plan de Acción de los CMD – Ejes de la Política Publica
</t>
  </si>
  <si>
    <t xml:space="preserve">Apoyar la elaboración de diagnósticos comunitarios sobre la situación de personas con discapacidad en comunidades focalizadas. 
</t>
  </si>
  <si>
    <t>Luz Marina Martínez Ossa</t>
  </si>
  <si>
    <t xml:space="preserve">
MARIA DEL CARMEN AGUIRRE BOTERO
SECRETARIA DE FAMILIA</t>
  </si>
  <si>
    <t xml:space="preserve">Promover  y  fortalecer la creación de organizaciones que trabajan con y para las personas con discapacidad y sus familias 
</t>
  </si>
  <si>
    <t>Apoyar la Formación a líderes y al Comité Departamental de Discapacidad en gestión y formulación de proyectos</t>
  </si>
  <si>
    <t>Procesos de  fortalecimiento en la cultura organizacional  del sector público y privado</t>
  </si>
  <si>
    <t>Apoyar la Formación de la población con discapacidad, cuidadores , cuidadoras y sus familias, en talleres de formación en maderas, pintura, muralismo, escultura y artes plásticas, etc., con el fin de realizar inclusión social y mejoramiento de su calidad de vida.</t>
  </si>
  <si>
    <t>Apoyo  al  seguimiento del  plan de acción, presupuesto e indicadores de la  política pública de discapacidad</t>
  </si>
  <si>
    <t>Apoyar la Implementación de  una estrategia gerencial integral  que permita la funcionalidad y operatividad del Comité Departamental de Discapacidad, como la asesoría a los comités municipales de discapacidad en su fortalecimiento y sostenimiento</t>
  </si>
  <si>
    <t>Fomentar y fortalecer la inclusión laboral y productiva de cuidadores, cuidadoras, PCD y sus Familias</t>
  </si>
  <si>
    <t xml:space="preserve">Capacitar en el cuidado y manejo de la Discapacidad a Cuidadoras, Cuidadores y Familias </t>
  </si>
  <si>
    <t xml:space="preserve">Apoyar la elaboración ,seguimiento y evaluación de los planes de acción de los municipios y depto. de la Política Publica de discapacidad.
</t>
  </si>
  <si>
    <t xml:space="preserve">Diseñar , construir  y difundir  de manera concertada la malla de oferta institucional con los diferentes actores
</t>
  </si>
  <si>
    <t>Acompañamiento a  las personas con discapacidad,  familias y comunidad en la implementación del programa RBC</t>
  </si>
  <si>
    <t>Realizar  capacitaciones en agentes comunitarios en RBC</t>
  </si>
  <si>
    <t>Servicio permanente de intérpretes de lengua de señas en servicios de urgencia y de información pública.</t>
  </si>
  <si>
    <t>Conformación y fortalecimiento a las redes de apoyo de la estrategia RBC</t>
  </si>
  <si>
    <t>Eventos de participación e integración de la población con discapacidad</t>
  </si>
  <si>
    <t xml:space="preserve">LOGISTICA OPERATIVA: Refrigerios, sonido, logística en general, elementos y/o materia prima </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</si>
  <si>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</si>
  <si>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</si>
  <si>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</si>
  <si>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0316 - 5 - 3 1 3 18 62 14 117 - 20</t>
  </si>
  <si>
    <t>201663000-0117</t>
  </si>
  <si>
    <t xml:space="preserve">Diseño e implementación  de la estratégica para la atención de la  población  en vulnerabilidad extrema  en el Departamento del Quindío  </t>
  </si>
  <si>
    <t>Diseño e implementación de una estrategia para la atención de la población en situación de vulnerabilidad extrema del departamento. (Habitantes de calle, trabajo sexual, reincidencia delictiva, drogadicción, bandas delincuenciales, entre otras.</t>
  </si>
  <si>
    <t>Implementar una estrategia integral necesariamente articulada en red que asegure contar con los recursos suficientes mediante una  efectiva sinergia y  coordinación entre instituciones públicas y privadas.</t>
  </si>
  <si>
    <t>Apoyar el seguimiento a los planes de acción participativos  para atención de la población en alta vulnerabilidad</t>
  </si>
  <si>
    <t>MAURICIO MORALES DUQUE</t>
  </si>
  <si>
    <t>Apoyar el seguimiento a los programas, proyectos y/o actividades que beneficien la población Habitantes en Calle y  personas en alta  vulnerabilidad y alto riesgo social</t>
  </si>
  <si>
    <t>Brindar asistencia técnica a las poblaciones en estado de vulnerabilidad en procesos de emprendimiento, creación  y formalización de empresas.</t>
  </si>
  <si>
    <t>Fomentar los procesos de emprendimiento y empleabilidad de las poblaciones en estado de vulnerabilidad del departamento del Quindío</t>
  </si>
  <si>
    <t>Implementar  programas, proyectos y/o actividades para la atención a habitantes de calle  del departamento del Quindío así como, acciones encaminadas a garantizar los derechos de la población en estado  de  vulnerabilidad  extrema  en el departamento del Quindío.</t>
  </si>
  <si>
    <t>Apoyar la implementación una  estrategia para la atención de la  población  en  situación  de  vulnerabilidad  extrema  en el Departamento del Quindío (habitantes de  calle, trabajo  sexual, reincidencia delictiva, drogadicción, bandas delincuenciales, entre otros).</t>
  </si>
  <si>
    <t>Apoyo  al  seguimiento de  la  ejecución presupuestal  de los recursos destinados  a la Implementación de la estrategia de atención de la población en situación de vulnerabilidad del departamento</t>
  </si>
  <si>
    <t>Brindar apoyo a la Secretaría de Familia en las diferentes jornadas, actividades o acciones  realizadas  con  población vulnerable del departamento el Quindío.</t>
  </si>
  <si>
    <t>Apoyar a la Secretaría de Familia en la realización de convocatorias, acompañamiento logístico y asistencia operativa tendientes a la atención de la población vulnerable del departamento.</t>
  </si>
  <si>
    <t>Apoyar con la realización de informes relacionados con el cumplimiento de la meta: 191: Diseñar  e   implementar una  estrategia para la atención de la  población  en  situación  de  vulnerabilidad  extrema  en el Departamento del Quindío (habitantes de  calle, trabajo  sexual, reincidencia delictiva, drogadicción, bandas delincuenciales, entre otros).</t>
  </si>
  <si>
    <t>Apoyar la coordinación entre las diferentes Secretarías del orden departamental  y/o demás instituciones para la atención integral de la población vulnerable</t>
  </si>
  <si>
    <t>Apoyar  con  programas específicos, dirigido  a grupos  que viven en entornos de alto riesgo: Extrema pobreza, desarraigo social,  drogadicción, delincuencia, prostitución, o pertenecen a familias    multiproblemáticas  y de alto riesgo social</t>
  </si>
  <si>
    <t>Realizar  estrategias orientadas a  población en estado de vulnerabilidad que permitan garantizar espacios de bienestar, cohesión social; que dignifiquen sus condiciones de vida.</t>
  </si>
  <si>
    <t>Desarrollar estrategias, programas y/o proyectos que promuevan la garantía de derechos de las familias de población vulnerable del departamento y fomenten la prevención de los riesgos psicosociales a través de intervenciones educativas</t>
  </si>
  <si>
    <t xml:space="preserve">Realizar actividades tendientes a la implementación de estrategias, programas o proyectos que conlleven al bienestar de las familias, los niños y niñas, jóvenes y mujeres del departamento del Quindío en situación de vulnerabilidad </t>
  </si>
  <si>
    <t xml:space="preserve">Implementar con la comunidad  de los sectores de mayor vulnerabilidad programas, proyectos y / o estrategias de prevención al consumo de drogas </t>
  </si>
  <si>
    <t>Logística operativa, refrigerios, sonido, ferretería</t>
  </si>
  <si>
    <t xml:space="preserve">Campañas  de difusión, socialización  y participación  ciudadana para la prevención del  riesgo social en el depto.
</t>
  </si>
  <si>
    <t>Genero, Poblaciones vulnerables y con enfoque diferencial</t>
  </si>
  <si>
    <t>Implementar  un  programa  departamental para la atención y acompañamiento a la población migrante  y de repatriación .</t>
  </si>
  <si>
    <t>programa departamental  implementado para la atención y acompañamiento a la población migrante y de repatriación.</t>
  </si>
  <si>
    <t>0316 - 5 - 3 1 3 18 62 14 118 - 20</t>
  </si>
  <si>
    <t>201663000-0118</t>
  </si>
  <si>
    <t xml:space="preserve"> Implementación del programa  para la atención y acompañamiento  del ciudadano migrante  y de repatriación en el Departamento del Quindío.</t>
  </si>
  <si>
    <t>Implementar el plan de acompañamiento al ciudadano migrante (el que sale y el que retorna).</t>
  </si>
  <si>
    <t>Existencia de planes de acompañamiento al ciudadano migrante del depto. del Quindío</t>
  </si>
  <si>
    <t>Procesos  de capacitación, asistencia técnica, seguimiento y evaluación en cuanto a la garantía de derechos de la población migrante del Departamento</t>
  </si>
  <si>
    <t>-</t>
  </si>
  <si>
    <t xml:space="preserve">DIRECTOR DE POBLACIONES </t>
  </si>
  <si>
    <t>Apoyar el programa de asistencia social y de repatriación de Quindianos fallecidos en el exterior</t>
  </si>
  <si>
    <t>Apoyar el plan de vida para el resguardo indígena Dachi Agore Drua del municipio de Calarcá</t>
  </si>
  <si>
    <t>Plan de vida apoyado y fortalecido</t>
  </si>
  <si>
    <t>0316 - 5 - 3 1 3 18 63 14 121 - 20</t>
  </si>
  <si>
    <t>201663000-0121</t>
  </si>
  <si>
    <t>Garantizar el apoyo y fortalecimiento del plan de vida del Resguardo Dachi Agore Drua del municipio de Calarcá en el Departamento del Quindío</t>
  </si>
  <si>
    <t>Altos índices de seguridad alimentaria,</t>
  </si>
  <si>
    <t>Asistencia Social: Procesos de apoyo, gestión, asesoría y acompañamiento al Resguardo Dachi Agore Drua del Departamento para garantizar los derechos fundamentales y Especiales.</t>
  </si>
  <si>
    <t xml:space="preserve">Apoyo, acompañamiento y fortalecimiento en cuanto a procesos de seguridad alimentaria, saneamiento básico, educación, salud, justicia, gobernabilidad y territorio </t>
  </si>
  <si>
    <t>Apoyar con unidades productivas al plan de vida del Resguardo Indígena</t>
  </si>
  <si>
    <t>Compra de herramientas, materiales, insumos, etc. Para beneficiar a la población indígena DACHI AGORE DRUA</t>
  </si>
  <si>
    <t>Apoyar   y fortalecer  la elaboración y puesta en marcha  de  planes de vida de los pueblos indígenas asentados en el Departamento del Quindío.</t>
  </si>
  <si>
    <t>Planes de vida apoyados y fortalecidos</t>
  </si>
  <si>
    <t>0316 - 5 - 3 1 3 18 63 14 122 - 20</t>
  </si>
  <si>
    <t>201663000-0122</t>
  </si>
  <si>
    <t>Apoyar la elaboración y puesta en marcha de planes de vida de los cabildos indígenas en el depto. del Quindío.</t>
  </si>
  <si>
    <t>Elaborar un diagnóstico real de las condiciones de vida de las comunidades indígenas del depto.</t>
  </si>
  <si>
    <t xml:space="preserve"> Garantizar la atención integral y con enfoque diferencial de las comunidades indígenas asentadas en el Departamento del Quindío</t>
  </si>
  <si>
    <t xml:space="preserve">DIRECTOR DE POBLACIONES - JEFE DE OFICINA DE POBLACIONES </t>
  </si>
  <si>
    <t>Articulación institucional para la atención diferencial de los indígenas del depto.</t>
  </si>
  <si>
    <t>Adquisición de bienes y servicios</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</si>
  <si>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</si>
  <si>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</si>
  <si>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0316 - 5 - 3 1 3 18 64 14 124 - 20</t>
  </si>
  <si>
    <t>201663000-0124</t>
  </si>
  <si>
    <t>Garantizar la protección de derechos y la atención integral con enfoque diferencial de las comunidades afro descendientes asentadas en el
Departamento del Quindío.</t>
  </si>
  <si>
    <t>Implementar un programa articulado interinstitucional para la atención integral con enfoque diferencial a la población afro del departamento</t>
  </si>
  <si>
    <t>Capacitaciones dirigidas a comunidades Afros del Departamento</t>
  </si>
  <si>
    <t xml:space="preserve">Asistencia social </t>
  </si>
  <si>
    <t xml:space="preserve">Alto interés en apoyar y fortalecer la formulación de planes de etnodesarrollo en los municipios con presencia de comunidades afro descendientes 
</t>
  </si>
  <si>
    <t xml:space="preserve">Adquisición de bienes y servicios </t>
  </si>
  <si>
    <t>Sí a la diversidad sexual e identidad de género y su familia.</t>
  </si>
  <si>
    <t>Formular  la política pública departamental de diversidad sexual e identidad de género</t>
  </si>
  <si>
    <t>Política pública formulada e implementada</t>
  </si>
  <si>
    <t>0316 - 5 - 3 1 3 18 65 14 125 - 20</t>
  </si>
  <si>
    <t>201663000-0125</t>
  </si>
  <si>
    <t>Fomulación e implementación de la politca pública  de diversidad sexual en el Departamento del Quindio</t>
  </si>
  <si>
    <t>Implementación de la política pública que garantice los derechos de las personas con diversidad sexual e identidad de género en el dpto del Quindío.</t>
  </si>
  <si>
    <t>Establecer políticas claras para la inclusión social de la población LGTBI</t>
  </si>
  <si>
    <t>Implementacion del plan de accion  de la politica publica de diversidad sexual e identidad de genero</t>
  </si>
  <si>
    <t>RO</t>
  </si>
  <si>
    <t>JEFE DE GENERO</t>
  </si>
  <si>
    <t>Desarrollo de campañas talleres y proyectos relacionados con la promocion de derechos de poblacion LGTBI</t>
  </si>
  <si>
    <t>Pendón,plegables. Folletos, manillas, etc</t>
  </si>
  <si>
    <t>Logistica operativa, refrigerios, sonido para celebracion de eventos relacionados con la equidad</t>
  </si>
  <si>
    <t>Mujeres constructoras de Familia y de paz.</t>
  </si>
  <si>
    <t>Revisar, ajustar  e  implementar  la política publica de equidad de género para la  mujer del departamento</t>
  </si>
  <si>
    <t>Política pública  de equidad de genero revisada, ajustada e implementada.</t>
  </si>
  <si>
    <t xml:space="preserve">0316 - 5 - 3 1 3 18 66 14 128 - 20
</t>
  </si>
  <si>
    <t>201663000-0128</t>
  </si>
  <si>
    <t>Implementaciòn de la polìtica pùblica de equidad de género para la mujer en el Departamento del Quindìo</t>
  </si>
  <si>
    <t xml:space="preserve">Sensibilizar y fortalecer a la población vulnerable asentada en el departamento del Quindío (mujeres, indígenas, afrodescendientes, migrantes y población LGTBI), promoviendo el cumplimiento de los derechos y  garantizando condiciones de vida digna </t>
  </si>
  <si>
    <t>Cumplimiento de la normatividad jurídica nacional e internacional</t>
  </si>
  <si>
    <t>Seguimiento al cumplimiento de los planes de acción de la Politica Publica de  Equidad de Género para la mujer</t>
  </si>
  <si>
    <t>Apoyo en la consolidacion de espacios de participacion a traves de la socializacion de la normatividad existente</t>
  </si>
  <si>
    <t>seguimiento al Plan de Acción de la Política Publica de Equidad de Género para Mujer</t>
  </si>
  <si>
    <t xml:space="preserve">Capacitacion  y concientización  para lograr la igualdad de género y empoderar a las mujeres </t>
  </si>
  <si>
    <t>Fortalecimiento y/o apoyo a unidades productivas y/o proyectos de emprendemiento de mujeres</t>
  </si>
  <si>
    <t>Desarrollo de actividades de impacto para la promocion de derechos y movilizacion social</t>
  </si>
  <si>
    <t>Atención integral al Adulto Mayor</t>
  </si>
  <si>
    <t xml:space="preserve">Quindío para todas las edades </t>
  </si>
  <si>
    <t>Revisar, ajustar  e implementar  la política pública departamental "Un Quindío para todas las edades 2010-2020"</t>
  </si>
  <si>
    <t>Política pública revisada, ajustada  e implementada.</t>
  </si>
  <si>
    <t xml:space="preserve">0316 - 5 - 3 1 3 19 67 14 129 - 20
</t>
  </si>
  <si>
    <t>201663000-0129</t>
  </si>
  <si>
    <t xml:space="preserve">Apoyo y bienestar integral a las personas mayores del Departamento del Quindío </t>
  </si>
  <si>
    <t>Altos índices de atención a los adultos mayores en el departamento del Quindío.</t>
  </si>
  <si>
    <t xml:space="preserve">                                                                                    Apoyar la elaboración ,seguimiento y evaluación de los planes de acción de los municipios y depto. de la Política Publica de envejecimiento y vejez
                                                                                                                                                                                                                                  </t>
  </si>
  <si>
    <t>Apoyo  al  seguimiento de  la  ejecución presupuestal  de los recursos destinados   a la  política pública de Envejecimiento y vejez</t>
  </si>
  <si>
    <t xml:space="preserve">Apoyar el seguimiento y evaluación de los planes de acción de los municipios y depto. de la Política Publica de envejecimiento y vejez
</t>
  </si>
  <si>
    <t xml:space="preserve">
Desarrollar estrategias de vigilancia y control que permitan garantizar el cumplimiento y reconocimiento de los derechos de las personas mayores</t>
  </si>
  <si>
    <t xml:space="preserve">
Apoyar asistencias técnicas grupales a los grupos de adultos mayores del depto., en deporte, cultura, recreación y motivación </t>
  </si>
  <si>
    <t xml:space="preserve">Realizar motivación e infundir  sentido de pertenencia y compromiso de parte del Consejo Departamental del  adulto mayor_x000D_
</t>
  </si>
  <si>
    <t>Logística Operativa: Sonido, logística, refrigerios</t>
  </si>
  <si>
    <t>Apoyo a  eventos programados por la Secretaría día de la celebración de las personas de la tercera edad y el pensionado</t>
  </si>
  <si>
    <t>Crear el cabildo de adulto mayor del Departamento y apoyar la creación en once municipios del Quindío</t>
  </si>
  <si>
    <t>Número de Cabildos de Adulto Mayor creados.</t>
  </si>
  <si>
    <t xml:space="preserve">
Apoyar con actividades para la  creación del cabildo de adulto mayaren en 6 municipios del Quindío
</t>
  </si>
  <si>
    <t xml:space="preserve">Apoyar 12 Centros de Bienestar del Departamento </t>
  </si>
  <si>
    <t>Centro de bienestar apoyados</t>
  </si>
  <si>
    <t>0316 - 5 - 3 1 3 19 67 14 129 - 06
0316 - 5 - 3 1 3 19 67 14 129 - 84</t>
  </si>
  <si>
    <t xml:space="preserve">Apoyar acciones que conlleven al conocimiento de la Ley 1276 del 2009: Nuevos Criterios de Atención Integral del Adulto  Mayor en los Centros Vida
</t>
  </si>
  <si>
    <t>Centros de Bienestar del Adulto Mayor (CBA)</t>
  </si>
  <si>
    <t>Estampilla adulto mayor</t>
  </si>
  <si>
    <t>Superávit Adulto mayor</t>
  </si>
  <si>
    <t xml:space="preserve">Apoyar 14 Centros Vida del Departamento </t>
  </si>
  <si>
    <t>Centros vida apoyados</t>
  </si>
  <si>
    <t>CENTROS VIDA (DV)</t>
  </si>
  <si>
    <t>SEGUIMIENTO PLAN DE ACCIÓN
SECRETARIA DE HACIENDA Y FINANZAS PUBLICAS
I TRIMESTRE  2019</t>
  </si>
  <si>
    <t xml:space="preserve">                                                               </t>
  </si>
  <si>
    <t>BUEN GOBIERNO</t>
  </si>
  <si>
    <t>GESTIÓN TERRIITORIAL</t>
  </si>
  <si>
    <t>MODERNIZACIÓN TECNOLOGICA Y ADMINISTRATIVA</t>
  </si>
  <si>
    <t>Implementar 4 procesos de fiscalización de las Rentas Departamentales</t>
  </si>
  <si>
    <t>Procesos de fiscalización implementados</t>
  </si>
  <si>
    <t>0307 - 5 - 3 1 5 28 88 17 16 - 20
0307 - 5 - 3 1 5 28 88 17 16 - 56
0307 - 5 - 3 1 5 28 88 17 16 - 88</t>
  </si>
  <si>
    <t>201663000-0016</t>
  </si>
  <si>
    <t xml:space="preserve"> Mejoramiento de la sostenibilidad de los procesos de fiscalización liquidación control y cobranza de los tributos en el Departamento del Quindío</t>
  </si>
  <si>
    <t xml:space="preserve"> Aumentar los  porcentajes de crecimiento de los ingresos en el Departamento del Quindio, a través de procesos de fiscalización, procedimientos administrativos de cobro coactivo de la cartera morosa y cumplimiento del  Programa Anticontrabando 
</t>
  </si>
  <si>
    <t xml:space="preserve">Realizar procesos de fiscalizaciòn de las rentas Departamentales, a través de la realización de controles en la
liquidación y cobranza  en los tributos con el fin de aumentar los ingresos consolidar la cultura tributaria y
aumentar la inversion. 
</t>
  </si>
  <si>
    <t>Procesos de Fiscalizaciòn sobre  LAS RENTAS DEPARTAMENTALES</t>
  </si>
  <si>
    <t xml:space="preserve">
Recurso Ordinario
</t>
  </si>
  <si>
    <t>20-88-56</t>
  </si>
  <si>
    <t>Maria Yaneth Salcedo Solano</t>
  </si>
  <si>
    <t xml:space="preserve"> Secretaría de Hacienda</t>
  </si>
  <si>
    <t>Implementar una estrategia de cobro coactivo sobre la cartera morosa de las Rentas Departamentales.</t>
  </si>
  <si>
    <t>Estrategia de cobro coactivo implementada</t>
  </si>
  <si>
    <t>Llevar a cabo la implementaciòn de los diferentes Procesos Administrativos de Cobro Coactivo sobre aquellos contribuyentes que se encuentran en mora de cancelar sus obligaciones tributarias</t>
  </si>
  <si>
    <t xml:space="preserve">Procedimiento Administrativo de cobro coactivo frente a la cartera de las diferentes Rentas del Departamento del Quindío </t>
  </si>
  <si>
    <t xml:space="preserve">
Recurso Ordinario
</t>
  </si>
  <si>
    <t xml:space="preserve">Ejecutar el programa anti contrabando suscrito con la Federación Nacional de Departamentos.                               </t>
  </si>
  <si>
    <t>Programa anticontrabando ejecutado</t>
  </si>
  <si>
    <t>Ejecutar el Programa Anticontrabando en el Departamento del Quindìo con ocasion de la suscripcion del Convenio entre el Departamento del Quindìo y la Federaciòn Nacional de Departamentos</t>
  </si>
  <si>
    <t xml:space="preserve">Programa Anticontrabando de licores, Cerveza y Cigarrillos.
</t>
  </si>
  <si>
    <t>Convenio Anticontrabando</t>
  </si>
  <si>
    <t>Elaborar el diagnóstico del sistema de Información tributario y financiero</t>
  </si>
  <si>
    <t>Diagnostico del sistema de información tributario y financiero elaborado</t>
  </si>
  <si>
    <t xml:space="preserve">0307 - 5 - 3 1 5 28 88 17 17 - 20
0307 - 5 - 3 1 5 28 88 17 17 - 88
</t>
  </si>
  <si>
    <t>201663000-0017</t>
  </si>
  <si>
    <t xml:space="preserve"> Implementación de un programa de gestión fianciera para la optimización de los procesos en el area de tesorería, presupuesto y contabilidad en el Departamento del Quindio </t>
  </si>
  <si>
    <t xml:space="preserve">Fortalecer la Gestiòn Financiera mediante la consolidaciòn de los Sistemas de Informaciòn, implementaciòn de Normas Internacionales de Informaciòn Financiera NIIF,  crecimiento real de ingresos, sostenibilidad de la deuda y el manejo de pasivos, a fin de garantizar la confiabilidad de la Informaciòn Financiera y aplicacìon de Normas en las Finanzas Pùblicas
</t>
  </si>
  <si>
    <t>Elaborar el diagnóstico del sistema de información tributario y financiero, consolidando los sistemas de información y optimizando los procesos en el área de tesoreria, presupuesto y contabilidad en el Departamento del Quindío</t>
  </si>
  <si>
    <t>consolidación de lls sistemas de información</t>
  </si>
  <si>
    <t>20-88</t>
  </si>
  <si>
    <t>Edwin Leonardo Acevedo Lozano</t>
  </si>
  <si>
    <t xml:space="preserve">  Secretarría de Hacienda</t>
  </si>
  <si>
    <t xml:space="preserve">Implementar un programa para el cumplimiento de las políticas y prácticas contables para la administración departamental         </t>
  </si>
  <si>
    <t>Programa para el cumplimiento de políticas contables implementado</t>
  </si>
  <si>
    <t xml:space="preserve">Adoptar el nuevo modelo de informaciòn Financiera determinado por las Normas Internacionales de Contabilidad de información financiera NIIF, a fin de garantizar la confiabilidad de la información financiera.
</t>
  </si>
  <si>
    <t xml:space="preserve"> Implementaciòn de Normas Internacionales de Informaciòn Financiera (NIIF) y fortalecimiento institucional ara el cumplimiento de de las politicas y practicas contables en el área de tesorería, Presupuesto y Contabilidad</t>
  </si>
  <si>
    <t>                         </t>
  </si>
  <si>
    <t xml:space="preserve">LUZ HELENA MEJIA  CARDONA </t>
  </si>
  <si>
    <t>Secretaria de Hacienda Y Finanzas Públicas</t>
  </si>
  <si>
    <t>SEGUIMIENTO PLAN DE ACCIÓN
IDTQ 
I TRIMESTRE 2019</t>
  </si>
  <si>
    <t>SEGURIDAD HUMANA</t>
  </si>
  <si>
    <t>Seguridad humana como dinamizador de la vida, dignidad y libertad en el Quindio</t>
  </si>
  <si>
    <t>Fortalecimiento de la Seguridad vial en el Departamento</t>
  </si>
  <si>
    <t>Implementar  programas para contribuir en la reducciòn de la accidentalidad en las vías del departamento del Quindìo.</t>
  </si>
  <si>
    <t>Fortalecimiento de la seguridad vial  en el Departamento del Quindío</t>
  </si>
  <si>
    <t>Disminuir  el numero de lesiones fatales y graves por accidentes de transito , en la poblacion , a traves de planes y programas institucionales para mejorar las condiciones de vida de la poblacion de los municipios de la jurisdicción del instituto departamental de transito del quindio</t>
  </si>
  <si>
    <t>Disminuir los riesgos de accidentes en las vias mediante la formulación e implementación de planes y programas de seguridad vial para el mejoramiento de las ocndiciones de vida de la población en la jurisdicción del I.D.T.Q</t>
  </si>
  <si>
    <t>Implementar un programa para disminuir la accidentalidad en las vías del departamento</t>
  </si>
  <si>
    <t>Recurso Ordinario Departamento</t>
  </si>
  <si>
    <t>Raul Augusto Perez Ospina</t>
  </si>
  <si>
    <t>Gloria Mercedes Buitrago Salazar</t>
  </si>
  <si>
    <t>Recurso Propio IDTQ</t>
  </si>
  <si>
    <t xml:space="preserve">Formular e implementar el Plan de Seguridad Vial del Departamento </t>
  </si>
  <si>
    <t>Formulación del Plan de Seguridad Vial</t>
  </si>
  <si>
    <t xml:space="preserve">Apoyar la implementación del programa: Ciclorutas en el departamento del Quindío </t>
  </si>
  <si>
    <t>Generear oportunidades institucionales a través de procesos de gestion orientados a insentivar programas de movilidad sostenible en la jurisdiccion del I.D.T.Q</t>
  </si>
  <si>
    <t>Campañas de difusión y sensibilización a la población del Programa Nacional de ciclorutas</t>
  </si>
  <si>
    <t>SECRETARIO DE DESPACHO</t>
  </si>
  <si>
    <t>SEGUIMIENTO PLAN DE ACCIÓN
INDEPORTES
I TRIMESTRE 2019</t>
  </si>
  <si>
    <t>Apoyo al deporte asociado</t>
  </si>
  <si>
    <t xml:space="preserve"> Ligas deportivas del departamento del Quindío</t>
  </si>
  <si>
    <t xml:space="preserve">Apoyar  y fortalecer veintitrés (23) ligas deportivas.   </t>
  </si>
  <si>
    <t>Ligas deportivas apoyadas y fortalecidas.</t>
  </si>
  <si>
    <t>2234468202-12</t>
  </si>
  <si>
    <t>201663000-0161</t>
  </si>
  <si>
    <t>Apoyo al deporte asociado en el Departamento del Quindio</t>
  </si>
  <si>
    <t xml:space="preserve">Incrementar los niveles de desarrollo en el deporte formativo y competitivo del departamento del quindio
</t>
  </si>
  <si>
    <t xml:space="preserve">Fortalecer los procesos con deportistas de altos logros 
</t>
  </si>
  <si>
    <t>Apoyo a las ligas en los eventos deportivos de carácter federal  (Adquisición de Bienes y Servicios)</t>
  </si>
  <si>
    <t>MONOPOLIO</t>
  </si>
  <si>
    <t>SANDRA YELITZA CASTELBLANCO CELIS</t>
  </si>
  <si>
    <t>GERENTE GENERAL INDEPORTES</t>
  </si>
  <si>
    <t>2234468202-9</t>
  </si>
  <si>
    <t>RENDIMIENTOS FINANCIEROS</t>
  </si>
  <si>
    <t>2234468202-3</t>
  </si>
  <si>
    <t>Realizar acompañamiento y asesorìa a las ligas y clubes del departamento  (Componente tecnico)</t>
  </si>
  <si>
    <t>IPOCONSUMO</t>
  </si>
  <si>
    <t>2234468202_4</t>
  </si>
  <si>
    <t>ICLD</t>
  </si>
  <si>
    <t>Apoyar  a veinte  (20) deportistas en nivel de talento, de proyección y de altos logros con el programa de incentivos económicos a deportistas.</t>
  </si>
  <si>
    <t>Número de deportistas incentivados.</t>
  </si>
  <si>
    <t>2234468203_4</t>
  </si>
  <si>
    <t>Apoyo a deportistas de alto logros y reserva deportiva (Asistencia social)</t>
  </si>
  <si>
    <t xml:space="preserve"> Apoyo a eventos deportivos</t>
  </si>
  <si>
    <t>Apoyar 13 ligas de los eventos deportivos de carácter federado nacional y departamental</t>
  </si>
  <si>
    <t>Ligas apoyadas en eventos departamental y nacionales.</t>
  </si>
  <si>
    <t>2234469204-4</t>
  </si>
  <si>
    <t>Apoyo  logistico a las 13 ligas estrategicas  (Adquisición de Bienes y Servicios)</t>
  </si>
  <si>
    <t>2234469204_12</t>
  </si>
  <si>
    <t>Juegos intercolegiados</t>
  </si>
  <si>
    <t>Desarrollar cuatro (4) juegos Intercolegiados  en sus diferentes fases.</t>
  </si>
  <si>
    <t>Juegos intercolegiados desarrollados</t>
  </si>
  <si>
    <t>2234470205-12</t>
  </si>
  <si>
    <t>201663000-0162</t>
  </si>
  <si>
    <t>Apoyo a los juegos intercolegiados en el Deparrtamento del Quindìo</t>
  </si>
  <si>
    <t xml:space="preserve">Generar espacios de  competencia para las instituciones educativas, aumentando así el porcentaje de utilización de escenarios deportivos y disminuyendo los índices de sedentarismo
</t>
  </si>
  <si>
    <t xml:space="preserve">Fortalecer programas y actividades deportivas
</t>
  </si>
  <si>
    <t xml:space="preserve">Acompañamiento a la fase departamental y nacional de los juegos intercolegiados (Adquisición de Bienes y Servicios) </t>
  </si>
  <si>
    <t>GLORIA INES HERRERA FRANCO</t>
  </si>
  <si>
    <t>2234470205-4</t>
  </si>
  <si>
    <t>2234470205-7</t>
  </si>
  <si>
    <t>COLDEPORTES</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</si>
  <si>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</si>
  <si>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</si>
  <si>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Municipios asesorados técnica, administrada y financieramente en los procesos de escuelas deportivas</t>
  </si>
  <si>
    <t>2234471206_12</t>
  </si>
  <si>
    <t>201663000-0163</t>
  </si>
  <si>
    <t>Apoyo al Deporte formativo, deporte social comunitario y juegos  tradicionales en el Departamento del Quindío</t>
  </si>
  <si>
    <t xml:space="preserve">Generar espacios recreo-deportivos, aumentando el porcentaje de utilización de escenarios deportivos y
disminuyendo los índices de consumo de estupefacientes
</t>
  </si>
  <si>
    <t>Fortalecer los espacios recreodeportivos</t>
  </si>
  <si>
    <t>Brindar asesoria a los doce municipios del departamento (Componente tecnico)</t>
  </si>
  <si>
    <t>Desarrollar  1 eventos de deporte social y comunitario.</t>
  </si>
  <si>
    <t>Eventos deportivos social y comunitarios desarrollar.</t>
  </si>
  <si>
    <t>2234471207_12</t>
  </si>
  <si>
    <t>Realizacion de eventos deportivos en el departamento (Adquisición de Bienes y Servicios)</t>
  </si>
  <si>
    <t>Apoyar  técnicamente un 1  evento de  Juegos Comunales en la fase Departamental</t>
  </si>
  <si>
    <t>Juegos comunales apoyados.</t>
  </si>
  <si>
    <t>2234471208_4</t>
  </si>
  <si>
    <t>Realizacion de los juegos comunales en el departamento (Adquisición de Bienes y Servicios)</t>
  </si>
  <si>
    <t>2234471208_12</t>
  </si>
  <si>
    <t>Si Recreación y actividad física para ti</t>
  </si>
  <si>
    <t>Recreación,  para el Bien Común</t>
  </si>
  <si>
    <t>Apoyar de forma articulada el desarrollo del programa (1) "Campamentos Juveniles"</t>
  </si>
  <si>
    <t>Programa de recreación para la juventud diseñado y desarrollado</t>
  </si>
  <si>
    <t>2234572209-3</t>
  </si>
  <si>
    <t>201663000-0164</t>
  </si>
  <si>
    <t xml:space="preserve"> Apoyo a la Recreación,  para el Bien Común en el Departamento del Quindío</t>
  </si>
  <si>
    <t xml:space="preserve">Disminuir los indices de consumo de estupefacientes en los municipios del departamento a través  del desarrollo de espacios recreodeportivos. 
</t>
  </si>
  <si>
    <t>Fortalecer una cultura recreo-deportiva en la poblacion</t>
  </si>
  <si>
    <t>Brindar apoyo tecnico y logistico a campamentos juveniles (Adquisición de Bienes y Servicios)</t>
  </si>
  <si>
    <t>MANUEL ANTONIO RODRIGUEZ QUINTERO</t>
  </si>
  <si>
    <t>2234572209_7</t>
  </si>
  <si>
    <t>2334572209-3</t>
  </si>
  <si>
    <t>SUPERAVIT IPOCONSUMO</t>
  </si>
  <si>
    <t>Apoyar de forma articulada el programa nuevo comienzo "Otro Motivo para Vivir" (1).</t>
  </si>
  <si>
    <t>Programa nuevo comienzo "Otro Motivo para Vivir" articulado y desarrollado.</t>
  </si>
  <si>
    <t>2234572210_4</t>
  </si>
  <si>
    <t>Apoyo logistico y tecnico al adulto mayor (Adquisición de Bienes y Servicios)</t>
  </si>
  <si>
    <t>2234572210_3</t>
  </si>
  <si>
    <t>2234572210_7</t>
  </si>
  <si>
    <t>2334572210-3</t>
  </si>
  <si>
    <t>Crear y desarrollar una estrategia para articular la actividad recreativa social comunitaria desde la primera infancia hasta las personas mayores.</t>
  </si>
  <si>
    <t>Estrategia creada y desarrollada.</t>
  </si>
  <si>
    <t>2234572211_3</t>
  </si>
  <si>
    <t>Apoyo logistico tecnico (Adquisición de Bienes y Servicio)</t>
  </si>
  <si>
    <t>2234572211_7</t>
  </si>
  <si>
    <t xml:space="preserve"> Actividad física, hábitos y estilos de vida saludables</t>
  </si>
  <si>
    <t xml:space="preserve">implementar un (1) programa que permita ejecutar proyectos  de actividad física para la promoción de hábitos y estilos de vida saludables </t>
  </si>
  <si>
    <t xml:space="preserve">Programa implementado </t>
  </si>
  <si>
    <t>2234573212_3</t>
  </si>
  <si>
    <t>201663000-0165</t>
  </si>
  <si>
    <t>Apoyo a la actividad fisica, salud y productiva en el Departamento del Quindio.</t>
  </si>
  <si>
    <t xml:space="preserve">Disminuir los  índices en el consumo de estupefacientes  y sedentarismo en los municipios del departamento a traves de programa de actividad fisica y habitos saludables
</t>
  </si>
  <si>
    <t xml:space="preserve">Fomentar estios de vida saludable y actividad fisica
</t>
  </si>
  <si>
    <t>Actividades en promoción de hábitos y estilos de vida saludables  (Componente tecnico)</t>
  </si>
  <si>
    <t>2234573212_7</t>
  </si>
  <si>
    <t>Deporte, recreación, actividad fisica en los municipios del departamento del Quindío</t>
  </si>
  <si>
    <t>Apoyar doce (12) municipios en proyectos deportivos, recreactivos y de actividad fisica</t>
  </si>
  <si>
    <t>Numero de municipios apoyados</t>
  </si>
  <si>
    <t>22346741_2</t>
  </si>
  <si>
    <t>201663000-0166</t>
  </si>
  <si>
    <t>Apoyo a proyectos deportivos, recreativos y de actividad fisica, en el Departamento del Quindìo</t>
  </si>
  <si>
    <t>Disminuir los índices del consumo de estupefacientes en los municipios del departamento</t>
  </si>
  <si>
    <t xml:space="preserve">Fortalecer la articulacion interinstitucional
</t>
  </si>
  <si>
    <t>Brindar acompañamiento tecnico a los municipios Otros (Realizar convenios con los doce municipios del departamento para la transferencia de recursos de telefonia movil)</t>
  </si>
  <si>
    <t>Iva telefonia</t>
  </si>
  <si>
    <t xml:space="preserve">GERENTE GENERAL INDEPORTES
</t>
  </si>
  <si>
    <t>SEGUIMIENTO PLAN DE ACCIÓN
SECRETARÍA DE AGUAS E INFRAESTRUCTURA
I TRIMESTRE 2019</t>
  </si>
  <si>
    <t>Edad Económicamente Activa
 (20-59 años)</t>
  </si>
  <si>
    <t>Territorio Vital</t>
  </si>
  <si>
    <t>Manejo Integral del Agua y Saneamiento Basico</t>
  </si>
  <si>
    <t>Formular y ejecutar veinte (20) proyectos de infraestructura de agua potable y saneamiento básico.</t>
  </si>
  <si>
    <t>No de proyectos de infraestructura formulados y/o ejecutados.</t>
  </si>
  <si>
    <t>0308 - 5 - 3 1 1 1 2 3 22 -04
0308 - 5 - 3 1 1 1 2 3 22 - 27
0308 - 5 - 3 1 1 1 2 3 22 - 82
0308 - 5 - 3 1 1 1 2 3 22 - 90</t>
  </si>
  <si>
    <t>201663000-0022</t>
  </si>
  <si>
    <t>Apoyo en atenciones prioritarias en Agua Potable y/o Saneamiento Básico en el Departamento del Quindío.</t>
  </si>
  <si>
    <t>Formular proyectos de infraestructura para la prestacion de servicios de agua potable y saneamiento basico a la poblacion vulnerable del Departamento.</t>
  </si>
  <si>
    <t>Generar intervenciones prioritaria para la adecuacion y optimizacion de sistemas de APSB.</t>
  </si>
  <si>
    <t>Construcción y/o mantenimiento y/o optimizacion de obras de  Agua Potable y/o Saneamiento Básico en el Departamento del Quindío.</t>
  </si>
  <si>
    <t>04</t>
  </si>
  <si>
    <t xml:space="preserve">Estampilla Prodesarrollo </t>
  </si>
  <si>
    <t>EPD</t>
  </si>
  <si>
    <t>Angela Maria Agudelo Rodriguez  Directora Plan Departamental de Aguas</t>
  </si>
  <si>
    <t>Juan Antonio Osorio Alvarez - Secretario de Aguas e Infraestructura</t>
  </si>
  <si>
    <t>SGP Agua Potable y Saneamineto Básico</t>
  </si>
  <si>
    <t>Formular proyectos para ejecutar diferentes proyectos con el fin de brindar un buen servicio de Agua potable y Saneamiento basico.</t>
  </si>
  <si>
    <t>82</t>
  </si>
  <si>
    <t>Superávit Estampilla Prodesarrollo (82)</t>
  </si>
  <si>
    <t>Superávit SGP Agua Potable y Saneamineto Básico (90)</t>
  </si>
  <si>
    <t>0308 - 5 - 3 1 1 1 2 3 23 - 27</t>
  </si>
  <si>
    <t>201663000-0023</t>
  </si>
  <si>
    <t>Construcción y mejoramiento de la infraestructura de agua potable y saneamiento básico del Departamento del Quindio.</t>
  </si>
  <si>
    <t>Infraestructura eficiente para la prestación del servicio de agua potable y saneamiento basico</t>
  </si>
  <si>
    <t>Realizar estudios y diseños enfocados a las necesidades en cuanto a la construccion y mejoramiento de la infraestructura de agua potable y saneamiento basico</t>
  </si>
  <si>
    <t>Construcción y/o mantenimiento y/o optimizacion de obras de  Agua Potable y/o Saneamiento Básico en el Departamento del Quindío</t>
  </si>
  <si>
    <t>SGP Agua Potable y Saneamiento Básico</t>
  </si>
  <si>
    <t>Formular,priorizar, viabilizar y ejecutar proyectos de infraestructura de Agua Potable y Saneamiento Basico</t>
  </si>
  <si>
    <t>Apoyar  veinte (20) proyectos de agua potable y saneamiento básico de acuerdo al plan de acompañamiento social</t>
  </si>
  <si>
    <t xml:space="preserve">No de proyectos acompañados </t>
  </si>
  <si>
    <t>0308 - 5 - 3 1 1 1 2 3 24 - 27</t>
  </si>
  <si>
    <t>201663000-0024</t>
  </si>
  <si>
    <t>Ejecución del plan de acompañamiento social a los proyectos y obras de infraestructura de agua potable y saneamiento básico en el Departamento del Quindío</t>
  </si>
  <si>
    <t xml:space="preserve">Ejecutar el plan de aseguramiento social para los proyectos de agua potable y saneamiento básico Aguas del Departamento del Quindío
</t>
  </si>
  <si>
    <t>Seguimiento a la socializacion de proyectos de Agua potable y Saneamiento Basico.</t>
  </si>
  <si>
    <t>Campañas de Socialización de proyectos de agua potable y saneamiento básico</t>
  </si>
  <si>
    <t xml:space="preserve"> Diseño de estrategias de participacion de la comunidad en los proyectos de agua potable y saneamiento basico.</t>
  </si>
  <si>
    <t>Actualizar e implementar el plan ambiental para el sector de agua potable y saneamiento básico</t>
  </si>
  <si>
    <t>Plan ambiental actualizado e implementado</t>
  </si>
  <si>
    <t>0308 - 5 - 3 1 1 1 2 3 25 - 27</t>
  </si>
  <si>
    <t>201663000-0025</t>
  </si>
  <si>
    <t>Actualización e implementación del  Plan Ambiental para el sector de agua potable y saneamiento básico en el Departamento del Quindío</t>
  </si>
  <si>
    <t>Ejecutar el Plan Ambiental para el sector agua potable y saneamiento básico deacuerdo al decreto 1077 de 2015 para la vigencia 2016 - 2019</t>
  </si>
  <si>
    <t>Descripción actual de la oferta y la demanda de los recursos naturales asociados a la prestación de los servicios públicos de acueducto, alcantarillado y aseo. 
Prever las fuentes de financiación de ley asociadas a est componente de los entes territoriales y la Corporación Autónoma Regional del Quindío, las Empresas Prestadoras de servicios públicos, exenciones tributarias, recursos de cooperación internacional, mecanismos de crédito y financiación, recursos de banca multilateral, entre otros. 
Definir el cumplimiento de los mínimos ambientales para los proyectos de acueducto, alcantarillado y aseo en el Plan ambiental para el sector de agua potable y saneamiento básico.
Definir citerios para la priorización de proyectos de saneamiento y articularlos con los instrumentos de planificación de las entidades territoriales y Corporación Autónoma Regional del Quindío CRQ para garantizar la prestación de los servicios de acueducto, alcantarillado y aseo de los 11 municipios del departamento del Quindío.  
Concertar obras e inversines entre el departamento, el gestor y la Corporación Autónoma Regional del Quindío on base en el diagnóstico del sector, la priorización de proyectos y las inversiones disponibles.</t>
  </si>
  <si>
    <t>Actualización e implementacion del Plan Ambiental para el Sector de Agua Potable y Saneamiento Básico</t>
  </si>
  <si>
    <t>Ejecutar tres (3) proyectos para el aseguramiento de la prestación de los servicios públicos de agua potable y saneamiento básico urbano y rural</t>
  </si>
  <si>
    <t xml:space="preserve">No de proyectos ejecutados para el aseguramiento de la prestación de servicios </t>
  </si>
  <si>
    <t>0308 - 5 - 3 1 1 1 2 3 26 - 27</t>
  </si>
  <si>
    <t>201663000-0026</t>
  </si>
  <si>
    <t>Ejecución del plan de aseguramiento de la prestación de los servicios públicos de agua potable y saneamiento básico urbano y rural en el Departamento del Quindío</t>
  </si>
  <si>
    <t xml:space="preserve">Ejecución del Plan de asegurameinto de la prestación de servicios públicos de agua potable y saneamiento básico urbano y rural en el departamento del Quindío </t>
  </si>
  <si>
    <t xml:space="preserve">Promover esquemas empresariales sostenibles en el corto, mediano y largo plazo </t>
  </si>
  <si>
    <t>Actualizacion y/o  ejecucion del plan de Aseguramiento de la prestación de servicios</t>
  </si>
  <si>
    <t xml:space="preserve">Contratar el grupo gestor del PAP-PDA Quindío  </t>
  </si>
  <si>
    <t>Estructurar el equipo operativo de apoyo al gestor del PAP PDA</t>
  </si>
  <si>
    <t xml:space="preserve">2. </t>
  </si>
  <si>
    <t xml:space="preserve">PROSPERIDAD CON EQUIDAD </t>
  </si>
  <si>
    <t xml:space="preserve">4. </t>
  </si>
  <si>
    <t>INFRAESTRUCTURA SOSTENIBLE PARA LA PAZ</t>
  </si>
  <si>
    <t>14.</t>
  </si>
  <si>
    <t>MEJORA DE LA INFRAESTRUCTURA VIAL DEL DEPARTAMENTO DEL QUINDIO</t>
  </si>
  <si>
    <t>Mantener, mejorar y/o rehabilitar ciento treinta (130) km de vías del Departamento para la implementación del Plan Vial Departamental.</t>
  </si>
  <si>
    <t>Km de vías del departamento mantenidas, mejoradas y/o rehabilitadas</t>
  </si>
  <si>
    <t>201663000-0019</t>
  </si>
  <si>
    <t>Mantener, mejorar, rehabilitar y/o atender las vias y sus emergencias, en cumplimiento del plan vial del Departamento del quindio</t>
  </si>
  <si>
    <t>Mantener, mejorar y/o rehabilitar la infraestructura vial del departamento del quindío.</t>
  </si>
  <si>
    <t xml:space="preserve">Atender oportunamente y con calidad la infraestructura vial del departamento con mantenimiento y rehabilitación </t>
  </si>
  <si>
    <t>Insumos para operación y mantenimiento preventivo y correctivo de la maquinaria amarilla</t>
  </si>
  <si>
    <t xml:space="preserve">SOBRETASA AL ACPM (23)
</t>
  </si>
  <si>
    <t>SOBRETASA ACPM  
RECURSOS DEL CREDITO</t>
  </si>
  <si>
    <t>Marco Aurelio Forero Patiño Director Infraestructura Vial y Social</t>
  </si>
  <si>
    <t>12/31/19</t>
  </si>
  <si>
    <t>Asistencia profesional y tecnica para el mejoramiento vial del Departamento del Quindio.</t>
  </si>
  <si>
    <t>0308 - 5 - 3 1 2 4 14 9 19 - 23</t>
  </si>
  <si>
    <t>Mantener, mejorar y/o rehabilitar la Infraestructura Vial del Departamento del Quindio</t>
  </si>
  <si>
    <t>RECURSO DEL CREDITO (46)</t>
  </si>
  <si>
    <t>0308 - 5 - 3 1 2 4 14 9 19 - 157</t>
  </si>
  <si>
    <t>Superávit Recursos del Crédito (157)</t>
  </si>
  <si>
    <t>0308 - 5 - 3 1 2 4 14 9 19 - 46</t>
  </si>
  <si>
    <t>Asistencia externa para el control y seguimiento de la correcta ejecucion de los contratos de Infraestructura Vial.</t>
  </si>
  <si>
    <t>Apoyar la atención de emergencias viales en los doce (12) Municipios del Departamento del Quindío.</t>
  </si>
  <si>
    <t>Numero de municipios con emergencias viales apoyados</t>
  </si>
  <si>
    <t>Atención oportuna y eficiente de las emergencias viales en el departamento del Quindìo.</t>
  </si>
  <si>
    <t>Transporte, materiales y equipos.</t>
  </si>
  <si>
    <t xml:space="preserve">SOBRETASA AL ACPM (23)-
</t>
  </si>
  <si>
    <t>RECURSOS DEL CREDITO (46)</t>
  </si>
  <si>
    <t xml:space="preserve">0308 - 5 - 3 1 2 4 14 9 19 - 89    </t>
  </si>
  <si>
    <t>Recurso humano necesarios para la atencion de emergencias viales</t>
  </si>
  <si>
    <t>0308 - 5 - 3 1 2 4 14 9 19 - 89</t>
  </si>
  <si>
    <t xml:space="preserve">SUPERÁVIT SOBRETASA AL ACPM (89)
</t>
  </si>
  <si>
    <t>Obra Fisica requerida para la atencion de emergencias viales</t>
  </si>
  <si>
    <t xml:space="preserve">15. </t>
  </si>
  <si>
    <t>MEJORA DE LA INFRAESTRUCTURA SOCIAL DEL DEPARTAMENTO DEL QUINDIO</t>
  </si>
  <si>
    <t>Mantener, mejorar y/o rehabilitar la Infraestructura de cuarenta y ocho (48) instituciones educativas en el departamento del Quindío.</t>
  </si>
  <si>
    <t>Numero de instituciones educativas mantenidas, mejoradas y/o rehabilitadas</t>
  </si>
  <si>
    <t>0308 - 5 - 3 1 2 4 15 1 21 - 04
0308 - 5 - 3 1 2 4 15 1 21 - 82
0308 - 5 - 3 1 2 4 15 15 21 - 20
0308 - 5 - 3 1 2 4 15 1 21 - 04
0308 - 5 - 3 1 2 4 15 1 21 - 82
0308 - 5 - 3 1 2 4 15 7 21 - 46
0308 - 5 - 3 1 2 4 15 15 2 - 56
0308 - 5 - 3 1 2 4 15 15 21 - 82</t>
  </si>
  <si>
    <t>201663000-0021</t>
  </si>
  <si>
    <t>Construir, mantener, mejorar y/o rehabilitar la infraestructura social del Departamento del quindio</t>
  </si>
  <si>
    <t>Construir, mantener, mejorar y/o rehabilitar la infraestructura social del departamento del Quindío.</t>
  </si>
  <si>
    <t>Mantener en buen estado la infraestructura y asequible la infraestructura social del departamento del Quindío</t>
  </si>
  <si>
    <t>1.1 Transporte, elementos, materiales, equipos e insumos infraestructura educativa</t>
  </si>
  <si>
    <t>ESTAMPILLA PRO - DESARROLLO (04)</t>
  </si>
  <si>
    <t>Estampilla Prodesarrollo
Recursos del Credito
Recursos Nacionales</t>
  </si>
  <si>
    <t>Marco Aurelio Forero Patiño Director Infraestructura Vial y Social 
Carlos Andres Baena - Jefe Infraestructura Social</t>
  </si>
  <si>
    <t>Juan Antonio Osorio Alvarez Secretario de Aguas e Infraestructura</t>
  </si>
  <si>
    <t>1.2 Asistencia profesional- tecnica y mano de obra Infraestructura educativa</t>
  </si>
  <si>
    <t>1.3 Mantener, mejorar y/o rehabilitar la Infraestructura educativa del Departamento del Quindio.</t>
  </si>
  <si>
    <t>SUPERÁVIT ESTAMPILLA PRO - DESARROLLO (82)</t>
  </si>
  <si>
    <t>1.4 Asistencia externa para el control y seguimiento de la correcta ejecucion de los contratos en Infraestructura educativa</t>
  </si>
  <si>
    <t>Apoyar la construcción, mejoramiento y/o rehabilitación de cuatro (4) obras de infraestructura de salud del departamento del Quindío</t>
  </si>
  <si>
    <t>Numero de instituciones de salud mejoradas y/o apoyadas</t>
  </si>
  <si>
    <t>2.1 Obra Fisica Infraestructura de Salud</t>
  </si>
  <si>
    <t>2.2 Asistencia externa para el control y seguimiento de la correcta ejecucion de los contratos en Infraestructura de Salud</t>
  </si>
  <si>
    <t>Apoyar la construcción, mejoramiento y/o  rehabilitación de la infraestructura de doce (12) escenarios deportivos y/o recreativos en el departamento del Quindío</t>
  </si>
  <si>
    <t>Número de escenarios deportivo o recreativo  apoyado</t>
  </si>
  <si>
    <t>3.1 Transporte, elementos, materiales, equipos e insumos Infraestructura deportiva</t>
  </si>
  <si>
    <t xml:space="preserve">ESTAMPILLA PRO - DESARROLLO (04)
</t>
  </si>
  <si>
    <t>3.2 Asistencia profesional - tecnica y mano de obra de Infraestructura deportiva</t>
  </si>
  <si>
    <t>3.3 Mantener, mejorar y/o rehabilitar la Infraestructura deportiva del Departamento del Quindio.</t>
  </si>
  <si>
    <t>3.4 Asistencia externa para el control y seguimiento de la correcta ejecucion de los contratos en infraestructura deportiva</t>
  </si>
  <si>
    <t>Apoyar la construcción, el mantenimiento, el mejoramiento y/o la rehabilitación de la infraestructura de doce (12) equipamientos públicos y colectivos del Departamento del Quindío.</t>
  </si>
  <si>
    <t>Número de  equipamientos públcos  y colectivos rehabilitados</t>
  </si>
  <si>
    <t>4.1 Transporte, elementos, materiales, equipos e insumos Infraestructura Equipamientos publicos y colectivos</t>
  </si>
  <si>
    <t xml:space="preserve">RECURSO ORDINARIO (20)
</t>
  </si>
  <si>
    <t>4.2 Construir, mantener, mejorar y/o rehabilitar la infraestructura Social del Departamento del Quindio</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</si>
  <si>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</si>
  <si>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</si>
  <si>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5.1 Construir, mantener, mejorar y/o rehabilitar la Infraestructura Institucional o de edificios publicos del Departamento del Quindio.</t>
  </si>
  <si>
    <t>5.2 Asistencia externa para el control y seguimiento de la correcta ejecucion de los contratos en Infraestructura Institucional o de edificios publicos en el departamento del Quindio.</t>
  </si>
  <si>
    <t>Apoyar la construcción y  el mejoramiento de mil (1000) viviendas urbana y rural priorizada en el departamento del Quindío.</t>
  </si>
  <si>
    <t>Número de viviendas apoyadas</t>
  </si>
  <si>
    <t>6.1 Mejoramiento de vivienda</t>
  </si>
  <si>
    <t xml:space="preserve">Desarrollar tres (3) ejercicios de presupuesto participativo con la ciudadanía, para la priorización de recursos de infraestructura física en el Departamento </t>
  </si>
  <si>
    <t xml:space="preserve">Desarrollar tres (3) ejercicios de presupuesto participativo con la ciudadanía, para la priorización de recursos de infraestructura física en el departamento </t>
  </si>
  <si>
    <t xml:space="preserve">7.1 Evento Socializacion ejercicio participativo </t>
  </si>
  <si>
    <t>RECURSO ORDINARIO (20)</t>
  </si>
  <si>
    <t>0308 - 5 - 3 1 2 4 15 15 2 - 56</t>
  </si>
  <si>
    <t>2018003630- 002</t>
  </si>
  <si>
    <t xml:space="preserve">Contrucción Cancha Sintetica y Adecuación del Polideportivo en el Sector el Naranjal, Quimbaya Quindio </t>
  </si>
  <si>
    <t>Incrementar los niveles de práctica deportiva</t>
  </si>
  <si>
    <t>Aumentar los espacios para la prácticas deportivas</t>
  </si>
  <si>
    <t>Construcion Cancha Sintetica y Adecuacion del Polideportivo en el Sector de Naranjal, Quimbaya Quindio</t>
  </si>
  <si>
    <t>RECURSOS NACIONALES</t>
  </si>
  <si>
    <t>TOTAL:</t>
  </si>
  <si>
    <t>Juan Antonio Osorio Alvarez</t>
  </si>
  <si>
    <t xml:space="preserve">Secretario de Aguas e Infraestructura </t>
  </si>
  <si>
    <t>Departamento del Quindio</t>
  </si>
  <si>
    <t>SEGUIMIENTO PLAN DE ACCIÓN
SECRETARIA DEL INTERIOR
I TRIMESTRE 2019</t>
  </si>
  <si>
    <t xml:space="preserve">META FISICA </t>
  </si>
  <si>
    <t>VALOR EN PESOS</t>
  </si>
  <si>
    <t>CÓDIGO</t>
  </si>
  <si>
    <t>FUENTE DE RECURSO</t>
  </si>
  <si>
    <t>Edad Económicamente
Activa (20-59 años)</t>
  </si>
  <si>
    <t>FECHA DE TERMINACIÓN</t>
  </si>
  <si>
    <t>SEGURIDAD HUMANA COMO DINAMIZADOR DE LA VIDA, DIGNIDAD Y LIBERTAD EN EL QUINDÍO</t>
  </si>
  <si>
    <t>SEGURIDAD CIUDADANA PARA PREVENCIÓN Y CONTROL DEL DELITO</t>
  </si>
  <si>
    <t>Apoyar la implementación de seis (6) programas de resocialización  en establecimientos carcelarios  del Departamento (sustento legal 1709 de 2014)</t>
  </si>
  <si>
    <t>Numero de programas de resocialización apoyados</t>
  </si>
  <si>
    <t>201663000-0028</t>
  </si>
  <si>
    <t>Construcción integral de la seguridad humana en el Departamento del Quindío</t>
  </si>
  <si>
    <t xml:space="preserve">Redicir la tasa de homicidios en el Quindío
Reducir casos de hurto a residencias,comercio y personas.
</t>
  </si>
  <si>
    <t xml:space="preserve">1. Obtención de resultados en las estrategias implementadas en la prevención y mitigación del delito
2. Garantías para el ejercicio  de la libertad en todos sus ambitos
3. Incremento de  cobertura en instrumentos operativos y logísticos para la atención y prevención del de delito que afectan a la comunidad.
</t>
  </si>
  <si>
    <t>Apoyo para iniciativas,actividades y/o proyectos productivos</t>
  </si>
  <si>
    <t xml:space="preserve">
Recurso Ordinario
</t>
  </si>
  <si>
    <t>SECRETARIO DEL INTERIOR</t>
  </si>
  <si>
    <t>Superavit
Fondos de seguridad 5%</t>
  </si>
  <si>
    <t>Fortalecer 10 programas de prevención y superación del Sistema de responsabilidad penal para adolescentes</t>
  </si>
  <si>
    <t>Número de programas de prevención y superación fortalecidos</t>
  </si>
  <si>
    <t>Apoyo para iniciativas,actividades y/o proyectos productivos dirigidoa a población de infancia y adolescencia</t>
  </si>
  <si>
    <t xml:space="preserve">
Recurso Ordinario
</t>
  </si>
  <si>
    <t>Apoyar la construcción, refacción o adecuación de  seis (6) estaciones de policía y/o guarniciones militares y/o instituciones carcelarias</t>
  </si>
  <si>
    <t>Número de estaciones de policía y/o guarniciones militares y/o instituciones carcelarias apoyadas</t>
  </si>
  <si>
    <t xml:space="preserve">Adquisición de materiales para la construcción </t>
  </si>
  <si>
    <t>Adquisición de terrenos para construcción  de UBICAR (Unidad Básica de carabineros)</t>
  </si>
  <si>
    <t xml:space="preserve">Intervención en obras menores </t>
  </si>
  <si>
    <t xml:space="preserve">Recurso Ordinario
</t>
  </si>
  <si>
    <t>Dotar cinco (5) organismos de seguridad de del departamento con elementos tecnológicos y logísticos que faciliten su operatividad y capacidad de respuesta</t>
  </si>
  <si>
    <t>Número de organismos de seguridad y/o de régimen carcelario dotados</t>
  </si>
  <si>
    <t>Financiación del proyecto de tecnología en seguridad</t>
  </si>
  <si>
    <t>Fondos de seguridad 5%</t>
  </si>
  <si>
    <t>21012/2019</t>
  </si>
  <si>
    <t xml:space="preserve">Financiación y/o coofinaciación de proyectos de móvilidad </t>
  </si>
  <si>
    <t>Suministro de combustible</t>
  </si>
  <si>
    <t>Arrendamientos de oficinas para organismos de seguridad</t>
  </si>
  <si>
    <t>0309 - 5 - 3 1 4 23 75 18 28 - 20</t>
  </si>
  <si>
    <t xml:space="preserve">Adecuación de tecnología en salas de organismos de seguridad </t>
  </si>
  <si>
    <t xml:space="preserve">Juliana
 Hénandez </t>
  </si>
  <si>
    <t>Suministro de alimentación</t>
  </si>
  <si>
    <t>Alejandro Agudelo</t>
  </si>
  <si>
    <t>0309 - 5 - 3 1 4 23 75 18 28 - 42</t>
  </si>
  <si>
    <t>Pago a fuentes humanas</t>
  </si>
  <si>
    <t>Adquisición de bienes muebles necesarios para el funcionamiento de la diferentes iniciativas o programas de los oraganismos de seguridad del departamento</t>
  </si>
  <si>
    <t>0309 - 5 - 3 1 4 23 75 18 28 - 92</t>
  </si>
  <si>
    <t>Adquisición de bienes inmuebles para los organismos de seguridad</t>
  </si>
  <si>
    <t>Adquisición de bienes y suministro, para material de intendencia y logística</t>
  </si>
  <si>
    <t>Impresos y publicidad.</t>
  </si>
  <si>
    <t>Servicios de apoyo en procesos tecnológicos de seguridad en el departamento</t>
  </si>
  <si>
    <t>Servicios de apoyo en estudios financieros y ecónomicos de los diferentes procesos para los organismos de seguridad</t>
  </si>
  <si>
    <t>Servicios de apoyo para los procesos de adquisición de bienes y servicios con cargo a los organismos de seguridad del departamento</t>
  </si>
  <si>
    <t xml:space="preserve">Prestación de Servicios y/o suministro de logística, material de intendencia o demás programas y/o estrategias relacionados con los organismos de seguridad </t>
  </si>
  <si>
    <t>Apoyar 3 observatorios locales del delito</t>
  </si>
  <si>
    <t>Número de observatorios del delito apoyados</t>
  </si>
  <si>
    <t>Levantamiento de información, investigación y análisis de hechos y conductas delicitas en el departamento del Quindío</t>
  </si>
  <si>
    <t>Dotación tecnologíca, de comunicaciones   y/o logistica para los programas, proyectos  o estrategías de pevención y seguridad en el departamento del Quindío</t>
  </si>
  <si>
    <t>30/082019</t>
  </si>
  <si>
    <t>CONVIVENCIA, JUSTICIA Y CULTURA DE PAZ</t>
  </si>
  <si>
    <t>Apoyar la implementación de treinta y seis (36) programas de prevención del delito y mediación de conflictos en comunidades focalizadas del departamento</t>
  </si>
  <si>
    <t>Programas de prevención del delito y mediación de conflictos apoyados</t>
  </si>
  <si>
    <t>201663000-0029</t>
  </si>
  <si>
    <t xml:space="preserve">Apoyo a la convivencia, justicia y cultura de paz en el Departamento del Quindío </t>
  </si>
  <si>
    <t xml:space="preserve">Reducir la tasa de homicidios en el Quindío.
</t>
  </si>
  <si>
    <t xml:space="preserve">1. Articulación en los diferentes programas de las entidades estatales en materia de convivencia. 
2.. Identificación de las necesidades reales en las comunidades focalizadas   
3.Reglamentación actualizada en materia de seguridad y orden público
</t>
  </si>
  <si>
    <t xml:space="preserve">Intervenciones psicosocilales, y/o de formación productiva integrales en los 11 barrios focalizados </t>
  </si>
  <si>
    <t xml:space="preserve">
20
</t>
  </si>
  <si>
    <t xml:space="preserve">
Recurso 
ordinario
</t>
  </si>
  <si>
    <t xml:space="preserve">
707</t>
  </si>
  <si>
    <t xml:space="preserve">
534</t>
  </si>
  <si>
    <t xml:space="preserve">
462</t>
  </si>
  <si>
    <t xml:space="preserve">
398</t>
  </si>
  <si>
    <t xml:space="preserve">
333</t>
  </si>
  <si>
    <t xml:space="preserve">
48</t>
  </si>
  <si>
    <t xml:space="preserve">SECRETARIO DEL INTERIOR
</t>
  </si>
  <si>
    <t xml:space="preserve">
92</t>
  </si>
  <si>
    <t>Implementación de programas ludicos,culturales y/o deportivos  para población vulnerable en areas focalizadas</t>
  </si>
  <si>
    <t xml:space="preserve">
Recurso 
ordinario
</t>
  </si>
  <si>
    <t xml:space="preserve">Generación y/o apoyo a programas de intervención social y/o de seguridad </t>
  </si>
  <si>
    <t>0309 - 5 - 3 1 4 23 76 18 29 - 20</t>
  </si>
  <si>
    <t>Logística, refrigerios,transporte y/o combustible</t>
  </si>
  <si>
    <t>Atencion integral de Barrios con situacion critica de convivencia en los 12 Municipios  del Departamento</t>
  </si>
  <si>
    <t>Municipios con atencion integral</t>
  </si>
  <si>
    <t xml:space="preserve">Intervenciones Psicosociales y/o de formación productiva integrales en los cinco municipios focalizados </t>
  </si>
  <si>
    <t>0309 - 5 - 3 1 4 23 76 18 29 - 92</t>
  </si>
  <si>
    <t>Elaboración y/o difusión de campañas de intervención social y prevención del delito en los municipios del departamento</t>
  </si>
  <si>
    <t xml:space="preserve">
Superavit
Fondos de seguridad 5%</t>
  </si>
  <si>
    <t xml:space="preserve">Recurso 
ordinario
</t>
  </si>
  <si>
    <t>Actualizar e implementar el Plan Integral de Seguridad y Convivencia Ciudadana (PISCC)</t>
  </si>
  <si>
    <t>Plan integral de seguridad y convivencia ciudadana actualizado e implementado</t>
  </si>
  <si>
    <t>Seguimiento y ejecución de los objetivos del PISCC</t>
  </si>
  <si>
    <t>CONSTRUCCION DE PAZ Y RECONCILIACION EN EL QUINDÍO</t>
  </si>
  <si>
    <t>PLAN DE ACCIÓN TERRITORIAL PARA LAS VICTIMAS DEL CONFLICTO</t>
  </si>
  <si>
    <t xml:space="preserve">Apoyar la articulación para la atención integral de las víctimas del conflicto por enfoque diferencial en  los 12 municipios del departamento
</t>
  </si>
  <si>
    <t xml:space="preserve">Número de municipios con procesos de articulación apoyados </t>
  </si>
  <si>
    <t>201663000-0030</t>
  </si>
  <si>
    <t>Implementación del plan de acción territorial para la prevención, protección, asistencia, atención, y reparación integral en el Departamento del Quindío</t>
  </si>
  <si>
    <t xml:space="preserve">Incremento del porcentaje de cumplimiento de ley  1448 de 2011 atención a víctimas, que garantice  el goce efectivo de derechos
</t>
  </si>
  <si>
    <t xml:space="preserve">1.Entidades territoriales con asignación presupuestal por necesidad identificada 
2.Procesos de paz en ejecución  para el fin del conflicto 
3.Articulación institucional.
</t>
  </si>
  <si>
    <t>Socialización de rutas de protección a las organizaciones de victimas de los 12 municipios del Departamento</t>
  </si>
  <si>
    <t>Recurso ordinario</t>
  </si>
  <si>
    <t xml:space="preserve">
605</t>
  </si>
  <si>
    <t xml:space="preserve">
423</t>
  </si>
  <si>
    <t xml:space="preserve">
20</t>
  </si>
  <si>
    <t xml:space="preserve">
150</t>
  </si>
  <si>
    <t xml:space="preserve">
200</t>
  </si>
  <si>
    <t xml:space="preserve">
658</t>
  </si>
  <si>
    <t xml:space="preserve">
1028</t>
  </si>
  <si>
    <t>Apoyo a municipios priorizados para reparacion colectiva</t>
  </si>
  <si>
    <t>Brindar informacion y orientación a las victimas del conflicto de los 12 municipios del departamento</t>
  </si>
  <si>
    <t>Brindar asistencia y capacitacion a las organizaciones con enfoque diferencial y mesas de participación efectiva de victimas en los 12 municipios del Departamento en la ley de victimas y restitución de tierras y sus enfoques reglamentarios</t>
  </si>
  <si>
    <t xml:space="preserve">Apoyo a iniciativas que aportan a la Memoria Historica en el Departamento </t>
  </si>
  <si>
    <t>Realizar jornadas de prevencion a vulneraciones de DDHH y DIH a las mesas de participación efectiva de victimas en los 12 municipios del Departamento</t>
  </si>
  <si>
    <t>Apoyo a proyectos productivos población víctima</t>
  </si>
  <si>
    <t>Superavit ordinario</t>
  </si>
  <si>
    <t>Logística y/o refrigerios</t>
  </si>
  <si>
    <t>Apoyar  la atención humanitaria inmediata a la población víctima del conflicto en los 12 municipios</t>
  </si>
  <si>
    <t>Número de municipios apoyados en la atención humanitaria inmediata</t>
  </si>
  <si>
    <t>Concurrir, complementar y subsidiar los kits de ayuda  humanitaria inmediata en los 12 municipios del Quindio</t>
  </si>
  <si>
    <t xml:space="preserve">Apoyar los procesos de retorno y reubicación de las victimas del conflicto armado, en caso de ser requerido </t>
  </si>
  <si>
    <t>Iván Aguirre Franco</t>
  </si>
  <si>
    <t xml:space="preserve">Fortalecer el Comité departamental de justicia transicional y la mesa de participación efectiva de las víctimas del conflicto </t>
  </si>
  <si>
    <t>Número de instancias de participación fortalecidas</t>
  </si>
  <si>
    <t>0309 - 5 - 3 1 4 24 78 14 30 - 20</t>
  </si>
  <si>
    <t xml:space="preserve">Garantias para Sesiones comité ejecutivo y ética mesa de victimas </t>
  </si>
  <si>
    <t>María A. Berrio</t>
  </si>
  <si>
    <t>Garantias para Sesiones plenario mesa departamental de  victimas</t>
  </si>
  <si>
    <t>0309 - 5 - 3 1 4 24 78 14 30 - 88</t>
  </si>
  <si>
    <t xml:space="preserve">Apoyo al Plan de Trabajo de la mesa Departamental de Victimas </t>
  </si>
  <si>
    <t xml:space="preserve">Garantias para representates de la mesa departamental de victimas para asistir a las Sesiones del  Comité Departamental de Justicia Transicional </t>
  </si>
  <si>
    <t>Garantias para representates de la mesa departamental de victimas para asistir a las Sesiones de los subcomites departamentales de justicia transcional</t>
  </si>
  <si>
    <t xml:space="preserve">Apoyar la construcción y la actualización de los Planes de Acción Territorial de victimas PAT municipales y  el PAT departamental </t>
  </si>
  <si>
    <t>Número de Planes acción territorial de víctimas apoyados</t>
  </si>
  <si>
    <t>Procesos de articulación asistencia y atención a los municipios y su población víctima Sesiones de Comites y Subcomites</t>
  </si>
  <si>
    <t xml:space="preserve">Brindar asistencia a los 12 municipios del Departamento para las actualizaciones de los PAT municipales de manera armonica con el PAT departamental. </t>
  </si>
  <si>
    <t xml:space="preserve">
Diseñar e implementar el sistema de información para la prevención, atención, asistencia y reparación integral a las víctimas del conflicto armado interno </t>
  </si>
  <si>
    <t>Sistema de información diseñado e implementado</t>
  </si>
  <si>
    <t>Seguimiento a implementación  de la Herramienta de Gestión Local en los 12 municipios del Departamento</t>
  </si>
  <si>
    <t>Implementación del Plan Operativo de Sistemas de Información POSI</t>
  </si>
  <si>
    <t>Apoyo a procesos de caracterización de los municipios, cuando sea requerido por estos</t>
  </si>
  <si>
    <t>PROTECCIÓN Y GARANTÍAS DE NO REPETICIÓN</t>
  </si>
  <si>
    <t>Implementar el plan integral de prevención a las violaciones de  Derechos Humanos DDHH e infracciones  al Derecho Internacional Humanitario DIH</t>
  </si>
  <si>
    <t>Plan de prevención de violaciones de  DDHH e infracciones  del  DIH implementado</t>
  </si>
  <si>
    <t>201663000-0032</t>
  </si>
  <si>
    <t>Implementación del Plan Integral de prevención de vulneraciones de los Derechos Humanos DDHH e infracciones  al Derecho Internacional Humanitario DIH en el departamento del Quindio</t>
  </si>
  <si>
    <t xml:space="preserve">Promoción de sociedades pacíficas e inclusivas para el desarrollo sostenible,facilitar el acceso a la justicia para todos y crear instituciones eficace, responsables e inclusivas a toodos los niveles (ODS 16). 
</t>
  </si>
  <si>
    <t xml:space="preserve">1.Empleo y control social en las zonas de influencia del comercio de estupefacientes 
2.Control de las organizaciónes y  grupos delicuenciales por la influencia de organizaciones de otras regiones  al margen de la ley
3.Complementar las acciones municipales de manera integral. 
</t>
  </si>
  <si>
    <t xml:space="preserve">Actualización e implementación del plan integral de prevención de vulneración de DDHH  </t>
  </si>
  <si>
    <t xml:space="preserve">
437</t>
  </si>
  <si>
    <t xml:space="preserve">
325</t>
  </si>
  <si>
    <t xml:space="preserve">
212</t>
  </si>
  <si>
    <t xml:space="preserve">
180</t>
  </si>
  <si>
    <t xml:space="preserve">
120</t>
  </si>
  <si>
    <t xml:space="preserve">
762</t>
  </si>
  <si>
    <t xml:space="preserve">
3</t>
  </si>
  <si>
    <t>Realizar jornadas de socialización en rutas de protección a Juntas de Acción Comunal en los 12 municipios del Departamento</t>
  </si>
  <si>
    <t xml:space="preserve">Apoyar en los doce (12) municipios la articulación institucional para la prevención a las violaciones DDHH  e infracciones al DIH </t>
  </si>
  <si>
    <t xml:space="preserve">Número de municipios apoyados </t>
  </si>
  <si>
    <t>Foro de Derechos Humanos</t>
  </si>
  <si>
    <t>Superavít ordinario</t>
  </si>
  <si>
    <t>0309 - 5 - 3 1 4 24 79 14 32 - 20</t>
  </si>
  <si>
    <t>Realizar jornadas de capacitación para la  prevencion y sensibilizacion de los Derechos Humanos en los 12 municipios del Departamento</t>
  </si>
  <si>
    <t xml:space="preserve">Actualizar e Implementar el plan lucha contra la trata de personas
</t>
  </si>
  <si>
    <t>Programa de atención integral a victimas de trata de personas actualizado e  implementado</t>
  </si>
  <si>
    <t>0309 - 5 - 3 1 4 24 79 14 32 - 88</t>
  </si>
  <si>
    <t xml:space="preserve">Jornadas de prevención del delito de trata de personas  en los 12 municipios del Departamento </t>
  </si>
  <si>
    <t xml:space="preserve">Jornadas de prevención y sensibilización del delito de trata de personas en los 12 municipios del Departamento </t>
  </si>
  <si>
    <t>Ayuda Humanitaria para victimas de trata de personas</t>
  </si>
  <si>
    <t>PREPARADOS PARA LA PAZ</t>
  </si>
  <si>
    <t>Implementar plan de acción de Derechos Humanos articulado interinstitucionalmente, de  protección de los Derechos Humanos DDHH y la Paz en los doce (12) municipios del departamento</t>
  </si>
  <si>
    <t>Numero de municipios con programa de fortalecimiento de las instancias de participación implementado</t>
  </si>
  <si>
    <t>201663000-0034</t>
  </si>
  <si>
    <t>Construcción de la Paz Territorial en el Departamento del Quindio</t>
  </si>
  <si>
    <t xml:space="preserve">Promoción de sociedades pacíficas e inclusivas para el desarrollo sostenible,facilitar el acceso a la justicia para todos y crear instituciones eficaces, responsables e inclusivas a toodos los niveles (ODS 16). 
</t>
  </si>
  <si>
    <t xml:space="preserve">1. Factores generadores  de expresión de valores,actidudes,tradiciones y patrones de comporatmiento de respeto a la vida,los DDHH y la libertad de expresón 
2. Creación de una cultura en DDHH e igualdad y no discriminación 
</t>
  </si>
  <si>
    <t>Apoyar el seguimiento de los planes de DDHH de los 12 municipios del Departamento.</t>
  </si>
  <si>
    <t>Acompañamiento a Comites Municipales de Derechos Humanos que estén creados y funcionando.</t>
  </si>
  <si>
    <t xml:space="preserve">Apoyar y articular en los doce (12) municipios  del departamento las actuaciones institucionales en procura de la garantía de la construcción de paz </t>
  </si>
  <si>
    <t>Número de municipios apoyados y articulados</t>
  </si>
  <si>
    <t>0309 - 5 - 3 1 4 24 80 14 34 - 20</t>
  </si>
  <si>
    <t>Fortalecer Consejo Departamental de Paz, Reconciliación, Convivencia, DDHH y DIH.</t>
  </si>
  <si>
    <t>Foro DDHH.</t>
  </si>
  <si>
    <t>0309 - 5 - 3 1 4 24 80 14 34 - 88</t>
  </si>
  <si>
    <t>Socialización de implementación de los acuerdos en el Departamento.</t>
  </si>
  <si>
    <t>Logistica y Refrigerios</t>
  </si>
  <si>
    <t>Papeleria</t>
  </si>
  <si>
    <t>Apoyo para la Politica de Reintegrados</t>
  </si>
  <si>
    <t>Superavít Ordinario</t>
  </si>
  <si>
    <t>Acciones en pro de la construcción de paz</t>
  </si>
  <si>
    <t>EL QUINDIO DEPARTAMENTO RESILIENTE</t>
  </si>
  <si>
    <t>}</t>
  </si>
  <si>
    <t>QUINDIO PROTEGIENDO EL FUTURO</t>
  </si>
  <si>
    <t xml:space="preserve">Realizar catorce (14) estudios de riesgo y análisis de vulnerabilidad en  los municipios del departamento </t>
  </si>
  <si>
    <t>Número de estudios de riesgo analizados</t>
  </si>
  <si>
    <t>201663000-0036</t>
  </si>
  <si>
    <t xml:space="preserve">Administración del  riesgo mediante el conocimiento, la reducción y el manejo del desastre  en el Departamento del Quindio. </t>
  </si>
  <si>
    <t xml:space="preserve">Lograr que las ciudadaes y los asentamientos humanos sean inclusivos,resilientes y sostenibles (ODS-objetivo 11)
</t>
  </si>
  <si>
    <t xml:space="preserve">1. Conocimiento de los riesgos en el departamento.
2. Diseñar modelos de reducción del riesgo en el departamento.
3. Fortalecer las instituciones  para el adecuado manejo de los desastres.  
</t>
  </si>
  <si>
    <t xml:space="preserve">Realizar estudios de riesgo y análisis de vulnerabilidad en  los municipios del departamento </t>
  </si>
  <si>
    <t xml:space="preserve">
5326</t>
  </si>
  <si>
    <t xml:space="preserve">
3615</t>
  </si>
  <si>
    <t>Faber Mosquera Alvarez</t>
  </si>
  <si>
    <t xml:space="preserve">Apoyar a ciento cincuenta (150) instituciones educativas del departamento en la formulación de Planes Escolares de Gestión del Riesgo (PGERD) </t>
  </si>
  <si>
    <t xml:space="preserve">Número de instituciones educativas apoyadas en la formulación de los PGERD  </t>
  </si>
  <si>
    <t>Conocimiento manejo y reducción del riesgo en el departamento</t>
  </si>
  <si>
    <t xml:space="preserve">Formulación de los planes escolares de gestión del riesgo
</t>
  </si>
  <si>
    <t>Apoyar a los doce (12) municipios del departamento en procesos de educación a las comunidades frente a la prevención y preparación para las emergencias por fenómenos de origen natural y/o antrópico no intencional</t>
  </si>
  <si>
    <t>Número de municipios en procesos de educación a las comunidades apoyados</t>
  </si>
  <si>
    <t>Apoyo en formacion y capacitación de gestión del riesgo</t>
  </si>
  <si>
    <t>Fortalecimiento instituciones de socorro</t>
  </si>
  <si>
    <t xml:space="preserve">Adquisición tecnología (cámara térmica, Dron)
</t>
  </si>
  <si>
    <t xml:space="preserve">
1956</t>
  </si>
  <si>
    <t>Material didáctico</t>
  </si>
  <si>
    <t xml:space="preserve">
2700</t>
  </si>
  <si>
    <t xml:space="preserve">
950</t>
  </si>
  <si>
    <t>0309 - 5 - 3 1 4 25 81 12 36 - 20</t>
  </si>
  <si>
    <t>Organización de foros, talleres, eventos, y/o actividades</t>
  </si>
  <si>
    <t xml:space="preserve">Realizar 10 intervenciones en  áreas vulnerables del departamento </t>
  </si>
  <si>
    <t>Número de intervenciones en áreas vulnerables realizadas</t>
  </si>
  <si>
    <t>Leventamiento de información  geologíca en áreas vulnerables</t>
  </si>
  <si>
    <t xml:space="preserve">Fortalecer el comité departamental de gestión del riesgo de desastres </t>
  </si>
  <si>
    <t>Comité departamental de gestión del riesgo de desastres fortalecido</t>
  </si>
  <si>
    <t>Mantenimiento red de comunicaciones</t>
  </si>
  <si>
    <t>Procesos de atención a PQRS y servicios demandados por la de la comunidad</t>
  </si>
  <si>
    <t xml:space="preserve">Actualización y desarrollo de  tecnologías en gestión del riesgo </t>
  </si>
  <si>
    <t>Formacion y capacitacion en el manejo del riesgo</t>
  </si>
  <si>
    <t>Servicios y atención  de manejo de riesgos</t>
  </si>
  <si>
    <t xml:space="preserve">Fortalecimiento  a las instituciones del comité de manejo
</t>
  </si>
  <si>
    <t>FORTALECIMIENTO INSTITUCIONAL PARA LA GESTIÓN DEL RIESGO DE DESASTRES COMO UNA ESTRATEGIA DE DESARROLLO</t>
  </si>
  <si>
    <t>Poner en funcionamiento operativo la sala de crisis del Departamento</t>
  </si>
  <si>
    <t>Sala de crisis del departamento funcionando</t>
  </si>
  <si>
    <t>0309 - 5 - 3 1 4 25 82 12 38 - 20</t>
  </si>
  <si>
    <t>201663000-0038</t>
  </si>
  <si>
    <t>Apoyo institucional en la gestión del riesgo  en el Departamento del Quindio</t>
  </si>
  <si>
    <t xml:space="preserve">Lograr que las ciudadaes y los asentamientos humanos sean inclusivos, resilientes y sostenibles (ODS-objetivo 11)
</t>
  </si>
  <si>
    <t xml:space="preserve">1. Cumplimiento de los protocolos para la preparación y manejo de la emergencia.
2. Destinación de recursos en el ambito local para la atención de las emergencias.
</t>
  </si>
  <si>
    <t xml:space="preserve"> Adquisición y/o mantenimiento  de equipos de  comunicación y/o tecnología   </t>
  </si>
  <si>
    <t xml:space="preserve">Articulación y coordinación para el manejo de  desastres en la sala de crisis del departamento </t>
  </si>
  <si>
    <t>Fortalecer  la dotación de la bodega estratégica de la Unidad Departamental de la Gestión del Riesgo de Desastres UDEGER</t>
  </si>
  <si>
    <t>Unidad Departamental de la Gestión del Riesgo de Desastre UDEGER dotada</t>
  </si>
  <si>
    <t xml:space="preserve">Apoyo para la entrega de ayuda humanitaria </t>
  </si>
  <si>
    <t>Suministro de ayudas  Humanitaria</t>
  </si>
  <si>
    <t>PODER CIUDADANO</t>
  </si>
  <si>
    <t>QUINDIO SI A LA PARTICIPACIÓN</t>
  </si>
  <si>
    <t>Desarrollar estrategias tendientes a promover la participación ciudadana en el departamento</t>
  </si>
  <si>
    <t>Estrategias de participación desarrolladas</t>
  </si>
  <si>
    <t>0309 - 5 - 3 1 5 27 85 16 39 - 20
0309 - 5 - 3 1 5 27 85 16 39 - 88</t>
  </si>
  <si>
    <t>201663000-0039</t>
  </si>
  <si>
    <t>Construcción de la participación ciudadana y control social en el Departamento del Quindio</t>
  </si>
  <si>
    <t xml:space="preserve">Elevar el promedio de la participación de la ciudadania en los procesos de elección popular del cuatrenio.
</t>
  </si>
  <si>
    <t xml:space="preserve">1.  Implementación y difusión  en las entidades territoriales de los canalaes  y medios para la participación de los ciudadanos.
Fortalecimeinto en la estructuración de políticas, programas ,legislación, proyectos sociales y desarrollo comunitario.
2. Convicción de la comunidad  en los programas encaminados a brindar el acercamiento a las instituciones públicas
3.  Fortalecimeinto en la estructuración de políticas, programas ,legislación, proyectos sociales y desarrollo comunitario.
</t>
  </si>
  <si>
    <t>Servicios como apoyo a estrategías de participación</t>
  </si>
  <si>
    <t xml:space="preserve">
2400</t>
  </si>
  <si>
    <t xml:space="preserve">Celebración de la semana de participación </t>
  </si>
  <si>
    <t>Realización de eventos para el  fortalecimiento a la participación ciudadana y control social</t>
  </si>
  <si>
    <t xml:space="preserve">Logística, transporte y/o refrigerios </t>
  </si>
  <si>
    <t>Material y piezas promocionales como estrategías de participación</t>
  </si>
  <si>
    <t>Servicios de Apoyo para eventos de formación,capacitación</t>
  </si>
  <si>
    <t xml:space="preserve">Apoyo a estrategías y/o programas de promoción y fortalecimiento de la participación ciudadana </t>
  </si>
  <si>
    <t xml:space="preserve">Adquisición de equipos tecnológicos y/o muebles logísticos para el mejoramiento de la atención al ciudadano
</t>
  </si>
  <si>
    <t>Creación y puesta en funcionamiento  del Consejo departamental de participación Ciudadana</t>
  </si>
  <si>
    <t xml:space="preserve">Consejo departamental creado y funcionando </t>
  </si>
  <si>
    <t>Servicios de apoyo a la operatividad del consejo de participación ciudadana</t>
  </si>
  <si>
    <t>Material pedagogíco y/o promocional relacionado con el consejo de participación</t>
  </si>
  <si>
    <t>Juliana Hénandez</t>
  </si>
  <si>
    <t>20/18/2019</t>
  </si>
  <si>
    <t xml:space="preserve">Servicios de Apoyo para eventos de formación, capacitación y/o formulación de políticas publicas 
</t>
  </si>
  <si>
    <t>Sandra Gaviria</t>
  </si>
  <si>
    <t>Prestación de servicio de transporte</t>
  </si>
  <si>
    <t xml:space="preserve">Logística y/o refrigerios </t>
  </si>
  <si>
    <t>Apoyar  la comisión para la Coordinación y Seguimiento de los procesos electorales del departamento del Quindío  según el numero de eventos que se presenten</t>
  </si>
  <si>
    <t xml:space="preserve">N° de procesos electorales apoyados </t>
  </si>
  <si>
    <t xml:space="preserve">Apoyo insumos logísticos, transporte,suminsitro de combustible y/o alimentación para la celebración de los comicios electorales </t>
  </si>
  <si>
    <t>Diseñar e implementar la Escuela de Liderazgo democrático</t>
  </si>
  <si>
    <t>Escuela de liderazgo diseñada e implementada</t>
  </si>
  <si>
    <t xml:space="preserve">Estructuración e implementación   de la escuela de liderazgo </t>
  </si>
  <si>
    <t xml:space="preserve">Logística, transporte, impresos y/o refrigerios </t>
  </si>
  <si>
    <t>Formular e implementar la política pública departamental de libertad religiosa en desarrollo  del árticulo 244 de la ley  1753 "por medio de la cual  se expide  el Plan Nacional de Desarrollo 2014-2018 TODOS POR UN NUIEVO PAÍS"</t>
  </si>
  <si>
    <t xml:space="preserve">Politica pública formulada e implementada </t>
  </si>
  <si>
    <t>Servicios de apoyo para la operatividad  del comité de libertad religiosa</t>
  </si>
  <si>
    <t xml:space="preserve">Realización de eventos y/o encuentros de libertad religiosa </t>
  </si>
  <si>
    <t>Materíal pedagógico y/o promocional relacionado</t>
  </si>
  <si>
    <t xml:space="preserve">Comunales comprometidos con el desarrollo </t>
  </si>
  <si>
    <t xml:space="preserve">Fortalecer  organismos comunales en los  12 municipios del departamento en el mejoramiento organizacional y participativo </t>
  </si>
  <si>
    <t xml:space="preserve">Organismos comunales  municipales fortalecidos </t>
  </si>
  <si>
    <t>0309 - 5 - 3 1 5 27 86 16 40 - 20</t>
  </si>
  <si>
    <t>201663000-0040</t>
  </si>
  <si>
    <t xml:space="preserve">Desarrollo de los Organismos Comunales en el Departamento del Quindio </t>
  </si>
  <si>
    <t xml:space="preserve">Consolidar mecanismos  de integración  regional y municipal 
</t>
  </si>
  <si>
    <t xml:space="preserve">1.  Fortalecer la estructuración deprogramas de capacitación en legislación, proyectos sociales y desarrollo comunitario. Mejoramiento en  los procesos de inspección, vigilancia y control realizados a los organismos comunales.
</t>
  </si>
  <si>
    <t>Servicios como apoyo al fortalecimiento de los organismos  comunales</t>
  </si>
  <si>
    <t xml:space="preserve">Celebración día comunal
</t>
  </si>
  <si>
    <t>20</t>
  </si>
  <si>
    <t>Recurso Ordianrio</t>
  </si>
  <si>
    <t>Apoyo a eventos de carácter municipal, departamental y/o  nacional</t>
  </si>
  <si>
    <t>Apoyo para fortalecimiento de programas de los organismos comunales</t>
  </si>
  <si>
    <t>VEEDURIAS Y RENDICIÓN DE CUENTAS</t>
  </si>
  <si>
    <t>Implementar un (1) programa de fortalecimiento de las veedurías ciudadanas del departamento</t>
  </si>
  <si>
    <t>Programa de fortalecimiento implementado</t>
  </si>
  <si>
    <t>0309 - 5 - 3 1 5 26 84 16 42 - 20</t>
  </si>
  <si>
    <t>201663000-0042</t>
  </si>
  <si>
    <t xml:space="preserve">Fortalecimiento de las veedurias ciudadanas en el Departamento del Quindio </t>
  </si>
  <si>
    <t xml:space="preserve">Consolidar mecanismos  de integración  regional y municipal 
</t>
  </si>
  <si>
    <t xml:space="preserve">1.  Conocimiento de la legislación que permite el ejercicio  del control social 
2.  Difusión masiva sobre  el ejercicio del control social 
</t>
  </si>
  <si>
    <t>Servicio como apoyo a las estrategías de fortalecimiento a las veedurias ciudadanas</t>
  </si>
  <si>
    <t xml:space="preserve">
2</t>
  </si>
  <si>
    <t>02/15/2019</t>
  </si>
  <si>
    <t xml:space="preserve">Suministro de logística  y/o refrigerios </t>
  </si>
  <si>
    <t xml:space="preserve">Organización de eventos, foros, actividades entre otros  para la promoción y el fortalecimiento del control social y las veedurías ciudadanas. 
</t>
  </si>
  <si>
    <t xml:space="preserve">Difusión en medios masivos  de comunicación (radio impresos entre otros) para la promoción y el fortalecimiento del control social y las  veedurias ciudadanas  </t>
  </si>
  <si>
    <t>Prestación de servicios de transporte</t>
  </si>
  <si>
    <t>JORGE ANDRÉS BUITRAGO MONCALEANO</t>
  </si>
  <si>
    <t>Secretario del Interior</t>
  </si>
  <si>
    <t>SEGUIMIENTO PLAN DE ACCIÓN
SECRETARIA DE PLANEACION
I TRIMESTRE 2019</t>
  </si>
  <si>
    <t>Palenqueras</t>
  </si>
  <si>
    <t>DEFINITIVO</t>
  </si>
  <si>
    <t>E(OBLIGACIONES</t>
  </si>
  <si>
    <t>Quindío Transparente y Legal</t>
  </si>
  <si>
    <t>Quindío Ejemplar y Legal</t>
  </si>
  <si>
    <t>Realizar en el Departamento y  los doce (12) municipios  del Quindío  procesos de sensibilización, seguimiento  y evaluación en la aplicabilidad de los componentes   del Índice de Transparencia.</t>
  </si>
  <si>
    <t>Número de procesos de seguimiento y evaluación realizados</t>
  </si>
  <si>
    <t>0305 - 5 - 3 1 5 26 83 17 6 - 20</t>
  </si>
  <si>
    <t>201663000-0006</t>
  </si>
  <si>
    <t>Realización procesos de capacitación,  asistencia técnica, seguimiento  y evaluación en la aplicabilidad de los componentes   del Índice de Transparencia en el Departamento del Quindio</t>
  </si>
  <si>
    <t xml:space="preserve">Aumentar el indice  transparencia en el departamento del Quindio y los entes territoriales municipales del quindio,  a través de procesos de capacitación, asistencia técnica, seguimiento y evaluación de los componentes de:diagnóstico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2019 . </t>
  </si>
  <si>
    <t xml:space="preserve">Realizar  procesos de capacitación, asistencia técnica, seguimiento y evaluación del  Indice de Transparencia a las Secretarias Sectoriales eInstitutos Descentralizados del  Departamento del Quindio,  
Realizar capacitaciones  temas especificos  de los componentes del Indice de transparencia  ( Gestión documental  - Tablas de Retención Documental ), que representan mayor vunerabilidad , dirigida a los funcionarios de la Administración y entes territoriales municipales, con el fin de lograr una mayor eficiencia y eficacia admnistrativa ,  visibilizar los procesos  y disminuir los riegos de corrupción durante la vigencia 2019 .   
</t>
  </si>
  <si>
    <t xml:space="preserve">a)  Análisis historico  Indice de Transparencia Departamento del Quindio </t>
  </si>
  <si>
    <t>Recursos Ordinarios.</t>
  </si>
  <si>
    <t>Recurso Ordinario (20)</t>
  </si>
  <si>
    <t>Martha Elena Giraldo Ramirez
Directora Técnica</t>
  </si>
  <si>
    <t>José Ignacio Rojas Sepúlveda
Secretario Departamental de Planeación</t>
  </si>
  <si>
    <t xml:space="preserve">Realizar  procesos de capacitación, asistencia técnica, seguimiento y evaluación del  indice de transparencia a las entes territoriales municipales del departamento del quindio,  en los diferentes componentes: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2019 . 
Realizar capacitaciones  temas especificos  de los componentes del Indice de transparencia  ( Gestión documental  - Tablas de Retención Documental ), que representan mayor vunerabilidad , dirigida a los funcionarios de la Administración y entes territoriales municipales, con el fin de lograr una mayor eficiencia y eficacia admnistrativa ,  visibilizar los procesos  y disminuir los riegos de corrupción durante la vigencia 2019 .   
</t>
  </si>
  <si>
    <t xml:space="preserve">a)  Análisis historico Indices de Gobierno Abierto IGA   e Indice de Transparencia Departamento del Quindio </t>
  </si>
  <si>
    <t xml:space="preserve">b) Socialización análisis historico Indices de Gobierno Abierto IGA   e Indice de Transparencia Departamento del Quindio </t>
  </si>
  <si>
    <t>a) RESPECTO A LA ESTRUCTURA DEL SUJETO OBLIGADO. (Artículo  9° Ley 1712 de 2014 ) : La descripción de su estructura,  Presupuesto general, directorio (Sistema de Gestión del Empleo Público (SIGEP)), normas generales y reglamentarias,Plan de compras anual,Los plazos de cumplimiento de los contratos,Plan Anticorrupción y de Atención al Ciudadano,</t>
  </si>
  <si>
    <t xml:space="preserve">b) PUBLICIDAD DE LA CONTRATACIÓN .(Artículo  10° Ley 1712 de 2014 ) :Las contrataciones (Sistema Electrónico para la Contratación Pública (Secop)-(Artículo 3° de la Ley 1150 de 2007) 
</t>
  </si>
  <si>
    <t>c) SERVICIOS, PROCEDIMIENTOS Y FUNCIONAMIENTO DEL SUJETO OBLIGADO .(Artículo  11° Ley 1712 de 2014 ) : )  Servicios que se presten, trámites, procedimientos -Sistema Único de Información de Trámites y Procedimientos Administrativos (SUIT),El contenido de toda decisión y/o política ,  informes de gestión, evaluación,mecanismo interno y externo de supervisión , procedimientos, lineamientos, políticas en materia de adquisiciones y compras,mecanismo de presentación directa de solicitudes, quejas y reclamos, mecanismo o procedimiento por medio del cual el público pueda participar en la formulación de la política, registro de publicaciones que contenga los documentos publicados , datos abiertos</t>
  </si>
  <si>
    <t>a)  Todas las categorías de información del sujeto obligado</t>
  </si>
  <si>
    <t xml:space="preserve">b) Todo registro publicado.
</t>
  </si>
  <si>
    <t>c)  Todo registro disponible para ser solicitado por el público.</t>
  </si>
  <si>
    <t>a) Inventario de la información pública generada, obtenida, adquirida o controlada por el sujeto obligado</t>
  </si>
  <si>
    <t>a) instrumento del que disponen los sujetos obligados para informar, de forma ordenada, a la ciudadanía, interesados y usuarios, sobre la información publicada y que publicará, conforme  a lo  previsto en el artículo 3° de la Ley 1712 de 2014, y sobre los medios a través de los cuales se puede acceder a la misma</t>
  </si>
  <si>
    <t>a)Política de gestión documental aprobada por el sujeto obligado.</t>
  </si>
  <si>
    <t>b) Tablas de Retención Documental.</t>
  </si>
  <si>
    <t>c) archivo institucional.</t>
  </si>
  <si>
    <t>d)  Políticas para la gestión de sus documentos electrónicos, incluyendo políticas de preservación y custodia digital.</t>
  </si>
  <si>
    <t>e)  Sistema Nacional de Archivos</t>
  </si>
  <si>
    <t>a) Publicación  informe de todas las solicitudes, denuncias y los tiempos de respuesta del sujeto obligado (Número de solicitudes recibidas,Número de solicitudes que fueron trasladadas a otra institución,Tiempo de respuesta a cada solicitud y Número de solicitudes en las que se negó el acceso a la información.</t>
  </si>
  <si>
    <t>a) Publicación  gratuidad y costos de reproducción. En concordancia con lo establecido en los artículos 3o  y 26 de la Ley 1712/14, en la gestión y respuesta a las solicitudes de acceso a la información pública.</t>
  </si>
  <si>
    <t>Asistencia Implementación  LEY 1712 DE 2012 ( SECTOR CENTRAL Y SECTOR DESCENTRALIZADO (PROMOTORA DE VIVIENDA, INDEPORTES. IDTQ)</t>
  </si>
  <si>
    <t>SEGUIMIENTO Y EVALUACIÓN ENTES ETERRITORIALES MUNICIPALES:  Información mínima que debe esta publicada  (  estructura del sujeto obligado, publicidad de la contratación, servicios, procedimientos y funcionamiento del sujeto obligado), registro de activos de la información, índice de información reservada y clasificada ,esquema de publicación de la información, programa de gestión documental , solicitudes de acceso a la información, reproducción    de la información publicada con su respectiva motivación y costos de reproducción  de la información publicada con su respectiva motivación</t>
  </si>
  <si>
    <t xml:space="preserve">SOCIALIZACION   ENTES TERRITORIALES </t>
  </si>
  <si>
    <t xml:space="preserve">Fotocopias </t>
  </si>
  <si>
    <t>Veedurías y Rendición de Cuentas</t>
  </si>
  <si>
    <t xml:space="preserve">Realizar  doce (12) procesos de Rendición Publica de Cuentas Departamentales en entes territoriales municipales. </t>
  </si>
  <si>
    <t>Número de procesos de Rendición de Cuentas en los municipios realizadas</t>
  </si>
  <si>
    <t>0305 - 5 - 3 1 5 26 84 17 15 - 20
0305 - 5 - 3 1 5 26 84 17 15 - 88</t>
  </si>
  <si>
    <t>201663000-0015</t>
  </si>
  <si>
    <t xml:space="preserve">Realización procesos de Rendición Publica de Cuentas Departamentales enlos  entes territoriales municipales del Departamento del Quindio </t>
  </si>
  <si>
    <t xml:space="preserve">Aumentar el promedio de participación ciudadana en los procesos de elección popular en el Departamento del Quindío, a travès de  la elaboraciòn del informe  la presentación del informe de Rendición de Cuenta de las ejecutorias de la Admnistración Departamental  vigencia 2017   y la preparación recolección y  consolidación del informe de la vigencia 2017, con el fin de divulgar a la comunidad de los resultados de la ejecutorias generando en la Administraciòn la cultura de la Rendiciòn Pùblica de Cuentas durante la vigencia 2018.
</t>
  </si>
  <si>
    <t xml:space="preserve">Realizar el video de las ejecutorias de la Administración Departamental vigencia 2017 por ejes estratégicos, buscando aumentar el promedio de la participación ciudadana en los procesos de elección popular en el Departamento del Quindío durante la vigencia 2018. 
</t>
  </si>
  <si>
    <t>Estrategia de Desarrollo Sostenible 2018</t>
  </si>
  <si>
    <t>Estrategia de Desarrollo Sostenible 2019</t>
  </si>
  <si>
    <t>Estrategia de Prosperidad con Equidad 2018</t>
  </si>
  <si>
    <t>Estrategia de Prosperidad con Equidad 2019</t>
  </si>
  <si>
    <t>Estrategia de Inclusion Social 2018</t>
  </si>
  <si>
    <t>Estrategia de Inclusion Social 2019</t>
  </si>
  <si>
    <t>Estrategia de Seguridad Humana 2018</t>
  </si>
  <si>
    <t>Estrategia de Seguridad Humana 2019</t>
  </si>
  <si>
    <t>Estrategia de Buen Gobierno 2018</t>
  </si>
  <si>
    <t>Estrategia de Buen Gobierno 2019</t>
  </si>
  <si>
    <t xml:space="preserve">Realizar un periodico informativo de las ejecutorias de la Administración Departamental vigencia 2017 por ejes estratégicos, buscando aumentar el promedio de la participación ciudadana en los procesos de elección popular en el Departamento del Quindío durante la vigencia 2018. 
</t>
  </si>
  <si>
    <t>Diseño y edición periódico ejecutorias Administración  Departamental 2018</t>
  </si>
  <si>
    <t>Diseño y edición periódico ejecutorias Administración  Departamental 2019</t>
  </si>
  <si>
    <t xml:space="preserve">  Realizar  eventos de Rendición Pública de Cuentas en los doce entes Territoriales del Departamento , de las ejecutorias de la Administración Departamental vigencia 2017 por ejes estratégicos, buscando aumentar el promedio de la participación ciudadana en los procesos de elección popular en el Departamento del Quindío durante la vigencia 2018. 
</t>
  </si>
  <si>
    <t>Sonido 2018</t>
  </si>
  <si>
    <t>Sonido 2019</t>
  </si>
  <si>
    <t>Refrigerios 2018</t>
  </si>
  <si>
    <t>Refrigerios 2019</t>
  </si>
  <si>
    <t>Poder Ciudadano</t>
  </si>
  <si>
    <t>Quindío si a la participación</t>
  </si>
  <si>
    <t xml:space="preserve">Fortalecer  técnica y logísticamente al  Consejo Territorial de Planeación  Departamental  </t>
  </si>
  <si>
    <t>Consejo Territorial de Planeación fortalecido</t>
  </si>
  <si>
    <t>0305 - 5 - 3 1 5 27 85 16 7 - 20</t>
  </si>
  <si>
    <t>201663000-0007</t>
  </si>
  <si>
    <t>Asistencia al Consejo Territorial de Planeación del Departamento del Quindío.</t>
  </si>
  <si>
    <t xml:space="preserve">Fortalecer competencias de planificación del consejo territorialdel Departamento del Quindio, a través de la participación del Consejo Territorial de Planeación en encuentros Departamentales, Nacionales y Regionales, de una estrategia de comunicaciones e imagen institucional , del diplomado o escuela de liderazgo en Ordenamiento Territorial y de la adquisición de equipos digitales, computo, inmuebles durante la vigencia 2018.   
</t>
  </si>
  <si>
    <t xml:space="preserve">Apoyar la participación de los integrantes del consejo territorial a congresos y eventos nacionales regionales y departamentales, en el Departamento del Quindio, durante la vigencia 2018 </t>
  </si>
  <si>
    <t>1.1 Sesiones itinerantes - Servicio de transporte terrestre ida y vuelta desde su lugar de origen Plaza de Bolívar del Municipio de Armenia, hasta los municipios del Quindío, en los días que sean acordados por el contratante - Suministro de almuerzos en los doce municipios del Quindío durante las sesiones descentralizadas.</t>
  </si>
  <si>
    <t>Carlos Alberto Mendoza Parra
Jefe de Oficina de Desarrollo Territorial</t>
  </si>
  <si>
    <r>
      <t>1.2. XIII Encuentro CTP, traslados de ida y vuelta desde su lugar de origen Plaza de Bolívar del Municipio de Armenia hasta el Municipio sede "</t>
    </r>
    <r>
      <rPr>
        <b/>
        <sz val="11"/>
        <rFont val="Arial"/>
        <family val="2"/>
      </rPr>
      <t>Quimbaya/Córdoba(/Génova</t>
    </r>
    <r>
      <rPr>
        <sz val="11"/>
        <rFont val="Arial"/>
        <family val="2"/>
      </rPr>
      <t xml:space="preserve">", en los días que sean acordados por el contratante, a realizarse durante el mes de septiembre o Octubre - Suministro de alimentación en el municipio sede, Desayuno, Almuerzo y Cena, durante los días del encuentro - Servicio de alojamiento acomodación en habitaciones dobles en los días que sean acordados por el contratante. Mes de septiembre u octubre para 25 personas. </t>
    </r>
  </si>
  <si>
    <t>1.3.XXIII Congreso del Sistema Nacional de Planeación, traslado de ida y vuelta en transporte aéreo en las rutas nacionales: de Armenia  hacia la ciudad "sede"; adicional traslados internos, en los días que sean acordados por el contratante. cinco (5) días, Octubre o Noviembre de 2019 - suministro de alimentación en la ciudad sede Desayuno, Almuerzo y Cena, sede del XXIII Congreso Nacional de Planeación, cinco (5) días,Octubre O Noviembre /2098 - servicio de alojamiento en la ciudad sede del XXIII Congreso Nal de Planeación, acomodación en habitaciones dobles, cinco (5) días, Octubre y/o Noviembre /2019 para 19 personas.</t>
  </si>
  <si>
    <t>1.4. Asistencia de los Consejeros a foros regionales de participación ciudadana y estratégicos,convocatorias de la RAP Eje Cafetero, del Sistema Departamental y Regional de Planeación, igualmente particpar en las convocatorias a las reuniones de la Comisión Técnica del Sistema Regional y Nacional de Planeación, incluye:  Traslados aereos, terrestres e internos, alojamiento y alimentación.</t>
  </si>
  <si>
    <t xml:space="preserve">Utilizar diversos medios e instrumentos para la difusión del accionar del consejo territorial a través de estrategias de comunicación e imagen institucional y adquisición de equipos digitales y de computo en el Departamento del Quindio, durante la vigencia 2018.  
</t>
  </si>
  <si>
    <t xml:space="preserve">3.1 Comunicaciones externas de interes público, a traves de medios radiales, prensa y televisivos. </t>
  </si>
  <si>
    <t>3.2 Actualización pagina web y redes Consejo Territorial</t>
  </si>
  <si>
    <t>3.3. Suministro de material litografico, papeleria, impresos y publicaciones, entre otros</t>
  </si>
  <si>
    <t>5.1 Camara fotografica incluido el tripode</t>
  </si>
  <si>
    <t>5.2 Grabadora de mano</t>
  </si>
  <si>
    <t>6.1 Toner (tinta impresora)</t>
  </si>
  <si>
    <t xml:space="preserve">Aumentar los  espacios para capacitación orientados en planificación del territorio Quindiano a través de diplomado o Escuela de liderazgo en ordenamiento territorial en el Departamento del Quindio, durante la vigencia 2018. 
</t>
  </si>
  <si>
    <t>4.1. Realización cacitaciones/Diplomados/Seminarios/ para los Consejeros Territoriales del Departamento</t>
  </si>
  <si>
    <t>4.2. Diseñar y elaborar el contenido programatico de la  y Planeación participativa</t>
  </si>
  <si>
    <t>Gestión Territorial</t>
  </si>
  <si>
    <t xml:space="preserve">Los instrumentos  de planificación como  ruta para el cumplimiento de la gestión pública  </t>
  </si>
  <si>
    <t>Diseñar e implementar el Plan de Ordenamiento del Departamento del Quindio.</t>
  </si>
  <si>
    <t>201663000-0009</t>
  </si>
  <si>
    <t xml:space="preserve"> Diseño e implementación instrumentos de  planificación para el  ordenamiento  territorial, social y económico del  Departamento del Quindio</t>
  </si>
  <si>
    <t xml:space="preserve">Diseñar un sistema que garantice  la calidad en la información de los esquemas y planes básicos para la toma de decisiones  y organización del territorio  físico espacial en el departamento del Quindío
 </t>
  </si>
  <si>
    <t xml:space="preserve">Diseñar e implementar el Plan de Ordenamiento del Departamento del Quindio( I- Fase)
</t>
  </si>
  <si>
    <t>Consolidacion de la Informacion del DNP para la implementacion del POD</t>
  </si>
  <si>
    <t>Recursos Ordinarios</t>
  </si>
  <si>
    <t>Formulación y consolidación de las directrices y  lineamientos de ordenamiento territorial para el departamento del Quindio, en la implementación del POD.</t>
  </si>
  <si>
    <t>Superavit Recursos Ordinarios</t>
  </si>
  <si>
    <t>Socializacion del POD en los Municipios del Departamento</t>
  </si>
  <si>
    <t>Transporte</t>
  </si>
  <si>
    <t>Suministro de refrigerios</t>
  </si>
  <si>
    <t>Adquisicion de elementos tecnologicos (televisor, disco duro, entre otros)</t>
  </si>
  <si>
    <t>Diseñar e implementar Un (1) Sistema de Información geo referenciado para el ordenamiento social  y económico del territorio rural</t>
  </si>
  <si>
    <t>Sistema de información geo referenciado diseñado e implementado</t>
  </si>
  <si>
    <t>0305 - 5 - 3 1 5 28 87 17 9 - 20</t>
  </si>
  <si>
    <t>Diseñar e implementar un  Sistema de Información geo referenciado para el ordenamiento social  y económico del territorio rural</t>
  </si>
  <si>
    <t>Mantenimiento y Actualizacion permanente de las bases de Datos</t>
  </si>
  <si>
    <t xml:space="preserve">Actualizar y fortalecer  las directrices   del Modelo de Ocupación del Territorio   en el Departamento del Quindío </t>
  </si>
  <si>
    <t>Modelo de Ocupación del Territorio actualizado y fortalecido</t>
  </si>
  <si>
    <t>0305 - 5 - 3 1 5 28 87 17 9 - 88</t>
  </si>
  <si>
    <t>Actualizar y fortalecer  las directrices   del Modelo de Ocupación del Territorio   en el Departamento del Quindío</t>
  </si>
  <si>
    <t>Actualizar las Directrices MOD.</t>
  </si>
  <si>
    <t xml:space="preserve">Fortalecer el  Sistema de Información Geográfica del Departamento del Quindío  </t>
  </si>
  <si>
    <t>Sistema de información geográfica fortalecida</t>
  </si>
  <si>
    <t xml:space="preserve">Fortalecer el  Sistema de Información Geográfica del Departamento del Quindío </t>
  </si>
  <si>
    <t>fortalecimeinto de la Plataforma SIG Quindio.</t>
  </si>
  <si>
    <t>Adoptar dos (2) mecanismo de integracion regional  y  de asociatividad  entre los municipios.</t>
  </si>
  <si>
    <t>Mecanismo de integración adoptado</t>
  </si>
  <si>
    <t xml:space="preserve">Adoptar dos (2) mecanismos de integracion regional  y  de asociatividad  entre los municipios.
</t>
  </si>
  <si>
    <t>Creacion y fortalecimientos de los procesos de integracion regional y otras integraciones que se presenten</t>
  </si>
  <si>
    <t>Fortalecer Procesos de Integracion entre los Municipios</t>
  </si>
  <si>
    <t>Reorientar el observatorio económico actual, a un enfoque de Desarrollo humano incluyente con variables sociales, económicas y de seguridad humana</t>
  </si>
  <si>
    <t>Observatorio economico reorientado</t>
  </si>
  <si>
    <t>0305 - 5 - 3 1 5 28 87 17 10 - 20
0305 - 5 - 3 1 5 28 87 17 10 - 88</t>
  </si>
  <si>
    <t>201663000-0010</t>
  </si>
  <si>
    <t>Diseño e implementación del Observatorio de Desarrollo Humano en el departamento del Quindío</t>
  </si>
  <si>
    <t xml:space="preserve">Aumentar los indices eficacia y eficiencia  de la inversión social en el Departamento del Quindio, a través  del diseño e implementación de la primera fase  del Observatorio de Desarrollo Humano en el Departamento del Quindio ( Diagnóstico y compilación de la información estadística -Elaboración de los lineamientos metodológicos, tecnológicos y presupuestales) ,  durante el periódo administrativo. 
</t>
  </si>
  <si>
    <t xml:space="preserve">Elaborar  diagnóstico y compilar las estadisticas existentes en el Departamento por series de tiempo  y estratégias ( Inclusión social, seguridad humana, desarrollo sostenible, buen gobierno y prosperidad con equidad), con el fin contar con información soporte  que permita la toma de desiciones y aumentar los índices de eficacia y eficiencia de la inversión social en el Departamento del quindio, durante la vigencia 2018
</t>
  </si>
  <si>
    <t>1.1.1 Actualización de los instrumentos (Anuario Estadístico, Carta Estadística, Indicadores) de identificación, validación y cálculo de indicadores del observatorio departamental  contenidos en las dos áreas temáticas abordadas (Social y económica) para los 18 sectores priorizados en la vigencia 2017.</t>
  </si>
  <si>
    <t>Liliana Plaza Ñuste
Profesional Universitario</t>
  </si>
  <si>
    <t>José Iganacio Rojas Sepúlveda
Secretario Departamental de Planeación</t>
  </si>
  <si>
    <t>2.1 Análisis de la información recolectada para la actualización y generación de los  boletines trimestrales (4), el informe anual del departamento (1) y los demás análisis requeridos correspondientes a la vigencia 2017 (1 Informe de Empleo)</t>
  </si>
  <si>
    <t>2.2 Fortalecer el seguimiento a los problemas identificados en el departamento con relación a los ODS para la última vigencia de análisis.</t>
  </si>
  <si>
    <t>3.1.1. Apoyo en la implementación del sistema de consulta del Observatorio de Desarrollo Humano y fortalecimiento de su funcionamiento a partir de la compra de equipos de cómputo y de licencias.</t>
  </si>
  <si>
    <t>3.1.2 Apoyo en la recolección y procesamiento de bases y datos estadisticos para la estructuración del sistema de información </t>
  </si>
  <si>
    <t>Elaborar los lineamientos metodológicos, tecnológicos y presupuestales para la implementación del Observatorio de Desarrollo Humano en Departamento del Quindio, con el fin  de contar con los soprtes técnicos para el diseño de un herramienta tecnológica  que permita la articulación de la captura y procesamiento de la información por parte de las diferentes instancias productoras y mejorar los índices  de eficacia y eficiencia de la inversión social en el Departamento del quindio, durante la vigencia 2018</t>
  </si>
  <si>
    <t xml:space="preserve">4.1.1 Apoyo en la asistencia y revisión de las fichas Basicas Municipales </t>
  </si>
  <si>
    <t>Diseñar e implementar el tablero de control  para el seguimiento y evaluación del Plan de Desarrollo  y   políticas públicas  Departamentales</t>
  </si>
  <si>
    <t>Tablero de control diseñado e implementado</t>
  </si>
  <si>
    <t xml:space="preserve">0305 - 5 - 3 1 5 28 87 17 11 - 20
0305 - 5 - 3 1 5 28 87 17 11 - 88
</t>
  </si>
  <si>
    <t>201663000-0011</t>
  </si>
  <si>
    <t>Diseño  e implementación del Tablero de Control  para el seguimiento y evalución del Plan de Desarrollo y las Políticas Públicas del  Departamento del Quindio.</t>
  </si>
  <si>
    <t xml:space="preserve"> Aumentar los indices eficacia y eficiencia  de la inversión social en el Departamento del Quindio, a través  de la  caracterización, definición de indicadores, rutas críticas, seguimiento, control y evaluación de las metas estratégicas del Plan de Desarrollo " EN DEFENSA DEL BIEN COMÚN"  y las políticas públicas del Departamento del Quindio  
</t>
  </si>
  <si>
    <t xml:space="preserve">Realizar la caracterización,  definición de indicadores y estabecimiento de rutas criticas de las  metas estratégicas  Plan de Desarrollo Departamental y  las políticas públicas por periodo administrativo 2016-2019, con el fin de fortalecer los procesos de planificación del departamento y mejorar los indices de eficacia y eficiencia de la inversión social   
</t>
  </si>
  <si>
    <t>1.1. Implementación del procedimiento de cargue de información para el seguimiento y evaluación de las políticas públicas del Departamento del Quindío,  a través del Tablero de Control.</t>
  </si>
  <si>
    <t>1.2. Elaboración ruta de seguimiento del Plan de Acción, a través de la plataforma WEB,  flujos de información y conexiones, definiendo los avances de metas físicas y financieras, para la validación de la información.</t>
  </si>
  <si>
    <t xml:space="preserve">1.3. Adquisición de licencia de uso y funcionamiento </t>
  </si>
  <si>
    <t xml:space="preserve">Diseñar e implementar la  Fábrica de Proyectos de Inversión en el Departamento del Quindío </t>
  </si>
  <si>
    <t>Fábrica de Proyectos de Inversión diseñada e implementada</t>
  </si>
  <si>
    <t xml:space="preserve">0305 - 5 - 3 1 5 28 87 17 12 - 20
0305 - 5 - 3 1 5 28 87 17 12 - 88
</t>
  </si>
  <si>
    <t>201663000-0012</t>
  </si>
  <si>
    <t xml:space="preserve">  Implementación Sistema de Cooperación Internacional y  de Gestión de proyectos  del Depratamento del Quindío - " Fabrica de Proyectos"</t>
  </si>
  <si>
    <t xml:space="preserve">Aumentar la capacidad instalada en las secretarias sectoriales y entes territoriales para la formulación de proyectos conducentes a la gestión de recursos del orden departamental, nacional e internacional  </t>
  </si>
  <si>
    <t>Fortalecer la gestión de recursos, a través del SGR, departamentales, nacionales  e Internacional para el apoyo de alternativas regionales</t>
  </si>
  <si>
    <t>Capacitación formulación proyectos Sistema General de Regalias  SGR (Matriz  de Marco Lógico ; Metodología General Ajustada  y  requisitos generales para la viabilización  de proyectos)</t>
  </si>
  <si>
    <t>Juan José Jaramillo Perez
Jefe Oficina de Proyecctos y Cooperación
Norma Consuelo Mantilla Quintero
Profecional Universitaria
José Orlando Gutierrez Velasco
Profesional Universitario
Carlos Andres Baena García
Director Infraestructura Social</t>
  </si>
  <si>
    <t>Asistencia Técnica  en  la revisión de proyectos  Metodología General Ajustada MGA,   seguimiento a  trámites de  aprobación  proyectos  de Inversión SGR  y  mesas técnicas ( Secretarias Sectoriales,   Instancias de carácter municipal, departamental, regional  y/o nacional ), rendición de cuentas Sistema General de Regalias SGR, reuniones OCAD  Regional y Departamental.</t>
  </si>
  <si>
    <t>Asistencia Técnica  formulación Metodología General Ajustada MGA, gestión de insumos para el cumplimiento de requisitos mínimos,  revisión  de proyectos componente   Económico, Social y Ambiental</t>
  </si>
  <si>
    <t>Apoyo en la formulacion y estructuracion de programas y proyectos de cooperacion internacional, en las metodologias requeridas.</t>
  </si>
  <si>
    <t>Fortalecer el Monitoreo, control y seguimietno de los proyectos de inversión en tiempo real</t>
  </si>
  <si>
    <t xml:space="preserve">Seguimiento y evaluación ejecución  proyectos de inversión Sistema General de Regalias </t>
  </si>
  <si>
    <t>Socialización de Informes a las unidades ejecutoras</t>
  </si>
  <si>
    <t>Realización mesas técnicas con las unidades ejecutoras</t>
  </si>
  <si>
    <t>Brindar apoyo técnico integral o interdisciplinario a las Secretarias de la Gobernación del Quindío y a los entes territoriales en la identificación y formulación  de Proyectos en el marco de la Metodología General Ajustada, Marco Lógico y otras</t>
  </si>
  <si>
    <t>a) Asistencia Técnica en la formulación y estructuración de  proyectos de carácter estrategico (del orden departamental, Regional, Nacional e Internacional), en  la Metodología requeridas. B) Apoyo en la realizacion de mesas de trabajo con las unidades ejecutoras y entidades actoras, para la construccion de los documentos y anexos requeridos en los proyectos. c) Apoyo en el cargue de los proyectos en las plataformas requeridas. d) Apoyo en la verifcacion de requisitos en los proyectos. e) Apoyo en la socializacion de los proyectos formulados .</t>
  </si>
  <si>
    <t>Superavir Ordinario</t>
  </si>
  <si>
    <t>Apoyo a las unidades ejejcutoras en la formulacion y estructuracion d eproyectos del orden departamental, regional y nacional. Apoyo en las mesas de trabajo con las unidades ejecutoras y entidades actoras.</t>
  </si>
  <si>
    <t>a) Apoyo a la formulación, estructuración, ajustes y Actualización  de proyectos de Inversión vigencias  2019 y 2020, en su marco logico y a través de la Herramienta MGA WEB .   b) Apoyo a los procesos de revision y analisis del cumplimiento de requisitos generales de los proyectos por formuladores ciudadanos u oficiales. c) Apoyo a los procesos de control y seguimiento a la inversion.</t>
  </si>
  <si>
    <t>Apoyo en la caracterizaciòn de los proyectos e iniciativas estratègicas del Departamento del Quindio y sus municipios, suceptibles de ser financiados con recursos del orden departamental, regional, nacional e internacional, (generando fichas tècnicas)</t>
  </si>
  <si>
    <t>Apoyo a las unidades ejecutoras en la socializaciòn de la Metodologia General Ajustada- MGA WEB, SUIFP-TERRITORIO, teniendo en cuenta el Decreto 378 de 2017 "por el cual se expide el Manual de Operaciones del Banco de Programas y Proyectos de Inversiòn "Fabrica de Proyectos" del Departamento del Quindio" y las directrices establecidas por el Departamento Nacional de Planeaciòn -DNP.</t>
  </si>
  <si>
    <t xml:space="preserve">Seguimiento, identificación y sistematización de las iniciativas y proyectos susceptiblres de ser financiados con recursos de cooperación internacional, gestionados por los entes territoriales municipales ante las agencias de cooperación y embajadas ext ranjeras en el pais </t>
  </si>
  <si>
    <t xml:space="preserve">Actualizar el Sistema Integrado de Gestión Administrativa SIGA del departamento del Quindío </t>
  </si>
  <si>
    <t>Sistema Integrado de Gestión actualizado</t>
  </si>
  <si>
    <t>0305 - 5 - 3 1 5 28 87 17 13 - 20
0305 - 5 - 3 1 5 28 87 17 13 - 88</t>
  </si>
  <si>
    <t>201663000-0013</t>
  </si>
  <si>
    <t xml:space="preserve">Actualizar y/o  ajustar el Sistema Integrado de Gestión Administrativa SIGA del Departamento del Quindío </t>
  </si>
  <si>
    <t xml:space="preserve"> Aumentar los indices eficacia y eficiencia  de la inversión social en el Departamento del Quindio, a  través la actualización del Sistema Integado de la Gestión Administrativa SIGA ( procesos estratégicos, misionales, de apoyo y evaluación y control) durante la vigencia 2018
 </t>
  </si>
  <si>
    <t xml:space="preserve">Actualizar  y ajustar los procesos  Estrategicos,  Misionales de apoyo y evaluación y control del Sistema Integrado de  Gestión Administrativa del Departamento del Quindio.
</t>
  </si>
  <si>
    <t xml:space="preserve">Hacienda, Administrativa, Cultura, Salud, Educación, Representación Judicial, Privada, Planeación, Turismo, Industria y Comercio, Aguas e Infraestrutura, Interior, Agricultura y Desarrollo Rural,  Control Interno y Gestión, Control Interno Disciplinario, familia , Juridica y Contrataciòn </t>
  </si>
  <si>
    <t>Planeación, Gobernación y Modelo Integrado de Planeación y Gestión MIPG</t>
  </si>
  <si>
    <t>Asistencias Técnicas</t>
  </si>
  <si>
    <t>Asistencias Técnicas actualización y ajuste ( Tablero de Control , Sistema General de Regalias,Modelo Integrado  de Planeación y de Gestión MIPG, Rendición Publica de Cuentas,Seguimiento y Evaluación Plan de Desarrollo y Politicas Públicas,Ordenamiento Territorial ,Banco de Programas y Proyectos .</t>
  </si>
  <si>
    <t>Comite Institucional de Gestión y Desempeño MIPG</t>
  </si>
  <si>
    <t>Comité Departamental de Gestión y Desempeño MIPG</t>
  </si>
  <si>
    <t xml:space="preserve">Instancias de Control y Seguimiento </t>
  </si>
  <si>
    <t>Segumiento y evaluación aplicabilidad Manual de  Calidad por  Secretaria Sectorial ( Seguimiento No.1 )</t>
  </si>
  <si>
    <t>Segumiento y evaluación aplicabilidad Manual de  Calidad por  Secretaria Sectorial ( Seguimiento No. 2 )</t>
  </si>
  <si>
    <t>Informe final SIGA ahora MIPG</t>
  </si>
  <si>
    <t xml:space="preserve">Ajustes Paginas (Pagina web e Intranet) </t>
  </si>
  <si>
    <t xml:space="preserve">Capacitar a los funcionarios de la Administración departamental  en la operatividad del Sistema Integrado de la Gestión Administrativa  del Departamento del Quindio, con el fin de aumentar los indices de eficiencia y efiacia </t>
  </si>
  <si>
    <t>Segumiento y evaluación aplicabilidad Manual de  Calidad por  Secretaria Sectorial ( Seguimiento No. 3 )</t>
  </si>
  <si>
    <t xml:space="preserve">Implementar el Comité  de Planificación  Departamental   </t>
  </si>
  <si>
    <t>Comité de Planificación Departamental implementado</t>
  </si>
  <si>
    <t xml:space="preserve">0305 - 5 - 3 1 5 28 87 17 14 - 20
0305 - 5 - 3 1 5 28 87 17 14 - 88
</t>
  </si>
  <si>
    <t>201663000-0014</t>
  </si>
  <si>
    <t>Asistencia  técnica, seguimiento y evaluación  de la gestión  territorial en los  munipicios del Departamento del  Quindío.</t>
  </si>
  <si>
    <t xml:space="preserve">Aumentar  los índices eficacia y eficiencia  de la inversión social en el departamento del Quindío, a través  de procesos de capacitación, asistencia técnica, seguimiento y evaluación del gestión territorial, durante  la vigencia 2018 . 
</t>
  </si>
  <si>
    <t xml:space="preserve">Implementar el Comite Departamental de Planificación , con el fin de articular  procesos  que coadyuven al desarrollo economco y social del departamento del quindio de manera planificada durante la vigencia 2018 
</t>
  </si>
  <si>
    <t>Activar los comites de Planificación  descentralizados en los municipios del departamento mediante capacitaciones y talleres</t>
  </si>
  <si>
    <t>Martha Elena Giraldo Ramirez
Juan José Jaramillo Perez
Jefe Oficina de Proyecctos y Cooperación
Carlos Alberto Mendoza Parra
Jefe de Oficina de Desarrollo Territorial</t>
  </si>
  <si>
    <t>Implementar en doce (12) municipios del Departamento procesos de capacitación,   asistencia técnica,  seguimiento  y evaluación   de los    Planes  (Básicos y/o esquemas) Ordenamiento   Territorial</t>
  </si>
  <si>
    <t>Número de municipios con procesos de asistencia técnica y capacitación implementados</t>
  </si>
  <si>
    <t>Realizar capacitaciones, sensibilizaciones,  asistencias técnicas , seguimiento y evaluación  en los doce municipios del departamento, sobre los   instrumentos de planificación de la  gestión territorial : ocupación del espacio público, planes de ordenamiento territorial, sisben, raking integral de desempeño, instrumentos de planificación, políticas públicas y metodología general ajustada, con el fin de aumentar los índices de eficacia y eficiencia de la inversión en el departamento del Quindío durante la vigencia 2018</t>
  </si>
  <si>
    <t xml:space="preserve">Asistencia técnica, seguimiento y/o evaluación Planes Básicos de Ordenamiento Territorial  </t>
  </si>
  <si>
    <t xml:space="preserve">Transporte </t>
  </si>
  <si>
    <t xml:space="preserve">Implementar en doce (12) municipios del Departamento del Quindío  procesos de sensibilización, capacitación, asistencia técnica, seguimiento y evaluación del "Ranking integral de Desempeño"   </t>
  </si>
  <si>
    <t>Número de municipios con procesos de capacitación implementados</t>
  </si>
  <si>
    <t>Asistencia técnica, seguimiento y/o evaluación Ranking Integral de Desempeño, Identificación de inconsistencias del FUT, Evaluación de requisitos legales, viabilidad fiscal</t>
  </si>
  <si>
    <t xml:space="preserve">Implementar en doce (12) municipios del Departamento del Quindío  procesos de sensibilización, capacitación,  asistencia técnica, seguimiento  y evaluación  en la aplicabilidad de los instrumentos de planificación </t>
  </si>
  <si>
    <t>Número de municipios con procesos de sensibilización implementados</t>
  </si>
  <si>
    <t>Capacitación, asistencia técnica, seguimiento y/o evaluación instrumentos de planificación a los doce municipios</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</si>
  <si>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</si>
  <si>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Asistencia técnica en la operatividad del Sistema de Selección de Beneficiarios SISBEN III en los doce municipios del Departamento del Quindío:  </t>
  </si>
  <si>
    <t xml:space="preserve">Implementar en doce (12) municipios del Departamento del Quindío procesos de  sensibilización, capacitación, asistencia técnica, seguimiento  y evaluación  en la aplicabilidad   de las políticas públicas </t>
  </si>
  <si>
    <t xml:space="preserve">Capacitación , Asistencia técnica, seguimiento y/o evaluación Politicas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</si>
  <si>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</si>
  <si>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</si>
  <si>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Capacitación , Asistencia técnica, seguimiento y/o evaluación Metodologia General Ajustada</t>
  </si>
  <si>
    <t xml:space="preserve">Realizar procesos  de asistencia técnica, seguimiento y evaluacion  en la incorporación  de  las directrices del  Modelo de Ocupación del Territorio de en los doce (12) Municipios </t>
  </si>
  <si>
    <t>Entes territoriales municipales asistidos</t>
  </si>
  <si>
    <t>Capacitación , Asistencia técnica, seguimiento y/o evaluación incorporación Modelo de Ocupación del territorio en los doce municipios</t>
  </si>
  <si>
    <t>JOSE IGNACIO ROJAS SEPULVEDA</t>
  </si>
  <si>
    <t xml:space="preserve">SECRETARIO DE PLANEACION DEPARTAMENTAL </t>
  </si>
  <si>
    <t>SEGUIMIENTO PLAN DE ACCIÓN
OFICINA PRIVADA
I TRIMESTRE 2019</t>
  </si>
  <si>
    <t>Edad Económicamente 
Activa(20-59 años)</t>
  </si>
  <si>
    <t>QUINDIO EJEMPLAR Y LEGAL</t>
  </si>
  <si>
    <t xml:space="preserve">Realizar 40 eventos  de sensibilización en transparencia , participación, buen gobierno y valores éticos y morales  </t>
  </si>
  <si>
    <t>No de Eventos  de sensibilización   realizados</t>
  </si>
  <si>
    <t xml:space="preserve">0313 - 5 - 3 1 5 26 83 17 82 - 20
0313 - 5 - 3 1 5 26 83 17 82 - 88
</t>
  </si>
  <si>
    <t>201663000-0082</t>
  </si>
  <si>
    <t>Desarrollar y fortalecer la cultura de la transparencia, participación, buen gobierno  y valores éticos y morales en el Departamento del Quindio</t>
  </si>
  <si>
    <t>Elevar el índice de transparencia en la administración departamental , mediante un proceso de formación incluyente con énfasis en valores éticos, morales y ciudadanos, para aumentar la confianza en la administración gubernamental del Quindío.</t>
  </si>
  <si>
    <t xml:space="preserve">Ciudadanos altamente  informados   en temas relacionados con ética, transparencia y buen gobierno
</t>
  </si>
  <si>
    <t xml:space="preserve">Desarrollo de la estrategia de transparencia </t>
  </si>
  <si>
    <t>Recurso Ordinario Superavit</t>
  </si>
  <si>
    <t xml:space="preserve">Diana Marcela Martinez Correa,
Directora Protocolo 
                                                          Mario Andrés Jimenez Sánchez, Director de Gestión Estrategica.
                                                        Ana Maria Cardona Valdez, Directora de Análisis Financiero y Administrativo.                                      </t>
  </si>
  <si>
    <t>José Joaquin Rincon Pastrana
Director Oficina Privada</t>
  </si>
  <si>
    <t>Mejorar la cultura del civismo y participación de los ciudadanos  en los  procesos institucionales del gobierno.</t>
  </si>
  <si>
    <t>Desarrollo del sistema departamental del servicio al ciudaddano</t>
  </si>
  <si>
    <t>Implementar una (1) sala de transparencia "Urna de Cristal" en el Departamento</t>
  </si>
  <si>
    <t>Sala de transparencia implementada</t>
  </si>
  <si>
    <t>0313 - 5 - 3 1 5 26 83 17 83 - 20  </t>
  </si>
  <si>
    <t>201663000-0083</t>
  </si>
  <si>
    <t>Implementacion de una (1) sala de transparencia "Urna de Cristal" en el Departamento del Quindio</t>
  </si>
  <si>
    <t>Aumentar el nivel de credibilidad en la transparencia  de la contratación  pública en el Departamento.</t>
  </si>
  <si>
    <t xml:space="preserve">Aumentar el conocimiento de la ciudadanía de los procesos precontractuales de la administración departamental    Mejorar el promedio de participación de la ciudadania en los procesos de elección  popular en el cuatrenio </t>
  </si>
  <si>
    <t>Promociòn  de la Sala  de transparencia</t>
  </si>
  <si>
    <t xml:space="preserve">Mario Andrés Jimenez Sánchez, Director de Gestión Estrategica.                                </t>
  </si>
  <si>
    <t xml:space="preserve">MODERNIZACIÓN TECNOLOGICA Y ADMINISTRATIVA </t>
  </si>
  <si>
    <t xml:space="preserve">Desarrollar e implementar una (1) estrategía de comunicaciones  </t>
  </si>
  <si>
    <t>Estrategía de comunicaciones desarrollada e implementada</t>
  </si>
  <si>
    <t>0313 - 5 - 3 1 5 28 89 17 81 - 20
0313 - 5 - 3 1 5 28 89 17 81 - 88
           </t>
  </si>
  <si>
    <t>201663000-0081</t>
  </si>
  <si>
    <t>Implementación de  la estrategia de comunicaciones para  la divulgación de  los programas, proyectos,  actividades y servicios del Departamento del Quindío</t>
  </si>
  <si>
    <t>Fortalecer las herramientas de divulgación y comunicación de las metas resultado propuestas en el plan de desarrollo 2016-2019 " en defensa del bien común</t>
  </si>
  <si>
    <t>Incremento en el número de campañas institucionales para dar a conocer los programas y proyectos de la gobernación</t>
  </si>
  <si>
    <t>Ejecución de Plan de Medios (prensa, radio y televisión)</t>
  </si>
  <si>
    <t>Recurso Ordinario
Superavit Recurso Ordinario</t>
  </si>
  <si>
    <t>José Joaquin Rincon Pastrana, Director Oficina Privada                                                                         Director de Comunicaciones, Miguel Angel Rojas</t>
  </si>
  <si>
    <t>Desarrollo de la estrategia de comunicación interna (boletin informativo)</t>
  </si>
  <si>
    <t>Planificación institucional en la divulgación de los programas y proyectos</t>
  </si>
  <si>
    <t xml:space="preserve">Operatividad de la estrategica de comunicaciones </t>
  </si>
  <si>
    <t xml:space="preserve">Recurso Ordinario 
</t>
  </si>
  <si>
    <t>JOSE JOAQUIN RINCON PASTRANA</t>
  </si>
  <si>
    <t>SEGUIMIENTO PLAN DE ACCIÓN
PROMOTORA 
I TRIMESTRE 2019</t>
  </si>
  <si>
    <t>Infraestructura Sostenible para la Paz</t>
  </si>
  <si>
    <t>Mejora de la Infraestructura Vial del Departamento del Quindío</t>
  </si>
  <si>
    <t>0211101_4</t>
  </si>
  <si>
    <t>201663000-0171</t>
  </si>
  <si>
    <t xml:space="preserve">Apoyo en la formulación y ejecucion de proyectos de vivienda, infraestructura y equipamientos colectivos y comunitarios en el Departamento del Quindio </t>
  </si>
  <si>
    <t>Disminuir el porcentaje de personas en situación de pobreza en el Departamento del Quindio</t>
  </si>
  <si>
    <t>Aumento de la cobertura  en los componentes de vivienda, infraestructura y equipamiento colectivo y comunitario Aumento de la cobertura  en los componentes de vivienda, infraestructura y equipamiento colectivo y comunitario.</t>
  </si>
  <si>
    <t>Mantener, mejorar y/o rehabilitar la infraestructura y vial del departamento</t>
  </si>
  <si>
    <t>IMPUESTO AL REGISTRO</t>
  </si>
  <si>
    <t>IR
EPD</t>
  </si>
  <si>
    <t>LEONARDO RODRIGUEZ OSPINA</t>
  </si>
  <si>
    <t>Leonardo Rodriguez Ospina</t>
  </si>
  <si>
    <t>Mejora de la Infraestructura  Social del Departamento del Quindío</t>
  </si>
  <si>
    <t>0211102_3</t>
  </si>
  <si>
    <t xml:space="preserve">Desarrollo de Programas y Proyectos, en los componentes de vivienda, infraestructura, equipamiento colectivo y comunitario.
</t>
  </si>
  <si>
    <t>Construcción, mejoramiento y/o rehabilitación de la infraestructura de escenarios deportivos y/o recreativos.</t>
  </si>
  <si>
    <t>Mantener, mejorar y/o rehabilitar la Infraestructura instituciones educativas en el departamento del Quindío.</t>
  </si>
  <si>
    <t>Apoyar la construcción, el mantenimiento, el mejoramiento y/o la rehabilitación de la infraestructura de dos (2) equipamientos públicos y colectivos del Departamento del Quindío.</t>
  </si>
  <si>
    <t>Numero de equipamientos públicos y colectivos apoyados</t>
  </si>
  <si>
    <t>Construcción, mantenimiento, mejoramiento y/o la rehabilitación de la infraestructura de equipamientos públicos y colectivos.</t>
  </si>
  <si>
    <t>Mejoramiento y/o construcción de vivienda urbana y rural.</t>
  </si>
  <si>
    <t>Gerente General - ProviQuindío.</t>
  </si>
  <si>
    <t>Proyectó: Diego Fernando Ramirez Restrepo</t>
  </si>
  <si>
    <t>Profesional Universitario - Contratista.</t>
  </si>
  <si>
    <t>SEGUIMIENTO PLAN DE ACCIÓN
SECRETARÍA REPRESENTACIÓN JUDICIAL
I TRIMESTRE 2019</t>
  </si>
  <si>
    <t>VALOR</t>
  </si>
  <si>
    <t>E (COMPROMISO)</t>
  </si>
  <si>
    <t>Buen Gobierno</t>
  </si>
  <si>
    <t>Establecer y socializar veinte (20)  políticas desde la cultura de la legalidad y  la prevención de daño antijurídico en  el Departamento.</t>
  </si>
  <si>
    <t>Número de políticas establecidas</t>
  </si>
  <si>
    <t>0317 - 5 - 3 1 5 26 83 17 131 - 20</t>
  </si>
  <si>
    <t>201663000-0131</t>
  </si>
  <si>
    <t xml:space="preserve">Formulación, adopción e implementación de políticas de prevención del daño antijurídico en el Departamento del Quindío. </t>
  </si>
  <si>
    <t>Fortalecer los procesos, procedimienros y actuaciones de la administración para el cumplimiento de su misisón institucional</t>
  </si>
  <si>
    <t>Identificar las causas que generan daños antijurídicos en el Departamento.</t>
  </si>
  <si>
    <t>Estudio y análisis de  los procesos que cursan o  hayan cursado contra el departamento para identificar las causas generadoras de daños antijuridicos teniendo en cuenta los tipos de daños por los cuales resulta demandado el Departamento, las deficiencias en las actuaciones .administrativas y el índice de condenas en contra del Departamento.</t>
  </si>
  <si>
    <t>Jaime Alberto Gonzalez Mejia</t>
  </si>
  <si>
    <t>Jamer Chaquip Giraldo Molina Secretario de Representación Judicial y Defensa</t>
  </si>
  <si>
    <t>Diseño de las propuestas dirigidas a la adopción de medidas de indole preventivo y correctivo  que permitan reducir la incidencia de daños antijurídicos en el Departamento.</t>
  </si>
  <si>
    <t>Adoptar e implementar políticas de prevención de daños antijurídicos y socializarlas al interior de la administración departamental, propendiendo por la salvaguarda de los bienes e intereses jurídicos de terceros legalmente protegidos.</t>
  </si>
  <si>
    <t>Proyección y elaboración de actos administrativos para la adopción de las politicas de prevención de daños antijuridicos formuladas para su acatamiento obligatorio por parte de las Secretarías y demás dependencias del Departamento.</t>
  </si>
  <si>
    <t>Socialización de las politicas de prevención de daños antijuridicos en cada una  de las Secretarías y demás dependencias en el Departamento.</t>
  </si>
  <si>
    <t>SEGUIMIENTO PLAN DE ACCIÓN
SECRETARIA DE SALUD
I TRIMESTRE 2019</t>
  </si>
  <si>
    <t xml:space="preserve"> INCLUSION SOCIAL</t>
  </si>
  <si>
    <t xml:space="preserve">Fortalecimiento a la vigilancia en  la seguridad alimentaria y nutricional del Quindío. </t>
  </si>
  <si>
    <t xml:space="preserve">Implementar una estrategia que determine de forma oportuna el  número de brotes de enfermedades transmitidas por alimentos (ETA) con agente etiológico identificado en alimentos de mayor consumo.
</t>
  </si>
  <si>
    <t>No</t>
  </si>
  <si>
    <t>1803 - 5 - 3 1 3 11 35 2 132 - 61</t>
  </si>
  <si>
    <t>201663000-0132</t>
  </si>
  <si>
    <t>Aprovechamiento biológico y consumo de  alimentos idoneos  en el Departamento del Quindio</t>
  </si>
  <si>
    <t xml:space="preserve">Disminuir o mantener la proporción de niños menores de 5 años en riesgo de desnutrición moderada o severa aguda
</t>
  </si>
  <si>
    <t xml:space="preserve">Fortalecer la estrategia que determine el número de brotes de enfermedades transmitidas por alimentos (ETA) 
</t>
  </si>
  <si>
    <t>Realizar acciones de Inspección, Vigilancia y Control de alimentos y Bebidas alcohólicas de consumo humano en el Departamento del Quindío.</t>
  </si>
  <si>
    <t xml:space="preserve">SGP - Salud Pública </t>
  </si>
  <si>
    <t>Nebio Jairo Londoño Buitrago</t>
  </si>
  <si>
    <t>Cesar Augusto Rincón Zuluaga
Secretario de Salud</t>
  </si>
  <si>
    <t>Divulgación de las políticas, normas y procedimientos, brindando la asesoría pertinente para promover el cumplimiento de la reglamentación con miras a la protección de la salud, en  programas institucionales.</t>
  </si>
  <si>
    <t>Actualizar de censo de establecimientos de alimentos y bebidas para el 2018</t>
  </si>
  <si>
    <t>Articular acciones de informacion, educacion y comunicación, relacionada con la manipulacion adecuada de alimentos en  las actividades PIC 2018</t>
  </si>
  <si>
    <t>Realizar vigilancia sanitaria en establecmientos de alimentos, relacionados con enfermedades transmitidas por alimentos (ETA), en los muncipios de competencia del Departamento.</t>
  </si>
  <si>
    <t>Implementar sistema de informacion que permita programar y priorizar las accciones de Inspeccion, Vigilancia y Control con enfoque de reisgo en alimentos y bebidas.</t>
  </si>
  <si>
    <t>Articular con el laboratorio departamental de salud publica (LDSP) la programacion y ejecucion de la toma de muestras de alimetnos y bebidas.</t>
  </si>
  <si>
    <t xml:space="preserve">Ejecutar el plan decenal de lactancia materna </t>
  </si>
  <si>
    <t xml:space="preserve">Cumplir con  el tiempo de la practica de la lactancia Materna exclusiva
</t>
  </si>
  <si>
    <t>Realizar concertación intersectorial para la formulación de planes y proyectos que desarrollen el componente de seguridad alimentaria y nutricional de consumo y aprovechamiento biológico.</t>
  </si>
  <si>
    <t xml:space="preserve">Realizar acompañamiento a la promocion proteccion y apoyo de la lactancia materna en el marco de la celebracion de la semana muncial de la lactancia materna y del dia mundial de la alimentacion . </t>
  </si>
  <si>
    <t xml:space="preserve">Realizar acompañamiento al proceso de certificacion  de la estrategia IAMI en 11 IPS públicas del departamento. </t>
  </si>
  <si>
    <t>Realizar consolidacion del indicador de lactancia materna exclusiva año 2016-2019.</t>
  </si>
  <si>
    <t>Realizar capacitación a 11 municipios en alianza con la dimensión de salud en el ámbito laboral para la promoción, protección y apoyo de la lactancia materna.</t>
  </si>
  <si>
    <t>Fortalecer la atención integral  en seis (6) poblaciones vulnerables (etnias)  en menores de cinco años con casos de desnutrición</t>
  </si>
  <si>
    <t>Fortalecer la  atencion nutricional en poblaciones indigenas del departamento.</t>
  </si>
  <si>
    <t>Realizar seguimiento a casos de desnutrición, bajo peso al nacer y mortalidad por desnutrición notificados por el SIVIGILA con enfoque diferencial.</t>
  </si>
  <si>
    <t>Realizar búsqueda activa institucional y comunitaria de casos de desnutrición aguda en poblaciones etnias en el departamento.</t>
  </si>
  <si>
    <t>Realizar seguimiento a la implementación de la ruta de atención integral a la desnutrición en menores de 5 años en poblaciones vulnerables etnias del departamento.</t>
  </si>
  <si>
    <t>Realizar vigilancia en establecmientos educativos en el marco del programa de alimentacion escolar PAE y en poblaciones vulnerables.</t>
  </si>
  <si>
    <t>Realizar seguimiento a la implementacion de la Resolucion 5406/2015 y 2465/2016.</t>
  </si>
  <si>
    <t>Realizar acompañamiento en la implementacion en guías alimentarias basadas en alimentos y estilos de vida saludable.</t>
  </si>
  <si>
    <t>Realizar capacitación en guías alimentarias basadas en alimentos y estilos de vida saludable.</t>
  </si>
  <si>
    <t>Salud Pública para un Quindío saludable y posible</t>
  </si>
  <si>
    <t>Salud ambiental</t>
  </si>
  <si>
    <t>Formular, aprobar y divulgar  la Política Integral de Salud Ambiental (PISA)</t>
  </si>
  <si>
    <t>1803 - 5 - 3 1 3 12 36 2 133 - 61</t>
  </si>
  <si>
    <t>201663000-0133</t>
  </si>
  <si>
    <t>Control Salud Ambiental Departamento del Quindío.</t>
  </si>
  <si>
    <t>Disminuir  los factores de riesgo sanitarios y ambientales asociados a eventos de interés en salud pública relacionados con la salud ambiental como el aumento de la carga contaminante del agua, entre otros.</t>
  </si>
  <si>
    <t xml:space="preserve">Adoptar e implementar en el departamento de la  Política integral de salud ambiental PISA reglamentada  </t>
  </si>
  <si>
    <t>Realizar actividades de caracterización y educación sanitaria y ambiental en el marco de la implementacion de la estrategia entornos saludables, en los entornos de viviendas, educativos y comunitarios con el abordaje integral de las políticas, normas y procedimientos relacionados con la prevencion vigilancia y control de factores de riesgo de la salud</t>
  </si>
  <si>
    <t>N/A</t>
  </si>
  <si>
    <t xml:space="preserve">Generar los mapas de riesgo y vigilancia de la calidad de agua para consumo humano en  los doce (12) municipios del departamento </t>
  </si>
  <si>
    <t>Fortalecer la gestion intersectorial en el cumplimiento de la normatividad relacionada con la elaboracion de mapas de riesgo</t>
  </si>
  <si>
    <t>Generar  espacios  intersectoriales  para  la  construccion y actualizacion de los mapas de riesgo de calidad de agua de consumo humano  deacuerdo a la Resolución 4716 de 2010)</t>
  </si>
  <si>
    <t>Mantener  en 11 municipios de competencia departamental la vigilancia en los sistemas de potabilizacion, mediante la  de la aplicación de buenas practicas sanitarias y reporte de muestras de agua potable.</t>
  </si>
  <si>
    <t>Realizar analisis de la persistencia y aparicion de factores de riesgo en las fuentes abastecedoras con el fin de generar la actualizacion anual de los mapas de riesgo de calidad de agua para consumo humano</t>
  </si>
  <si>
    <t>Sexualidad, derechos sexuales y reproductivos</t>
  </si>
  <si>
    <t>Lograr que ocho (8) municipios del departamento operen el sistema de vigilancia en salud pública de la violencia intrafamiliar.</t>
  </si>
  <si>
    <t>1803 - 5 - 3 1 3 12 37 2 134 - 61</t>
  </si>
  <si>
    <t>201663000-0134</t>
  </si>
  <si>
    <t>Fortalecimiento de acciones de intervención inherentes a los derechos sexuales y reproductivos  en el Departamento del Quindio.</t>
  </si>
  <si>
    <t xml:space="preserve"> Disminuir de los eventos de interés en salud pública relacionados con la salud sexual y reproductiva en especial de la mortalidad materna  </t>
  </si>
  <si>
    <t xml:space="preserve">Garantizar la  atención integral a la población en salud sexual y reproductiva </t>
  </si>
  <si>
    <t xml:space="preserve">Desarrollar acciones de fortalecimiento de capacidades del talento humano protección y justicia en la estrategia de abordaje integral de las violencias de género y violencias sexuales y normatividad vigente. </t>
  </si>
  <si>
    <t>Realizar asistencia técnica y evaluación a la gestión del riesgo en salud de las EAPB y ESE en el abordaje integral de las violencias de género y violencias sexuales.</t>
  </si>
  <si>
    <t>Analizar trimestralmente el comportamiento del evento de violencias sexuales, identificar hallazgos frente a las barreras en la calidad de la atención y retroalimentar al área de inspección, vigilancia y control los hallazgos frente a las demoras de acuerdo a los análisis individuales de los casos.</t>
  </si>
  <si>
    <t>Desarrollar y realizar seguimiento al plan de acción del Comité Departamental consultivo  intersectorial e interinstitucional para el abordaje integral de las violencias de género y violencias sexuales en niños, niñas y adolescentes (Resolución 587 del 14 agosto del 2018)</t>
  </si>
  <si>
    <t>Desarrollar acciones articuladas intersectorialmente en los doce (12) municipios del departamento, con enfoque de derechos en colectivos LGTBI, jóvenes, mujeres gestantes adolescentes.</t>
  </si>
  <si>
    <t>Desarrollar acciones de fortalecimiento de capacidades del talento humano, en la estrategia de acceso universal a la prevención y atención integral en IT-VIH/SIDA.</t>
  </si>
  <si>
    <t>Realizar asistencia técnica y evaluación a la gestión del riesgo en salud de las EAPB, ESE y Programas regulares en la estrategia de acceso universal a la prevención y atención integral en IT-VIH/SIDA.</t>
  </si>
  <si>
    <t>Analizar trimestralmente el comportamiento del evento de VIH, TRASMISIÓN MATERNO INFANTIL DE VIH y HEPATITIS B, C y DELTA, identificar hallazgos frente a las barreras en la calidad de la atención y retroalimentar al área de inspección, vigilancia y control los hallazgos frente a las demoras de acuerdo a los análisis individuales de los casos.</t>
  </si>
  <si>
    <t>Realizar seguimiento a las IPS y centros de atención en la  gestión del riesgo en salud a personas que se inyectan drogas, en la estrategia de acceso universal a la prevención y atención integral en IT-VIH/SIDA.</t>
  </si>
  <si>
    <t>Desarrollar acciones encaminadas a dar respuesta al plan nacional de actividades colaborativas TB/VIH involucrando todos los actores del SGSSS y la sociedad civil.</t>
  </si>
  <si>
    <t>Vincular cuatro mil ochocientos (4.800) mujeres gestantes al programa de control prenatal antes de la semana 12 de edad gestacional.</t>
  </si>
  <si>
    <t>Implementar programa del  control prenatal antes de la semana 12 de la edad gestacional</t>
  </si>
  <si>
    <t>Realizar seguimiento a los embarazos de alto riesgo  detectados en todo el departamento del Quindío para que se garantice desde las EAPB la intervención del riesgo en salud.</t>
  </si>
  <si>
    <t>Realizar diagnóstico de la situación de embarazos en adolescente en edades entre 10 - 19 años, en el departamento del Quindío.</t>
  </si>
  <si>
    <t xml:space="preserve">Realizar asistencia técnica a EPS  e IPS en el programa de consulta preconcepcional con calidad, basada en educación en salud, para todas la parejas potencialmente fértiles, que asegure un recién nacido sano. </t>
  </si>
  <si>
    <t>Realizar  búsqueda activa institucional y comunitaria  de mujeres embarazadas a través de las IPS, EPS y líderes comunitarios en todo el departamento del Quindío.</t>
  </si>
  <si>
    <t>Establecer acuerdos con IPS y EAPB que aseguren la captación temprana de la gestante antes de la semana 12, a través de las acciones de promoción de la salud e identificación del riesgo.</t>
  </si>
  <si>
    <t xml:space="preserve">Capacitar a las redes sociales y comunitarias en la identificación del riesgo colectivo de las gestantes y en la captación temprana - PIC.  </t>
  </si>
  <si>
    <t xml:space="preserve">Realizar seguimiento y control a la aplicación del TSH neonatal  por parte de los aseguradores y prestadores a todos los recién nacidos institucionalizados y no institucionalizados en el departamento. </t>
  </si>
  <si>
    <t xml:space="preserve">Realizar asistencia técnica y seguimiento EPS  e IPS, en protocolos de atención del evento de sífilis gestacional y congénita y otras infecciones en las gestantes. </t>
  </si>
  <si>
    <t>Adaptar y realizar la verificación en la aplicación de la ruta de atención  integral, en la población gestante del departamento del Quindío</t>
  </si>
  <si>
    <t>Desarrollar y realizar seguimiento al plan de acción del comité departamental de maternidad segura. (Resolución 533 del 02 junio del 2015)</t>
  </si>
  <si>
    <t>Canalizar acciones de promoción de la salud en el desarrollo de la política Nacional de sexualidad, derechos sexuales y reproductivos</t>
  </si>
  <si>
    <t>Desarrollar acciones de fortalecimiento de capacidades del talento humano, en la Estrategia Nacional de Servicios de Salud Amigables para Adolescentes y Jóvenes, rutas de atención diferenciada, redes sociales, comunitarias y veedurías juveniles.</t>
  </si>
  <si>
    <t xml:space="preserve">Realizar asistencia técnica y evaluación a las ESE de primer nivel en la Estrategia Nacional de Servicios de Salud Amigables para Adolescentes y Jóvenes, rutas de atención diferenciada, redes sociales, comunitarias y veedurías juveniles. </t>
  </si>
  <si>
    <t>Desarrollar y realizar seguimiento al plan de acción del comité departamental de sexualidad, derechos sexuales y reproductivos. (Resolución 533 del 02 junio del 2015)</t>
  </si>
  <si>
    <t>Realizar asistencia técnica y evaluación a las 12 Secretarias de salud municipales en la Dimensión de sexualidad, derechos sexuales y reproductivos.</t>
  </si>
  <si>
    <t>Desarrollar y realizar seguimiento al  Plan de acción del subcomité departamental de promoción y prevención de las ITS-VIH/SIDA (Resolución 533 del 02 junio del 2015)</t>
  </si>
  <si>
    <t>Convivencia social y salud mental</t>
  </si>
  <si>
    <t>Ajustar e implementar  la política de salud mental en los 12 municipios del Departamento, conforme a los lineamientos y desarrollos técnicos definidos por el Ministerio de Salud y Protección Social.</t>
  </si>
  <si>
    <t>1803 - 5 - 3 1 3 12 38 2 135 - 61</t>
  </si>
  <si>
    <t>201663000-0135</t>
  </si>
  <si>
    <t>Fortalecimiento, promoción de la salud y prevención primaria en salud mental en el Departamento del Quindío.</t>
  </si>
  <si>
    <t>Disminuir la morbimortalidad asociada a la salud mental principalmente de la violencia intrafamiliar</t>
  </si>
  <si>
    <t>Implementar los lineamientos  del Ministerio de Salud y Protección Social frente a la ajustes e implementación de política y el plan nacional de salud mental</t>
  </si>
  <si>
    <t>Asistencia técnica a la Universidad del Quindío en la implementación de las zonas de orientación universitaria y el modelo de inclusión social.</t>
  </si>
  <si>
    <t>Definición de líneas operativas y prioridades a seguir para el plan de intervenciones colectivas, bajo lineamientos del plan de salud territorial, de la dimensión de convivencia social y salud mental.</t>
  </si>
  <si>
    <t>Formación y capacitación al personal de las IPS, EPS, Planes locales de Salud y entidades que desarrollan acciones encaminadas a la atención de la salud mental con énfasis en MH - GAP y estrategia treanet</t>
  </si>
  <si>
    <t>Realizar el III seminario de actualización en investigación, prevención y atención de la conducta suicida, en el marco de la formulación de la Política en Salud Mental</t>
  </si>
  <si>
    <t>Realizar mesas de trabajo con la sociedad civil, EPS, Médicos especialistas en psiquiatría, para la implementación de los protocolos atención del espectro autista, así como la socialización de las guías de atención en depresión, consumo de alcohol, esquizofrenia.</t>
  </si>
  <si>
    <t>Realizar mesas de trabajo  EPS,  para la socialización de las guías de atención en salud mental y spa, coberturas en salud mental (ley 1438 del 2011, resolución 5592 del 2015, ley 1616 del 2013, ley 1566 del 2012, rutas de atención, política actual de drogas y atención integral a víctimas de violencia) entre otros.</t>
  </si>
  <si>
    <t>Realizar monitoreo y seguimiento a los casos notificados en el SIVIGILA en los eventos de interés  en salud pública y de competencia directa de la Dimensión de convivencia social y salud mental.</t>
  </si>
  <si>
    <t>Realizar acompañamiento a la mesa de trabajo del programa de habitante de calle, para la formulación de la política pública según ley 1641 del 2013.</t>
  </si>
  <si>
    <t>Realizar mesas de coordinación, organización y operativización del comité departamental de reducción del consumo de sustancias psicoactivas - ordenanza 051 del 2010 y apoyo  técnico a la secretaria del interior en el consejo seccional de estupefaciente</t>
  </si>
  <si>
    <t>Adoptar e implementar el modelo de Atención primaria en Salud Mental (APS) en todos los municipios Quindiano</t>
  </si>
  <si>
    <t>Establecer lineamientos de planificación en la Atención primaria en Salud Mental (APS) en todos los municipios Quindiano</t>
  </si>
  <si>
    <t>Realizar asistencia técnica a la universidad del Quindío en la implementación de las zonas de orientación universitaria y el modelo de inclusión social.</t>
  </si>
  <si>
    <t>Realizar formación y capacitación a orientadores escolares del departamento del Quindío, en normatividad actual, rutas de atención y protocolos de vigilancia en la Dimensión de Convivencia Social y Salud Mental.</t>
  </si>
  <si>
    <t>Realizar formación y capacitación a las familias y cuidadores de personas diagnosticadas con esquizofrenia en conjunto con la Asociación Colombiana de Esquizofrenia</t>
  </si>
  <si>
    <t>Brindar asesoría, asistencia técnica y realizar acciones de vigilancia y monitoreo  a los entes municipales en la línea  de convivencia social y salud mental (violencia, conducta suicida, entre otros)</t>
  </si>
  <si>
    <t>Realizar mesas de trabajo de asesoría y asistencia técnica  con  EPS, en normatividad vigente en salud mental, convivencia social, rutas de atención y seguimiento a casos</t>
  </si>
  <si>
    <t>Adoptar  e implementar en los doce (12) municipios el plan departamental de la reducción del consumo de sustancias psicoactivas SPA conforme a lineamientos y desarrollos técnicos entorno a la demanda</t>
  </si>
  <si>
    <t>Articular las políticas públicas de reducción de la oferta y reducción de la demanda de sustancias psicoactivas licitas e ilícitas.</t>
  </si>
  <si>
    <t>Brindar asesoría, asistencia técnica y realizar acciones de vigilancia y monitoreo a las instituciones que cuentan con programas ambulatorios de mantenimiento con método de baja y mediana complejidad, en el departamento del Quindío.</t>
  </si>
  <si>
    <t>Asistencia técnica y  seguimiento a la notificación del sistema único de indicadores de centros de atención a la drogadicción (SUICAD).</t>
  </si>
  <si>
    <t>Mesas de trabajo con usuarios y sus familias de los diferentes programas de sustitución con metadona.</t>
  </si>
  <si>
    <t>Coordinación y organización de las mesas técnicas intersectoriales para los ajustes y adaptación del Plan Nacional Para la Promoción de la Salud, la Prevención, y la Atención del Consumo de Sustancias Psicoactivas 2014 - 2021.</t>
  </si>
  <si>
    <t>Formación y capacitación al personal de las IPS, EPS, Planes locales de Salud y entidades que desarrollan acciones encaminadas a la implementación del modelo de inclusión social de base comunitaria (zonas de orientación universitaria y centros de escucha), primer ciclo de formación en atención primaria en salud mental y spa..</t>
  </si>
  <si>
    <t>Estilos de vida saludable y condiciones no-transmisibles</t>
  </si>
  <si>
    <t>Implementar la estrategia  denominada "Cuatro por cuatro" para la promoción de la alimentación saludable</t>
  </si>
  <si>
    <t>1803 - 5 - 3 1 3 12 39 2 138 - 61</t>
  </si>
  <si>
    <t>201663000-0138</t>
  </si>
  <si>
    <t xml:space="preserve">Control y vigilancia en las acciones de condiciones no transmisibles y promoción de estilos de vida saludable en el Quindio  </t>
  </si>
  <si>
    <t>Disminuir la carga de la enfermedad asociada a las enfermedades crónicas no trasmisibles</t>
  </si>
  <si>
    <t xml:space="preserve"> Realizar campañas  de promoción y prevención que orienten la adopción de estilos de vida saludable</t>
  </si>
  <si>
    <t>Desarrollar acciones de  promoción de la salud en Enfermedades Crónicas No Transmisibles (cardiovasculares, diabetes, epoc, salud visual, auditiva y comunicativa) y gestión del riesgo (cáncer de mama, cuello, infantil y enfermededades huérfanas raras, exposición a flúor)con los diferentes grupos poblacionales y los diferentes contextos (PIC)</t>
  </si>
  <si>
    <t>Asistir en la implementación de actividades para la promoción de modos, condiciones y estilos de vida saludable, relacionadas con las enfermedades no transmisibles en el entorno escolar y realizar el respectivo seguimiento.</t>
  </si>
  <si>
    <t>Brindar asistencia técnica y evaluar en 20 instituciones educativas la implementación de  la estrategia Tiendas escolares Saludables de 11 municipios de competencia departamental y hacer el respectivo seguimiento.</t>
  </si>
  <si>
    <t>Realizar asistencia técnica a los Planes Locales de Salud en la gestión intersectorial para la promoción de estilos de vida saludables (alimentación saludable, actividad física, alcohol y cigarrillo) en los diferentes entornos educativo, laboral y comunitario.</t>
  </si>
  <si>
    <t>Implementar una estrategia de ambientes libres de humo de tabaco en los  municipios.</t>
  </si>
  <si>
    <t>Articular estrategias interinstitucionales que garanticen la integralidad en la atención de los usuarios</t>
  </si>
  <si>
    <t>Verificar el nivel de cumplimiento  de la ley 1335 de 2009 enfocada en espacios libres de humo (no consumo o exposición al tabaco y sus derivados) en  11 instituciones educativas de competencia departamental.</t>
  </si>
  <si>
    <t>Realizar asistencia técnica y seguimiento a la red de prestadores y aseguradores del departamento, en la  implementación de guías de atención y tamizajes de las enfermedades no transmisibles especialmente en prestadores de primer nivel de atención, bajo la estrategia de APS.</t>
  </si>
  <si>
    <t xml:space="preserve">Ejecutar el plan de intervención de la exposición a flúor en el departamento de acuerdo a los riesgos identificados en la fase IV. </t>
  </si>
  <si>
    <t xml:space="preserve">Realizar el análisis trimestral de los resultados obtenidos en la Búsqueda Activa Institucional, generar planes de mejoramiento y seguimiento a los  hallazgos encontrados a prestadores y aseguradores y realizar su respectivo reporte a nivel nacional. </t>
  </si>
  <si>
    <t>Implementar una estrategia para mantener la edad de inicio de consumo de tabaco en los adolescentes escolarizados.</t>
  </si>
  <si>
    <t>Adoptar guías y protocolos de atención de las enfermedades crónicas no transmisibles por parte de las EPS e IPS</t>
  </si>
  <si>
    <t>Fortalecer con la instancia intersectorial las acciones de intervención orientadas a la disminución de riesgo de consumo de tabaco en toda la comunidad educativa, incluidos los padres de familia.</t>
  </si>
  <si>
    <t xml:space="preserve">Aportar las evidencias que permitan la identificación en la gestión del riesgo en la oportunidad del tratamiento del paciente como complemento en la realización de unidades de análisis de las muertes de interés en salud pública convocadas por Sivigila, verificando adherencia a la metodología "ruta de la vida camino a la supervivencia", generación de planes de mejoramiento e informe de proceso de seguimiento. </t>
  </si>
  <si>
    <t>Realizar asistencia técnica, seguimiento y monitoreo a la gestión del riesgo en salud de los administradores y prestadores en el abordaje integral de la dimensión de vida saludable y condiciones no transmisibles, para realizar acuerdos con las EPS e IPS y definir planes de acción.</t>
  </si>
  <si>
    <t>Vida saludable y enfermedades transmisibles</t>
  </si>
  <si>
    <t xml:space="preserve">Diseñar y desarrollar planes y/o programas en los doce (12) entes territoriales municipales de promoción y prevención de las enfermedades transmitidas por agua, suelo y alimentos </t>
  </si>
  <si>
    <t>0318 - 5 - 3 1 3 12 40 2 139 - 20
1803 - 5 - 3 1 3 12 40 2 139 - 61</t>
  </si>
  <si>
    <t>201663000-0139</t>
  </si>
  <si>
    <t>Fortalecimiento de las acciones de la prevención y protección en la población infantil en el Departamento del Quindío</t>
  </si>
  <si>
    <t>Reducir la exposición a condiciones y factores de riesgo ambientales, sanitarios y biológicos, de las contingencias y daños producidos por las enfermedades transmisibles</t>
  </si>
  <si>
    <t xml:space="preserve">Fortalecimiento de la red de frío del Programa ampliado de inmunización (PAI).
</t>
  </si>
  <si>
    <t>Realizar la caracterización de las condiciones sanitarias de las familias de la zona rural en condiciones de vulnerabilidad de los 11 municipios del departamento del Quindío.</t>
  </si>
  <si>
    <t>20 - 61</t>
  </si>
  <si>
    <t xml:space="preserve">Ejecutar conjuntamente con el equipo de Salud Ambiental, las intervenciones concernientes a la promoción de prácticas claves de la estrategia AIEPI comunitario en entornos saludables (vivienda y escuela). </t>
  </si>
  <si>
    <t>Realizar el monitoreo y evaluación de las acciones de gestión del riesgo, adherencia a guías y protocolos de enfermedades transmitidas por agua, suelo y alimentos, con las EAPB y ESES del Departamento.</t>
  </si>
  <si>
    <t>Realizar mesas técnicas para el análisis, evaluación y seguimiento de las acciones de prevención de enfermedades transmitidas por agua, suelo y alimentos, con vigilancia en salud pública.</t>
  </si>
  <si>
    <t>Implementar una estrategia que permita garantizar el adecuado funcionamiento de la red de frío para el almacenamiento  de los biológicos del Programa ampliado de inmunización (PAI).</t>
  </si>
  <si>
    <t xml:space="preserve">Fortalecimiento de los protocolos para la prevenciÓn y control de las enfermedades transmisibles
</t>
  </si>
  <si>
    <t>Realizar el abastecimiento permanente de las vacunas e insumos del PAI, según los lineamientos del programa ampliado de inmunizaciones.</t>
  </si>
  <si>
    <t>Realizar asistencia técnica a los municipios para asegurar el correcto almacenamiento, conservación y transporte de vacunas, bajo los estándares de calidad de la cadena de frio.</t>
  </si>
  <si>
    <t>Consolidar el registro de la información reportada sobre dosis aplicadas en el sistema de información nominal de las instituciones que brindan atención a la población menor de 5 años CDI en el departamento.</t>
  </si>
  <si>
    <t>Realizar la consolidación de la información generada por el programa ampliado de inmunizaciones, para reporte al MSPS con oportunidad, calidad e integralidad según el sistema de información nominal PAIWEB.</t>
  </si>
  <si>
    <t>Implementar  la estrategia de gestión integral-enfermedades de transmisión vectorial (EGI ETV) en los 5 municipios hiperendémicos para enfermedades de transmisión vectorial</t>
  </si>
  <si>
    <t xml:space="preserve">1803 - 5 - 3 1 3 12 40 2 141 - 111
1803 - 5 - 3 1 3 12 40 2 141 - 61
0318 - 5 - 3 1 3 12 40 2 141 - 20
1803 - 5 - 3 1 3 12 40 2 141 - 107
</t>
  </si>
  <si>
    <t>201663000-0141</t>
  </si>
  <si>
    <t xml:space="preserve">Fortalecimiento de estrategia de gestión integral, vectores, cambio climático y zoonosis en el Departamento  del Quindio </t>
  </si>
  <si>
    <t xml:space="preserve">Disminuir el indice de enfermedades trasmision vectorial y zoonosis en la poblacion  
</t>
  </si>
  <si>
    <t xml:space="preserve">Implementar estrategiaspara  la gestión integral para enfermedades de transmisión vectorial (EGI ETV) </t>
  </si>
  <si>
    <t>Realizar inspección vigilancia y control de focos de reproducción de vectores (dengue, Chikunguña y zika) en los 11 municipios de competencia Departamental.</t>
  </si>
  <si>
    <t>Res. 781/15 Prev. y control enfermedades por Vect</t>
  </si>
  <si>
    <t>20 - 61 - 107 - 111</t>
  </si>
  <si>
    <t>Superavit Res. 781/15 Prev. y Control Enfermedades por Vectores</t>
  </si>
  <si>
    <t>Analizar mensualmente el comportamiento de los eventos de ETV y zoonosis y retroalimentar al área de IVC para garantizar la calidad en la atención de los casos reportados.</t>
  </si>
  <si>
    <t>Atender el 100% de los brotes y contingencias por ETV y Zoonosis en los municipios de categoría 4, 5 y 6 del Departamento del Quindío.</t>
  </si>
  <si>
    <t>Realizar asistencia técnica a los equipos a los equipos de los planes locales de salud en los cuatro municipios hiperendémicos para la adopción, adaptación y  desarrollo de la EGI- ETV y ZOONOSIS.</t>
  </si>
  <si>
    <t>Realizar jornadas de movilización y participación  social y comunitaria para generar cambios conductuales frente a  la eliminación de criaderos de vectores Dengue, Chikunguña y Zika mediante la estrategia COMBI en los municipios hiperendémicos.</t>
  </si>
  <si>
    <t>Realizar el monitoreo y evaluación a las acciones de gestión del riesgo, adherencia a guías y protocolos en las EAPB y Empresas Sociales del Estado que conduzcan a mejorar la calidad en la atención integral de pacientes con ETV y Zoonosis.</t>
  </si>
  <si>
    <t xml:space="preserve">Implementar la estrategia  para ampliar coberturas útiles de vacunación antirrábica en animales (perros y gatos). </t>
  </si>
  <si>
    <t xml:space="preserve"> Fortalecer acciones para aumentar coberturas útiles de vacunación antirrábica en animales (perros y gatos). 
</t>
  </si>
  <si>
    <t>Estimar la población de perros y gatos en las áreas urbana y rural en el 100% de los municipios de categoría 4, 5 y 6 del departamento del Quindío.</t>
  </si>
  <si>
    <t xml:space="preserve">Promover a nivel comunitario la tenencia responsable de animales de compañía y la promoción de la vacunación antirrábica. </t>
  </si>
  <si>
    <t>Realizar coordinación intersectorial en el marco del Consejo Territorial de Zoonosis.</t>
  </si>
  <si>
    <t>Realizar vacunación regular de perros y gatos a nivel urbano y rural en los 11 municipios de categoría 4, 5 y 6 del Departamento del Quindío.</t>
  </si>
  <si>
    <t>Implementar el plan estratégico hacia el fin de la tuberculosis</t>
  </si>
  <si>
    <t>201663000-0142</t>
  </si>
  <si>
    <t xml:space="preserve">Fortalecimiento de la inclusión social para la disminución de riesgos de contraer enfermedades transmisibles  en el Departamento del Quindio </t>
  </si>
  <si>
    <t xml:space="preserve">Aumentar la adeherencia al tratamiento de los pacientes con diagnositico de tuberculosis 
</t>
  </si>
  <si>
    <t>Fortalecimiento de las capacidades del recurso humano</t>
  </si>
  <si>
    <t>Brindar asistencia técnica y seguimiento al programa de tuberculosis y lepra dirigida a: Planes Locales de Salud, Ips publicas y Privadas, EAPB, laboratorios adscritos a la red publica y privada de los 12 municipios del departamento.</t>
  </si>
  <si>
    <t>SGP - Salud Pública</t>
  </si>
  <si>
    <t>61 - 113 - 114</t>
  </si>
  <si>
    <t>Res  1029/16 Camp y control antituberculosis</t>
  </si>
  <si>
    <t>Res.1030/2016 Campaña control lepra QuindÍo</t>
  </si>
  <si>
    <t>Realizar capacitaciones al personal asistencial de las IPS en el programa de tuberculosis y lepra en el departamento.</t>
  </si>
  <si>
    <t>1803 - 5 - 3 1 3 12 40 2 142 - 113</t>
  </si>
  <si>
    <t>Realizar el análisis e intervención a los casos especiales de farmacorresistencia del programa de tuberculosis. " CERCET" Comite Evaluador  Regional de Casos Especiales de Tuberculosis.</t>
  </si>
  <si>
    <t>Res.  1029/16 Camp y control antituberculosis</t>
  </si>
  <si>
    <t>1803 - 5 - 3 1 3 12 40 2 142 - 114</t>
  </si>
  <si>
    <t>Acompañar la vigilancia de cumplimiento a guías, lineamientos y protocolos  en tuberculosis y lepra</t>
  </si>
  <si>
    <t xml:space="preserve">SGP - Salud Pública
</t>
  </si>
  <si>
    <t>1803 - 5 - 3 1 3 12 40 2 142 - 61</t>
  </si>
  <si>
    <t>Coordinar acciones para la gestión intersectorial</t>
  </si>
  <si>
    <t>Realizar mesas técnicas para la gestión del compromiso político, en la protección social y sistemas de apoyo de pacientes con tuberculosis y lepra.</t>
  </si>
  <si>
    <t>Hacer seguimiento a la implementacion y ejecucion de  los nuevos planes estratégicos de tuberculosis y lepra en los 12 municipios.</t>
  </si>
  <si>
    <t>Realizar campañas de prevención y atención integral en afectados por tuberculosis</t>
  </si>
  <si>
    <t>Realizar capacitaciónes dirigida a personas líderes,   para ser formadas como agentes comunitarios TB/VIH,</t>
  </si>
  <si>
    <t>Gestión de la prestación de los servicios en prevención y atención integral centrada en los afectados por tuberculosis y lepra. (rondas medicas, visita a pacientes).</t>
  </si>
  <si>
    <t>Realizar actividades de promoción y prevención implementadas para la comunidad y grupos focalizados en tuberculosis y lepra en los 12 municipios del departamento. ( rondas medicas, busqueda de sintomaticos respiratorios y de piel, movilizaciones, talleres, sensibilizaciones , etc)</t>
  </si>
  <si>
    <t>Salud publica en emergencias y desastres</t>
  </si>
  <si>
    <t>Realizar catorce (14) simulacros de atención a emergencias en la Red Pública Hospitalaria</t>
  </si>
  <si>
    <t>1803 - 5 - 3 1 3 12 41 2 143 - 61</t>
  </si>
  <si>
    <t>201663000-0143</t>
  </si>
  <si>
    <t>Prevención en emergencias y desastres de eventos relacionados con la salud pública en el Departamento del  Quindio</t>
  </si>
  <si>
    <t>Coordinar acccuiones para la gestión integral  del riesgo en  situaciones de emergencias y desastres  en las IPS y autoridad sanitaria del departamento</t>
  </si>
  <si>
    <t xml:space="preserve">Actualizar planes de seguridad hospitalaria  en los hospitales de I y II nivel. </t>
  </si>
  <si>
    <t>Realizar estudios tecnicos para realizar 14 simulcros de atencion a emergencias en la red hospitalaria.</t>
  </si>
  <si>
    <t xml:space="preserve">Realizar asistencia técnica en la construcción y ejecución del plan bienal de inversiones, a once (11) Empresas sociales del estado (ESE) del departamento. </t>
  </si>
  <si>
    <t>Realizar 11 visitas de verificacion de aplicación protocolos y planes de emergecia hospitalaria a las eses publicas del departamento</t>
  </si>
  <si>
    <t>Mejorar el índice de seguridad hospitalaria en once (11) empresas sociales del estado (ESE) del departamento del nivel  I y II.</t>
  </si>
  <si>
    <t xml:space="preserve">Operar el Plan de Emergencias en Salud en el Departamento </t>
  </si>
  <si>
    <t xml:space="preserve">Actualizar y mantener la red de comunicaciones  para  situaciones de emergencias y desastres de la red hospitalaria y de la secretaria departamental de salud </t>
  </si>
  <si>
    <t xml:space="preserve">Actualizar, socializar e implementar  el plan integral  de emergencias de la secretaria de salud departamental. </t>
  </si>
  <si>
    <t>Capacitar a los hospitales para la integracion de los planes de emergencia hospitalaria con el plan de emergencia de  secretaria de salud.</t>
  </si>
  <si>
    <t>Fortalecer las capacidades tecnicas del CRUE departamental, en la regulacion de la referencia y contrarreferencia, implementando los lineamientos Rutas Integrales de Atencion en Salud.</t>
  </si>
  <si>
    <t>Salud en el entorno laboral</t>
  </si>
  <si>
    <t>Fomentar en 8 municipios un programa de cultura preventiva en el trabajo formal e informal y entornos laborales saludables.</t>
  </si>
  <si>
    <t>1803 - 5 - 3 1 3 12 42 2 145 - 61</t>
  </si>
  <si>
    <t>201663000-0145</t>
  </si>
  <si>
    <t>Prevención vigilancia y control de eventos de origen laboral en el Departamento del Quindío.</t>
  </si>
  <si>
    <t xml:space="preserve">Disminuir los eventos de origen laboral en los trabajadores del sector formal del Departamentodel Quindio 
</t>
  </si>
  <si>
    <t xml:space="preserve">Realizar campañas para el cumplimiento en la aplicacion de los deberes y derechos relacionados en el Sistema General de Riesgos Laborales tanto para empleadores como para trabajadores  </t>
  </si>
  <si>
    <t>Capacitar en prevención de riesgos laborales a las empresas del Sector económico con más alto índice de accidentalidad.</t>
  </si>
  <si>
    <t>Nebio Jairo Londoño BuitragoNebio Jairo Londoño Buitrago</t>
  </si>
  <si>
    <t xml:space="preserve">Realizar la Identificación y caracterización de las mujeres trabajadoras del sector agrícola informal de los municipios  de Calarcá, Montenegro, Quimbaya, La Tebaida, Circasia, Salento, Filandia y Montenegro. </t>
  </si>
  <si>
    <t xml:space="preserve">Capacitar a las mujeres trabajadoras del sector agrícola de los municipios de Calarcá, Montenegro, Quimbaya, La Tebaida, Circasia, Salento, Filandia y Montenegro en derechos y deberes relacionados en el SGRL.   </t>
  </si>
  <si>
    <t>Formular el plan de acción para la prevención de trabajo infantil en el departamento del Quindío, en el marco del Comité Departamentales para la prevención y erradicación de trabajo infantil - CIETI.</t>
  </si>
  <si>
    <t>Identificar y caracterizar la población trabajadora en condición de informalidad con énfasis en el menor trabajador en los 11 municipios del departamento.</t>
  </si>
  <si>
    <t xml:space="preserve">Realizar una jornada Educativa con relación a Riesgos laborales a los empleadores del Dpto. </t>
  </si>
  <si>
    <t>Implementación en las 14 empresas sociales del estado (ESE) departamentales y de primer nivel, el Sistema de Gestión de la Seguridad y Salud en el Trabajo</t>
  </si>
  <si>
    <t xml:space="preserve">Implementar controles de cumplimiento por parte de los empleadores en lo reglamentado en el Sistema general de Riesgos Laborales. </t>
  </si>
  <si>
    <t>Realizar asistencia técnica  a los prestadores de primer nivel, para verificar el cumplimiento del Sistema de Gestión de la Seguridad y Salud en el Trabajo.</t>
  </si>
  <si>
    <t>Realizar jornada de sensibilización a los Empleadores para fomentar la afiliación al SGRL a sus empleados conforme a ley 1562 del 2012 y decreto 1443  del 2015.</t>
  </si>
  <si>
    <t>Brindar asistencia técnica a las ARLs en el diseño del SG-SST,  capacitación a las brigadas de primeros auxilios, COPASST  o VIGIA y la promoción de estilos de vida y trabajo saludable a la población trabajadora de sus empresas usuarias.</t>
  </si>
  <si>
    <t xml:space="preserve">Expedir las licencias y asistencias técnicas en Seguridad y Salud en el Trabajo. </t>
  </si>
  <si>
    <t>Analizar los eventos de origen laboral graves y mortales reportados por el Comité Seccional de Seguridad y Salud en el trabajo.</t>
  </si>
  <si>
    <t>Fortalecimiento de la autoridad sanitaria</t>
  </si>
  <si>
    <t>Consolidar y desarrollar en los 12 municipios del departamento el Sistema de Vigilancia en salud pública (SVSP), integrado al sistema de vigilancia y control sanitario e inspección vigilancia y control de (S.G.S.S.S).</t>
  </si>
  <si>
    <t xml:space="preserve">0318 - 5 - 3 1 3 12 43 2 146 - 20
1803 - 5 - 3 1 3 12 43 2 146 - 61
1803 - 5 - 3 1 3 12 43 2 146 - 63
</t>
  </si>
  <si>
    <t>201663000-0146</t>
  </si>
  <si>
    <t xml:space="preserve">Fortalecimiento de la autoridad sanitaria en el Departamento del Quindio </t>
  </si>
  <si>
    <t>Consolidar y desarrollar el sistema de vigilancia en salud pública integrado al sistema de vigilancia de control sanitario e inspección, vigilancia y control de S.G.S.S.S.</t>
  </si>
  <si>
    <t xml:space="preserve">  Aumentar la cobertura en acciones de inspeccion vigilancia y control</t>
  </si>
  <si>
    <t>Realizar vigilancia epidemiológica de plaguicidas en el marco del programa VEO con la toma de muestras de Acetilcolinesterasa en sangre a los individuos expuestos a plaguicidas  Organofosforados y Carbamatos.</t>
  </si>
  <si>
    <t>61 - 63</t>
  </si>
  <si>
    <t>Análisis y seguimiento al comportamiento de los eventos por intoxicaciones de sustancias químicas y enfermedad diarreica aguda (EDAS), generada por el Sistema de Vigilancia y fuentes externas. realizando  asistencia técnica  a los actores de vigilancia en salud publica  en el departamento.</t>
  </si>
  <si>
    <t>Realizar seguimiento al proceso de gestion del riesgo indicvidual frente a las acciones de proteccion especifica y deteccion temprana desde el reporte del anexo tecnico de la resolucion 4505 de 2012 y el cumplimiento de la resolucion 3280 de 2018</t>
  </si>
  <si>
    <t>Implementar  una estrategia oportuna de atención a sujetos de atención,  objetos de procesos de  inspección, vigilancia y control sanitario</t>
  </si>
  <si>
    <t xml:space="preserve"> Articular los sistemas de vigilancia relacionados al control sanitario</t>
  </si>
  <si>
    <t xml:space="preserve">Realizar inspección vigilancia y control de las condiciones de seguridad,  higiénico sanitarias y ambientales a los objetos de interes comercial, tales que manejen sustancias químicas y residuos peligrosos con riesgo biologico, incluyendo los objetos de interes en saneamiento básico, </t>
  </si>
  <si>
    <t xml:space="preserve">Consolidar y desarrollar  el sistema de inspección vigilancia y control (SIVC)  en 150 establecimientos farmacéuticos del departamento. </t>
  </si>
  <si>
    <t>Realizar inspección  vigilancia y control para verificar las condiciones técnicas, higiénico sanitarias locativas y de calidad a los establecimientos farmacéuticos en los 12 municipios del departamento del Quindío.</t>
  </si>
  <si>
    <t>Fondo de Estupefacientes</t>
  </si>
  <si>
    <t xml:space="preserve">Suministrar medicamentos de control especial- monopolio del estado a los establecimientos farmacéuticos autorizados. </t>
  </si>
  <si>
    <t>Suministrar medicamentos de programas especiales a las IPS’s que lo requieran.</t>
  </si>
  <si>
    <t>Adquisición de mobiliario, equipos tecnológicos, de telecomunicación y computo del Fondo Rotatorio de Estupefacientes</t>
  </si>
  <si>
    <t>Realizar visitas a Establecimientos Farmacéuticos de acuerdo a los productos notificados por el Programa delegaciones INVIMA  en los 12 municipios del Departamento del Quindío.</t>
  </si>
  <si>
    <t>Análisis y seguimiento  al  comportamiento del evento de intoxicaciones por sustancias químicas  (Intoxicación por Fármacos)  de los casos notificadas al SIVIGILA  por las Unidades Notificadoras Municipal.</t>
  </si>
  <si>
    <t xml:space="preserve">Realizar educación en salud a través de las visitas domiciliarias PIC, en el manejo y uso adecuado de medicamentos en casa.  </t>
  </si>
  <si>
    <t xml:space="preserve">Publicar en la página de la gobernación un boletín con temas farmacéuticos, que  muestre la situación actual,  las intervenciones desarrolladas y las recomendaciones para la comunidad en general.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</si>
  <si>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</si>
  <si>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</si>
  <si>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 xml:space="preserve">1803 - 5 - 3 1 3 12 44 2 148 - 61
</t>
  </si>
  <si>
    <t>201663000-0148</t>
  </si>
  <si>
    <t>Implementación de programas de promoción social en poblaciones  especiales en el Departamento del Quindío.</t>
  </si>
  <si>
    <t>Fortalecer la gestión intersectorial en salud de los grupos con alta vulnerabilidad</t>
  </si>
  <si>
    <t>Garantizar el acceso en la prestación de los servicios de salud</t>
  </si>
  <si>
    <t>Realizar capacitaciones en el reconocimiento de la familia como un determinante del desarrollo infantil, reflejado  en el planteamiento y desarrollo de estrategias para promover  el cuidado y afecto familiar en el departamento del Quindío.</t>
  </si>
  <si>
    <t>Sensibilización  Prevención sobre el delito de trata de personas en los  municipios del Departamento,</t>
  </si>
  <si>
    <t>Realizar actividades de intercambio intergeneracional promiviendo el envejecimeinto activo en los 11 Municipios del Departamento (2 escuelas, e colegios Vs CBA)</t>
  </si>
  <si>
    <t>Brindar capacitacion  a la poblacion indigena en seguridad alimentaria, eliminacion de barreras en Salud.</t>
  </si>
  <si>
    <t>Capacitar a EPS IPS en la gararantia de la adecuacion de los servicios  de salud con perspectiva de genero, con atencion humanizada y de calidad de acuerdo cpn las diferentes necesidades de hombre mujeres según edad, pertenencia etnica, discapacidad orientacion sexual e identidad de genero y de acuerdo a los diferentes factores q generen o aumenten la vulnerabilidad.</t>
  </si>
  <si>
    <t>Brindar capacitaciones en Deberes y Derechos en Salud a las poblaciones vulnerables personas mayores, afrocolombianos, niños niñas y adolescentes, victimas del conflicto, poblacion LGTBI, poblacion en proceso de reinsercion, indigenas, personas con discapacidad, habitante de calle.</t>
  </si>
  <si>
    <t>Implementar el  Programa de atención psicosocial y salud integral a víctimas del conflicto armado.</t>
  </si>
  <si>
    <t xml:space="preserve">Implementar programas de participación social que garanticen los derechos de los grupos vulnerables </t>
  </si>
  <si>
    <t>Realizar jornadas de oferta institucional en el punto de atención UAO Miraflores, para identificar y eliminar barreras de acceso en la prestación de servicios de salud de la población víctima.</t>
  </si>
  <si>
    <t>Realizar Asistencia técnica a los prestadores de salud e instituciones del Sistema Nacional de Atención y Reparación Integral a las Víctimas del conflicto armado (art 52 ley 1448/2011 ), para la promoción  y difusión de la ruta del Programa de Atención psicosocial y Salud Integral a víctimas del Conflicto Armado PAPSIVI .</t>
  </si>
  <si>
    <t>Realizar Asistencia al  Programa de Atención Psicosocial y Salud Integral a Víctimas PAPSIVI en los municipios objeto de atencion</t>
  </si>
  <si>
    <t>Realizar el cargue trimestral de la información sobre la atención psicosocial a las Victimas en el aplicativo del PAPSIVI.</t>
  </si>
  <si>
    <t>Activar la funcionalidad del Comité de Víctimas creado al interior de la Secretaria de Salud Departamental con una periodicidad bimensual para garantizar sus derechos y deberes en salud</t>
  </si>
  <si>
    <t>Hacer seguimiento a las acciones de salud desarrolladas desde los PLS para las Victimas del desplazamiento cobijadas por los Autos 092, 251, 004, 005, 006</t>
  </si>
  <si>
    <t>Realizar capacitaciones en deberes y derechos en salud a la ´poblacion Victima con enfoque diferencial.</t>
  </si>
  <si>
    <t>Apoyar el establecimiento  y coordinación  de  redes integradas  de servicios de información en  salud (acceso del sector salud a VIVANTO).</t>
  </si>
  <si>
    <t>Fortalecimiento de  la estrategia AIEPI en los 12 municipios del Departamento</t>
  </si>
  <si>
    <t>Consolidar los programas de atención a la primera infancia</t>
  </si>
  <si>
    <t>Realizar asistencia técnica, seguimiento, vigilancia y control del Programa Ampliado de Inmunizaciones en  los 12  Municipios  del departamento, con el fin de lograr coberturas útiles (95%).</t>
  </si>
  <si>
    <t>Realizar asistencia técnica, seguimiento, vigilancia y control del Programa de Prevención, Diágnostico, Manejo y Control de la Infección Respiratoria Aguda en los 12 municipios del departamento.</t>
  </si>
  <si>
    <t>Realizar articulacion con las EAPB, IPS y Planes Locales de Salud mediante mesas de trabajo para garantizar las intervenciones en salud de la Población Infantil del Departamento.</t>
  </si>
  <si>
    <t>Realizar asistencia técnica, seguimiento, vigilancia y control de la Estrategia de Atención a Enfermedades Prevalentes de La Infancia-AIEPI en  los 12  Municipios  del departamento.</t>
  </si>
  <si>
    <t>Realizar asistencia técnica, seguimiento, vigilancia y control de la Estrategia de Desparasitación Antihelmíntica Masiva en  los 12  Municipios  del departamento.</t>
  </si>
  <si>
    <t>Realizar la implementación de la Ruta de Promoción y Mantenimiento de la Salud  para el curso de vida de Primera Infancia en el departamento.</t>
  </si>
  <si>
    <t>Fortalecer en los doce (12) municipios del departamento los  comités municipales de discapacidad</t>
  </si>
  <si>
    <t>Fortalecer atención integral a poblaciones vulnerables</t>
  </si>
  <si>
    <t>Brindar capacitación en registro de localización y caracterización de personas con discapacidad en los 12 municipios.</t>
  </si>
  <si>
    <t>Brindar apoyo en el monitoreo de las metas del registro de localización y caracterización de personas con discapacidad en los 12 municipios.</t>
  </si>
  <si>
    <t>Realizar seguimiento a las EAPB para el cumplimiento de la Circular 016 del 2014 (exención de copagos y cuotas moderadoras) y la Circular 010 del 2015 (atención integral de salud para personas con discapacidad), resolucion 1904 (salud sexual y reproductiva PcD).</t>
  </si>
  <si>
    <t>Realizar jornadas de capacitación en normatividad vigente en torno a la población con discapacidad.</t>
  </si>
  <si>
    <t>realizar seguimiento  La EAPB, para la implementacion y cumplimiento de la Resolucion 583 de 2018, certificacion de Discapacidad</t>
  </si>
  <si>
    <t>Fortalecimiento de liderres comunitarios en la estrategia de Rehabilitacion Basada en la Comunidad en los municipios del Departamento del Quindio</t>
  </si>
  <si>
    <t xml:space="preserve">brindar asistencia tecnica para el fortalecimiento de los comites municipales de Discapacidad, dirigida  a los enlaces de discapacidad de los 12 municipios del Departamento. </t>
  </si>
  <si>
    <t>Realizar visitas de asistencia, seguimiento y verificación de acceso, accesibilidad, red de servicios contratada, referencia y contrareferencia en la prestación de servicios de salud a las personas con discapacidad en la EAPB.</t>
  </si>
  <si>
    <t>Plan de intervenciones colectivas en el modelo de APS</t>
  </si>
  <si>
    <t>Evaluar en  once (11)   empresas sociales del estado (ESE)  Municipales la implementación del Plan de intervenciones colectivas (PIC).</t>
  </si>
  <si>
    <t>1803 - 5 - 3 1 3 12 45 2 150 - 61
1803 - 5 - 3 1 3 12 45 2 150 - 98</t>
  </si>
  <si>
    <t>201663000-0150</t>
  </si>
  <si>
    <t>Asistencia atención a las personas y prioridades en salud pública en el  Departamento del Quindío.</t>
  </si>
  <si>
    <t>Disminuir la morbimortalidad asociada  a la carga de la enfermedad por los determinantes sociales fortaleciendo  las acciones de complementariedad  a los municipios</t>
  </si>
  <si>
    <t>Mejorar los procesos de implementación de las actividades colectivas</t>
  </si>
  <si>
    <t>Realizar acciones de vacunacion canina y felina</t>
  </si>
  <si>
    <t>Realizar el censo de caninos y felinos</t>
  </si>
  <si>
    <t>Ejecutar las acciones de la estrategia COMBI en municipios hiperendémicos para enfermedades vectoriales</t>
  </si>
  <si>
    <t xml:space="preserve">Realizar acciones, intervenciones y procedimientos colectivos </t>
  </si>
  <si>
    <t>Auditoria a 8  planes de mejoramiento instaurados con la red pública ejecutora del Plan de Intervenciones Colectivas.</t>
  </si>
  <si>
    <t>Planes de mejoramiento instaurados  de Intervenciones Colectivas.</t>
  </si>
  <si>
    <t>Realizar auditoria a los planes de mejoramiento de intervenciones colectivas</t>
  </si>
  <si>
    <t>Vigilancia en salud publica y del laboratorio departamental.</t>
  </si>
  <si>
    <t xml:space="preserve">Realizar  la vigilancia sanitaria a 300 establecimientos de consumo (Aguas, Alimentos y Bebidas Alcohólicas) </t>
  </si>
  <si>
    <t>1803 - 5 - 3 1 3 12 46 2 151 - 61
1803 - 5 - 3 1 3 12 46 2 151 - 20</t>
  </si>
  <si>
    <t>201663000-0151</t>
  </si>
  <si>
    <t xml:space="preserve">Fortalecimiento de las actividades de vigilancia y control del laboratorio de salud pública en el Departamento del Quindio </t>
  </si>
  <si>
    <t xml:space="preserve">Mejorar la capacidad analítica del LSP Departamental  para dar respuesta  a las necesidades del Sistema de Vigilancia en Salud Pública
</t>
  </si>
  <si>
    <t>Garantizar equipos e insumos medios y reactivos para la realización  de los análisis normados</t>
  </si>
  <si>
    <t xml:space="preserve">Compra de reactivos, insumos y medios </t>
  </si>
  <si>
    <t>SGP Salud Pública</t>
  </si>
  <si>
    <t>Compra de equipos de laboratorio</t>
  </si>
  <si>
    <t>Realizar análisis de muestras de alimentos, aguas, bebidas alcoholicas  que llegan al laboratorio en cumplimiento de la programacion y las muestras para ETAS Y  vigilancia que lleguen al laboratorio</t>
  </si>
  <si>
    <t>Realizar análisis de muestras    para la vigilancia de enfermedades de interés en salud publica enviados por los laboratorios de la red.</t>
  </si>
  <si>
    <t xml:space="preserve">Optimizar los procesos contractuales desde el LSP y  la DTS
</t>
  </si>
  <si>
    <t>Realizar evaluacion externa indirecta de citologias de cuello uterino a los laboratorios de la red</t>
  </si>
  <si>
    <t>Ejecutar el sistema de gestion de calidad y aseguramiento de metrologia en el laboratorio de salud publica.</t>
  </si>
  <si>
    <t>Adecuar infraestructura que de cumplimiento para el buen  funcionamiento del LSP</t>
  </si>
  <si>
    <t xml:space="preserve">Realizar el mantenimiento preventivo y correctivo de los equipos de laboratorio.  </t>
  </si>
  <si>
    <t>crear diez (10) y fortalecer noventa (90) Comités de Vigilancia 
Epidemiológica  Comunitaria 
(COVECOM) municipales.</t>
  </si>
  <si>
    <t>1803 - 5 - 3 1 3 12 46 2 152 - 61</t>
  </si>
  <si>
    <t>201663000-0152</t>
  </si>
  <si>
    <t>Fortalecimiento del sistema de vigilancia en salud pública en el Departamento del Quindío.</t>
  </si>
  <si>
    <t>Aumentar los índices de cumplimiento en los indicadores de calidad, cobertura y  oportunidad del sistema de vigilancia en salud publica departamental</t>
  </si>
  <si>
    <t>Aumentar la participación comunitaria en acciones ineherentes al sistema de vigilancia en salud publica.</t>
  </si>
  <si>
    <t>Actualizar el mapa social por cada uno de los COVECOM para la priorización de la gestión interinstitucional.</t>
  </si>
  <si>
    <t>Activar y Mantener 100 COVECOM en 11  municipios del Departamento.</t>
  </si>
  <si>
    <t>Apoyar el proceso de sistematización de la estrategia COVECOM, seguimiento de la notificación comunitaria, mejoramiento de la calidad de la información, medición de indicadores, Análisis de la información y generación de planes de mejoramiento.</t>
  </si>
  <si>
    <t>Consolidar y analizar la notificación comunitaria de 11 municipios del Departamento del Quindío.</t>
  </si>
  <si>
    <t>Sostener 83 Unidades Primarias Generadoras de Datos (UPGD) que integran el sistema de Vigilancia en Salud Publica</t>
  </si>
  <si>
    <t xml:space="preserve">Fortalecer  la capacidad instalada en los niveles institucionales y municipales frente al desarrollo de los procesos de Vigilancia en Salud Pública </t>
  </si>
  <si>
    <t>Desarrollar el  plan de asesoría y asistencia técnica dirigido a municipios e instituciones de la red notificadora departamental  para la adherencia a protocolos de vigilancia en salud pública de los eventos de interés.</t>
  </si>
  <si>
    <t>Capacitar al personal operario del SIVIGILA en los 12 municipios del departamento.</t>
  </si>
  <si>
    <t>Apoyar los procesos de ajuste y depuración de la información de interés en salud publica en los 12 municipios del departamento.</t>
  </si>
  <si>
    <t>Desarrollar la búsqueda activa institucional en los 12 municipios del departamento.</t>
  </si>
  <si>
    <t>Realizar seguimiento al proceso de gestión del riesgo individual, frente a las acciones de protección específica y detección temprana desde el reporte del anexo técnico de la resolución 4505 de 2012 y el cumplimiento de la resolución 412 del 2000.</t>
  </si>
  <si>
    <t>Universalidad  del aseguramiento en salud para un bien común</t>
  </si>
  <si>
    <t>Garantizar  la promoción de la afiliación al sistema de seguridad social</t>
  </si>
  <si>
    <t>Fortalecer en los 12 municipios del departamento  los procesos de identificación de la población no sisbenizada y no afiliada.</t>
  </si>
  <si>
    <t>0318 - 5 - 3 1 3 13 47 2 153 - 20</t>
  </si>
  <si>
    <t>201663000-0153</t>
  </si>
  <si>
    <t>Subsidio afiliación al régimen subsidiado del Sistema General de Seguridad Social en Salud en el Departamento del Quindío.</t>
  </si>
  <si>
    <t xml:space="preserve">Mejorar  la cobertura  universal en  aseguramiento  al sistema de atención integral y suficiencia de recursos para la población del Departamento del Quindío
</t>
  </si>
  <si>
    <t xml:space="preserve"> Mejorar los procesos de identificación de la población no sisbenizada y no afiliada.
</t>
  </si>
  <si>
    <t>Seguimiento a la identificacion de la poblacion atendida de las IPS publicas para la afiliacion del sistema general SGSS</t>
  </si>
  <si>
    <t>Recurso Oridnario</t>
  </si>
  <si>
    <t>Hector Mario Taborda Gallego</t>
  </si>
  <si>
    <t>Orientar e inducir a la poblacion no sisbenizada atendida por las IPS, en ferias de afiliaciones y busquedas activas para realizar la afiliacion al SGSS</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</si>
  <si>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</si>
  <si>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</si>
  <si>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1801 - 5 - 3 1 3 13 48 2 153 - 154</t>
  </si>
  <si>
    <t xml:space="preserve"> Gestionar  recursos para cofinanciación de la afialicon  mpo y lugares de afiliación
</t>
  </si>
  <si>
    <t>Gestión de recursos para cofinanciación de la afiliación a los municipios y lugares de afiliación</t>
  </si>
  <si>
    <t>Restas cedidas sin situacion de fondos</t>
  </si>
  <si>
    <t>Rendimientos Rentas Cedidas</t>
  </si>
  <si>
    <t>Asistencia técnica  a los actores del sistema en el proceso de aseguramiento de la población</t>
  </si>
  <si>
    <t>Brindar asistencia técnica a 12 Municipios del departamento,  en los procesos del régimen subsidiado</t>
  </si>
  <si>
    <t>0318 - 5 - 3 1 3 13 49 2 153 - 20</t>
  </si>
  <si>
    <t xml:space="preserve"> Aumentar la asistencia técnica a 12 Municipios del departamento,  en los procesos del régimen subsidiado</t>
  </si>
  <si>
    <t>Realizar auditorias a los procesos de regimen subsidiado en los 12 municipios, de acuerdo a lo establecido en la Circular 006 de 2011.</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</si>
  <si>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</si>
  <si>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</si>
  <si>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</si>
  <si>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</si>
  <si>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1802 - 5 - 3 1 3 14 50 2 154 - 110
1802 - 5 - 3 1 3 14 50 2 154 - 58 
1802 - 5 - 3 1 3 14 50 2 154 - 59
1802 - 5 - 3 1 3 14 50 2 154 - 60</t>
  </si>
  <si>
    <t>201663000-0154</t>
  </si>
  <si>
    <t>Prestación de Servicios a la Población no Afiliada al Sistema General de Seguridad Social en Salud  y en los no POS  a la Población Afiliada al Régimen Subsidiado.</t>
  </si>
  <si>
    <t>Garantizar la atención en salud a la población pobre no asegurada y/o víctima del conflicto armado en un rango de afiliación 51.57 según Resolución 3778 de 2011. en  e l departamento del Quindío</t>
  </si>
  <si>
    <t>Mejorar  los procesos de vigilancia y control para el acceso de los afiliados a la red de servicios de salud.</t>
  </si>
  <si>
    <t>Apoyo a los procesos de inspección, vigilancia y control en el acceso de los afiliados  a la red de servicios de salud.</t>
  </si>
  <si>
    <t>58 - 59 - 60 - 110</t>
  </si>
  <si>
    <t>Mantener la contratación con la red pública y privada (15)  para la atención de la población no afiliada.</t>
  </si>
  <si>
    <t xml:space="preserve">Fortalecer la contratación para la atención de la población no afiliada </t>
  </si>
  <si>
    <t xml:space="preserve">Fortalecer la contratacion para la atencion de la poblacion pobre no asegurada y los servicios no incluidos en el Plan de beneficios de la poblacion afiliada a la regimen subsidiado. </t>
  </si>
  <si>
    <t>Resolución  971/2016 Programas imputables</t>
  </si>
  <si>
    <t>Rentas cedidas - Salud</t>
  </si>
  <si>
    <t>Rendimientos Rentas cedidas</t>
  </si>
  <si>
    <t>SGP Salud Prestacion servicios CFS</t>
  </si>
  <si>
    <t>SGP Salud aportes patronales SS  F</t>
  </si>
  <si>
    <t>Realizar asistencia técnica en la construcción y ejecución del plan bienal de inversiones, a catorce (14) Empresas sociales del estado (ESE) del departamento.</t>
  </si>
  <si>
    <t>Fortalecier la construcción del Plan Bienal en las 14 Empresas sociales del estado (ESE)del departamento.</t>
  </si>
  <si>
    <t>Asistencia tecnica a las ESE del departamento en la formulacion, gestion y manejo de la plataforma para proyectos de infraestructura y dotacion.</t>
  </si>
  <si>
    <t>Realizar sesiones del  cosejo territoriales de salud para obtener aval de proyectos de infraestructura y dotacion hospitalaria.</t>
  </si>
  <si>
    <t>Fortalecimiento de la  gestión de la entidad territorial municipal</t>
  </si>
  <si>
    <t>Realizar asistencia Técnica  en los 12 municipios, en la capacidad de gestión en salud</t>
  </si>
  <si>
    <t>0318 - 5 - 3 1 3 14 51 2 155 - 20</t>
  </si>
  <si>
    <t>201663000-0155</t>
  </si>
  <si>
    <t xml:space="preserve">Asistencia técnica para el fortalecimiento de la gestión de las entidades territoriales del Departamento del Quindio </t>
  </si>
  <si>
    <t xml:space="preserve">Apoyar los proceso de articulacion y competencias territoriarles en el SGSS
</t>
  </si>
  <si>
    <t>Fortalecer los procesos de financiacion a los municpios para ejercer procesos de afiliacion y atencion al SGSS</t>
  </si>
  <si>
    <t xml:space="preserve">verificar el cumplimiento de oportunidad en el reporte de informacion financiera mediante la circular unica </t>
  </si>
  <si>
    <t>Capacitar en los procesos de gestion tecnica en salud.</t>
  </si>
  <si>
    <t>realizar procesos de verificación a los 12 municipios y sus respectivas E.S.E del departamento en los reportes de gestión financiera.</t>
  </si>
  <si>
    <t>realizar apoyo y seguimiento en la gestion financiera a los fondos locales de salud y al procesos de aportes patronales de las ESE del departamento.</t>
  </si>
  <si>
    <t>Garantizar red de servicios en eventos de emergencias</t>
  </si>
  <si>
    <t xml:space="preserve">Ajustar los 14 planes de emergencia de las instituciones prestadoras de salud de todo el Departamento.  </t>
  </si>
  <si>
    <t>0318 - 5 - 3 1 3 14 52 2 156 - 20</t>
  </si>
  <si>
    <t>201663000-0156</t>
  </si>
  <si>
    <t>Servicio de salud en alerta en el Departamento del Quindío</t>
  </si>
  <si>
    <t>Fortalecer mediante capacitaciones y planes de trabajo  la actualización y articulación de los planes hospitalarios con el plan de emergencia departamental de acuerdo a la ley 1523 de 2012.</t>
  </si>
  <si>
    <t xml:space="preserve"> Fortalecer el compromiso y conocimiento de la norma  para la preparacion en casos de emergencias parte de las ESES del Departametno y los entes desentralizados</t>
  </si>
  <si>
    <t>Apoyo en el proceso de simulacros de atencion a emergencias en la red publica</t>
  </si>
  <si>
    <t>Realizar procesos de atención en emergencias de la red publica.</t>
  </si>
  <si>
    <t>Fortalecer el sistema de alarma de emergencias y perifoneo de los hospitales públicos.</t>
  </si>
  <si>
    <t xml:space="preserve">Articular  la red hospitalaria del Departamento
</t>
  </si>
  <si>
    <t>Desarrollar el plan de emergencias de salud departamental</t>
  </si>
  <si>
    <t>Ajustar un (1) Plan de Emergencias en Salud Departamental.</t>
  </si>
  <si>
    <t xml:space="preserve">Realizar mantenimiento de los equipos de telecomunicación </t>
  </si>
  <si>
    <t>Atender en los 12 municipios  del departamento, los eventos de emergencia y urgencias, y el sistema de referencia y contra referencia  de la población  no afiliada.</t>
  </si>
  <si>
    <t>1802 - 5 - 3 1 3 14 52 2 157 - 20</t>
  </si>
  <si>
    <t>201663000-0157</t>
  </si>
  <si>
    <t xml:space="preserve">Fortalecimiento de la red de urgencias y emergencias en el Departamento del Quindio </t>
  </si>
  <si>
    <t>Fortalecimiento  en la integración de  la red hospitalaria  del departamento del  Quindío. Mediante la modernización del CRUE en el departamento del Quindío</t>
  </si>
  <si>
    <t xml:space="preserve">Centralizar por medio del centro de regulación de urgencias y emergencias las atenciones que se puedan suscitar en el departamento </t>
  </si>
  <si>
    <t>Regular y coordinar la prestación de servicios de urgencias y emergencias en salud en el departamento.</t>
  </si>
  <si>
    <t>31/1219</t>
  </si>
  <si>
    <t>Realizar asistencia técnica a los prestadores de servicios de salud.</t>
  </si>
  <si>
    <t>Mantenimiento y adquisición de equipos de tecnología, equipos de computo  y telecomunicaciones y mobiliario para el funcionamiento del CRUE.</t>
  </si>
  <si>
    <t>Garantizar continuidad del funcionamiento del CRUE - SEM</t>
  </si>
  <si>
    <t xml:space="preserve">Capacitar a la comunidad y primer respondiente acorde con los riesgos identificados en el territorio durante el mes.   </t>
  </si>
  <si>
    <t>Estandarizar e implementar  los formatos de reporte entre los actores involucrados</t>
  </si>
  <si>
    <t>Reporte de información en tiempo real sobre la capacidad resolutiva del servicio en salud.</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</si>
  <si>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</si>
  <si>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</si>
  <si>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0318 - 5 - 3 1 3 14 53 2 158 - 20</t>
  </si>
  <si>
    <t>201663000-0158</t>
  </si>
  <si>
    <t>158 Apoyo al proceso del sistema obligatorio de garantía de calidad a los prestadores de salud en el Departamento del Quindio.</t>
  </si>
  <si>
    <t xml:space="preserve">Asegurar la implementacion y seguimiento del  PAMEC y cumplimiento de la totalidad de los estandeares de Habilitacion de acuerdo al nivel de complejidad.
</t>
  </si>
  <si>
    <t>Fortalecer los procesos de implementacion, auditoria y seguimiento.</t>
  </si>
  <si>
    <t>Evaluación del PAMEC en su condición de compradores de servicios de salud para población pobre no afiliada, mediante  auditoría externa a los prestadores.</t>
  </si>
  <si>
    <t xml:space="preserve">Realizar inspección y vigilancia al cumplimiento de los contenidos del PAMEC de los municipios certificados de su jurisdicción.                                                                                </t>
  </si>
  <si>
    <t xml:space="preserve">Enviar anualmente a la superintendencia nacional de salud, un informe de seguimiento a la evaluación de los PAMEC de los municipios de competencia departamental. </t>
  </si>
  <si>
    <t xml:space="preserve">Asegurar la totalidad de los estandares establecidos en el sistema de habilitacion 
</t>
  </si>
  <si>
    <t xml:space="preserve">Realizar un plan de asistencia técnica para el seguimiento y monitoreo del PAMEC en la IPS y EAPBS públicas del Departamento. </t>
  </si>
  <si>
    <t xml:space="preserve">Garantizar eficiencia en el establecimiento de los indicadores de seguimiento a riesgo 
</t>
  </si>
  <si>
    <t>Seguimiento y evaluación al cumplimiento de los planes de mejoramiento y estandarización de procesos  de habilitación de las EAPB.</t>
  </si>
  <si>
    <t>Evaluar la calidad del dato y el análisis  de los indicadores de calidad remitidos al Ministerio de Salud y de la circular externa 012 de 2016 (Superintendencia Nacional de Salud), en todas las  ESES, EPS e IPS del departamento.</t>
  </si>
  <si>
    <t>Realizar capacitación del recurso humano de las ESES, IPS y EPS Tema del PAMEC, indicadores de calidad y circular 012 de 2016</t>
  </si>
  <si>
    <t>Realizar visitas de verificación de los requisitos de habilitación a 150 prestadores de servicios de salud.</t>
  </si>
  <si>
    <t>Verificación de los requisitos de habilitación</t>
  </si>
  <si>
    <t>Fortalecimiento financiero de la red de servicios publica</t>
  </si>
  <si>
    <t>Evaluar semestralmente los indicadores de monitoreo del sistema de catorce (14) ESE´s del nivel I, II y III</t>
  </si>
  <si>
    <t>0318 - 5 - 3 1 3 14 54 2 159 - 20</t>
  </si>
  <si>
    <t>201663000-0159</t>
  </si>
  <si>
    <t>Fortalecimiento de la red de prestación de servicios pública  del Departamento del Quindío</t>
  </si>
  <si>
    <t xml:space="preserve">Apoyar el  seguimiento al proceso de reporte, vigilancia y control en el manejo de los recursos de salud en el Departamento del Quindio
</t>
  </si>
  <si>
    <t>Fortalecer los procesos financieros  del sector salud en el departamento del Quindío</t>
  </si>
  <si>
    <t>Seguimiento y apoyo al proceso financiero de las IPS publicas</t>
  </si>
  <si>
    <t>realizar gestion de cartera deacuerdo con lo estipulado en la circular conjunta 030 del 2013</t>
  </si>
  <si>
    <t xml:space="preserve">Dar apoyo a las ESE del departamento para garantizar la continuidad en la prestacion de servicios de slaud </t>
  </si>
  <si>
    <t>Apoyar 2 programas  de saneamiento fiscal y financiero a las IPS categorizadas en riesgo por el Ministerio de Salud</t>
  </si>
  <si>
    <t xml:space="preserve">Realizar los  procesos adecuados para la auditoria en el flujo de recursos de las IPS 
</t>
  </si>
  <si>
    <t>Seguimiento a los programas de saneamiento fiscal y financiero.</t>
  </si>
  <si>
    <t>Gestión Posible</t>
  </si>
  <si>
    <t>Apoyo y Fortalecimiento Institucional</t>
  </si>
  <si>
    <t>Evaluar los municipios de Armenia y Calarcá que se encuentran  certificados en salud</t>
  </si>
  <si>
    <t>1804 - 5 - 3 1 3 15 55 2 160 - 72
0318 - 5 - 3 1 3 15 55 2 160 - 20</t>
  </si>
  <si>
    <t>201663000-0160</t>
  </si>
  <si>
    <t>Apoyo Operativo a la inversión social en salud en el Departamento del Quindio</t>
  </si>
  <si>
    <t xml:space="preserve">Incrementar el porcentaje de apoyo de la dirección estratégica en los procesos administrativos y misionales de la secretaria de salud
</t>
  </si>
  <si>
    <t>Evaluar los municipios certificados en salud</t>
  </si>
  <si>
    <t xml:space="preserve">realizar visitas para evaluacion de la capacidad de gestion y renovacion de la certificacion como municipios desentralizados en salud  </t>
  </si>
  <si>
    <t>apoyar y gestionar  3 procesos administrativos y misionales por parte de la Dirección estratégica.</t>
  </si>
  <si>
    <t>Fortaleza en la planificacion, seguimiento y evaluacion de objetivos de S.D.S</t>
  </si>
  <si>
    <t>Realizar actividades de planeacion para la S.D.S aplicando los lineamientos normativos vigentes</t>
  </si>
  <si>
    <t>Rentas cedidas subcuenta otros gastos en salud</t>
  </si>
  <si>
    <t>Realizar seguimiento a los diferentes instrumentos de planificacion de la S.D.S</t>
  </si>
  <si>
    <t>Definir mecanismos para la gestion de la informacion en la S.D.S</t>
  </si>
  <si>
    <t xml:space="preserve">Garantizar eficiencia en el establecimiento de los indicadores de seguimiento a riesgo </t>
  </si>
  <si>
    <t>Establecer mecanismos eficientes de respuesta al usuario</t>
  </si>
  <si>
    <t>Evaluar la oportunidad de las respuestas a los organismos de control</t>
  </si>
  <si>
    <t>Verificación, seguimiento y control trimestral a la ejecución presupuestal de los recursos del Sector Salud</t>
  </si>
  <si>
    <t>control trimestral a la ejecución presupuestal de los recursos del Sector Salud</t>
  </si>
  <si>
    <t>Verificación a la ejecución presupuestal de los recursos del Sector Salud</t>
  </si>
  <si>
    <t>SEGUIMIENTO PLAN DE ACCIÓN
SECRETARIA TURISMO INDUSTRIA Y COMERCIO
I TRIMESTRE 2019</t>
  </si>
  <si>
    <t>Quindío Prospero y productivo</t>
  </si>
  <si>
    <t xml:space="preserve">Crear (1) y fortalecer (3) rutas competitivas </t>
  </si>
  <si>
    <t>Ruta competitiva creada y rutas fortalecidas</t>
  </si>
  <si>
    <t>0311 - 5 - 3 1 2 2 8 13 51 - 20
0311 - 5 - 3 1 2 2 8 13 51 - 88</t>
  </si>
  <si>
    <t>201663000-0051</t>
  </si>
  <si>
    <t>Apoyo al mejoramiento de la competitividad a iniciativas  productivas en el  Departamento del Quindío</t>
  </si>
  <si>
    <t>Mejoramiento de  los  niveles de competitividad e innovación en  las empresas , a través de fortalecimiento de los cluster y  rutas competitivas  en el Departamento del Quindio.</t>
  </si>
  <si>
    <t>Incremento de las empresas competitivas en el departamento.</t>
  </si>
  <si>
    <t>Fortalecimiento de la competitividad del Departamento del Quindio y los sectores econòmicos priorizados.</t>
  </si>
  <si>
    <t>Jovanny Villegas Castaño / Claudia Lorena Arias Agudelo</t>
  </si>
  <si>
    <t>Secretario de Turismo Industria y Comercio</t>
  </si>
  <si>
    <t xml:space="preserve">Superavit Recurso Ordinario </t>
  </si>
  <si>
    <t>Fortalecimiento de las rutas Kaldia, Tumbaga y Artemis.</t>
  </si>
  <si>
    <t>Superavit</t>
  </si>
  <si>
    <t>Conformar e implementar (3) tres clúster priorizados en el Plan de Competitividad</t>
  </si>
  <si>
    <t>Clúster conformados e implementados</t>
  </si>
  <si>
    <t>Brindar apoyo y seguimiento a los planes de acciòn de los clùsters, y fortalecer sus estrategias de crecimiento y promociòn comercial para la apertura de nuevos mercados</t>
  </si>
  <si>
    <t>Claudia Lorena Arias Agudelo</t>
  </si>
  <si>
    <t xml:space="preserve">Diseño, formulación y puesta en marcha del Centro  para el desarrollo y el  fortalecimiento de la investigación, tecnología,  Ciencia e Innovación .   </t>
  </si>
  <si>
    <t>Centro  para el desarrollo y el  fortalecimiento de la investigación, tecnología,  ciencia e innovación diseñado, formulado e implementado</t>
  </si>
  <si>
    <t>0311 - 5 - 3 1 2 2 8 13 52 - 20
0311 - 5 - 3 1 2 2 8 13 52 - 88</t>
  </si>
  <si>
    <t>201663000-0052</t>
  </si>
  <si>
    <t>Fortalecimiento de  la   competitividad  a través de la  gestión de la innovación  y la tecnocología en el Departamento del Quindio</t>
  </si>
  <si>
    <t xml:space="preserve">Mejoramiento de las capacidades de la región para la gestión estratégica de la innovación en el departamento del Quindío. </t>
  </si>
  <si>
    <t>Suficiente infraestructura y equipamiento para el Centro de gestión de la innovación y la tecnología</t>
  </si>
  <si>
    <t>Fortalecer un Centro de Investigaciòn, Tecnologìa, Ciencia e innovaciòn a travès del apoyo en la investigaciòn aplicada al PCC.</t>
  </si>
  <si>
    <t>Ordinario/
Superavit</t>
  </si>
  <si>
    <t>Jovanny Villegas Castaño</t>
  </si>
  <si>
    <t xml:space="preserve">Apoyar la formulación del proyecto: Red de conocimiento de agro negocios del departamento </t>
  </si>
  <si>
    <t>Proyecto Red de conocimiento agroindustrial apoyado</t>
  </si>
  <si>
    <t>Gestión tecnológica y de capital humano pertinente, para incrementar la competitividad de sectores estratégicos</t>
  </si>
  <si>
    <t xml:space="preserve">Fortalecimiento al Plan de Acciòn la Red de conocimiento de Agronegocios </t>
  </si>
  <si>
    <t xml:space="preserve">Diseñar y fortalecer un proyecto de I+D+I </t>
  </si>
  <si>
    <t>Proyecto de I+D+I diseñado y fortalecido</t>
  </si>
  <si>
    <t>Apoyo y acompañamiento tècnico a los procesos para la aprobaciòn de un proyecto en materia de I+D+I</t>
  </si>
  <si>
    <t>Hacia el Emprendimiento, Empresarismo, asociatividad y generación de empleo en el Departamento del Quindío</t>
  </si>
  <si>
    <t xml:space="preserve">Diseñar un ecosistema Regional de Emprendimiento y Asociatividad  </t>
  </si>
  <si>
    <t>Ecosistema regional de emprendimiento y asociatividad diseñado</t>
  </si>
  <si>
    <t>0311 - 5 - 3 1 2 2 9 13 53 - 20
0311 - 5 - 3 1 2 2 9 13 53 - 88</t>
  </si>
  <si>
    <t>201663000-0053</t>
  </si>
  <si>
    <t>Apoyo al emprendimiento, empresarismo, asociatividad y generación de empleo en el departamento del Quindio</t>
  </si>
  <si>
    <t>Mejoramiento de los niveles de emprendimiento, empresarismo y asociatividad en el departamento del quindio</t>
  </si>
  <si>
    <t>Eficiente interacción y articulación del sector empresarial y demás actores para el fomento del emprendimiento, empresarismo y
asociatividad en el Departamento del Quindio</t>
  </si>
  <si>
    <t xml:space="preserve">Puesta en marcha y seguimiento a la operatividad de un ecosistema Regional de Emprendimiento y Asociatividad.   </t>
  </si>
  <si>
    <t>Participación en una convocatoria para proyectos de emprenderismo en conjunto con la Red Regional de Emprendimiento.</t>
  </si>
  <si>
    <t>Apoyar a doce (12) unidades de emprendimiento para jóvenes emprendedores.</t>
  </si>
  <si>
    <t>Unidades de emprendimiento apoyadas</t>
  </si>
  <si>
    <t>Eficiente estimulo con recursos financieros para el emprendimiento, empresarismo y asociatividad en el departamento del quindío</t>
  </si>
  <si>
    <t>Apoyar tres unidades de emprendimiento de jovenes emprendedores.</t>
  </si>
  <si>
    <t>Apoyar   doce (12) Unidades de emprendimiento de grupos poblacionales con enfoque diferencial.</t>
  </si>
  <si>
    <t>Apoyar tres unidades de emprendimiento de poblaciòn con enfoque diferencial</t>
  </si>
  <si>
    <t>Implementar un programa de gesiton financiera para el desarrollo de emprendimiento, empresarismo y asociatividad</t>
  </si>
  <si>
    <t>Programa de gestión finaciera implementado</t>
  </si>
  <si>
    <t>Puesta en marcha y seguimiento a la operatividad del Programa de Gestión Financiera para el Desarrollo de Emprendimiento, Empresarismo y Asociatividad.</t>
  </si>
  <si>
    <t>Quindío Sin Fronteras</t>
  </si>
  <si>
    <t>Fortalecer  doce (12) empresas en procesos internos y externos para la apertura a mercados regionales, nacionales e internacionales</t>
  </si>
  <si>
    <t>Empresas fortalecidas</t>
  </si>
  <si>
    <t>0311 - 5 - 3 1 2 2 10 13 56 - 20
0311 - 5 - 3 1 2 2 10 13 56 - 88</t>
  </si>
  <si>
    <t>201663000-0056</t>
  </si>
  <si>
    <t xml:space="preserve">Fortalecimiento del sector empresarial  hacia mercados globales en el Departamento del Quindio .   </t>
  </si>
  <si>
    <t xml:space="preserve">Mejoramiento del potencial exportador de empresas con capacidad para su conexión a mercados gobales </t>
  </si>
  <si>
    <t>Mejoramiento en la generación de competencias y habilidades en las empresas del departamento del Quindío.</t>
  </si>
  <si>
    <t>Fortalecimiento de empresas en sus procesos de apertura de mercados</t>
  </si>
  <si>
    <t>Constituir e implementar una agencia de inversión empresarial</t>
  </si>
  <si>
    <t>Agencia de inversión constituida e implementada</t>
  </si>
  <si>
    <t>Fortalecimiento de mecanismos de inversión y de herramientas tecnológicas de servicios logisticos en el sector empresarial para su
conexión a mercados global</t>
  </si>
  <si>
    <t>Fortalecimiento de la Agencia de Inversión Empresarial y seguimiento  a su Plan de Acción.</t>
  </si>
  <si>
    <t>31/31/2019</t>
  </si>
  <si>
    <t>Diseñar la  plataforma de servicios logísticos nacionales e internacionales tendiente a lograr del departamento un centro de articulación de occidente</t>
  </si>
  <si>
    <t>Plataforma de servicios logísticos diseñada</t>
  </si>
  <si>
    <t>Operaciòn y seguimiento de la plataforma de servicios logisticos nacionales e internacionales</t>
  </si>
  <si>
    <t>QUINDIO POTENCIA TURISTICA DE NATURALEZA Y DIVERSION</t>
  </si>
  <si>
    <t xml:space="preserve">Fortalecimiento de la oferta de productos y atractivos turísticos </t>
  </si>
  <si>
    <t>Diseñar, crear y/o fortalecer 15 Productos turísticos para ser ofertados</t>
  </si>
  <si>
    <t>Productos turísticos diseñados, creados y/o fortalecidos</t>
  </si>
  <si>
    <t>0311 - 5 - 3 1 2 3 11 13 59 - 20</t>
  </si>
  <si>
    <t>201663000-0059</t>
  </si>
  <si>
    <t>Fortalecimiento de la oferta de prestadores de servicos, productos y atractivos turísticos en el Departamento del Quindío.</t>
  </si>
  <si>
    <t xml:space="preserve">Mejoramiento del posicionamiento del departamento del Quindío como destino turistico en Colombia. </t>
  </si>
  <si>
    <t>Fortalecimiento de los factores que hacen competitivo el turismo.</t>
  </si>
  <si>
    <t>Diseñar, crear y/o fortalecer 5 Productos turísticos para ser ofertados</t>
  </si>
  <si>
    <t>ordinario</t>
  </si>
  <si>
    <t>Nora Isabel Bravo Baeza
Carlos Eduardo Montaño Figueroa</t>
  </si>
  <si>
    <t>Elaborar e implementar  un Plan de Calidad Turística del Destino</t>
  </si>
  <si>
    <t>Plan de Calidad elaborado e implementado</t>
  </si>
  <si>
    <t>Ejecución del Plan de Calidad Turistica</t>
  </si>
  <si>
    <t>Mejoramiento de la competitividad del Quindío como destino turístico</t>
  </si>
  <si>
    <t>Gestionar y ejecutar (3) proyectos para mejorar la competitividad del Quindío como destino turístico</t>
  </si>
  <si>
    <t>Proyectos gestionados y ejecutados</t>
  </si>
  <si>
    <t>0311 - 5 - 3 1 2 3 12 13 60 - 20</t>
  </si>
  <si>
    <t>201663000-0060</t>
  </si>
  <si>
    <t>Apoyo a la competitividad  como destino turístico en el Departamento del Quindío.</t>
  </si>
  <si>
    <t xml:space="preserve">Mejorar el nivel de competitividad de las empresas prestadoras de servicios turisticos en el departamento del Quindio </t>
  </si>
  <si>
    <t>Mejoramiento del nivel de gestion de recursos para proyectos y acciones que mejoren la competitividad del destino turistico</t>
  </si>
  <si>
    <t>Apoyo a la conformación de los cluster de Turismo de Naturaleza, MICE y Salud</t>
  </si>
  <si>
    <t xml:space="preserve">Ordinarios
</t>
  </si>
  <si>
    <t>ordinario/ superavit</t>
  </si>
  <si>
    <t xml:space="preserve">Nora Isabel Bravo Baeza
Carlos Eduardo Montaño Figueroa
</t>
  </si>
  <si>
    <t>Apoyo al mejoramiento de la infraestructura turística.</t>
  </si>
  <si>
    <t>Ejecución del Plan Decenal de Turismo.</t>
  </si>
  <si>
    <t>Fortalecimiento al programa Club de Producto y actualización de actores.</t>
  </si>
  <si>
    <t>Apoyo para la capacitación a prestadores de servicios turísticos.</t>
  </si>
  <si>
    <t>Ejecución del  programa de turismo responsable.</t>
  </si>
  <si>
    <t>Promoción nacional e internacional del departamento como destino turístico</t>
  </si>
  <si>
    <t>Construcción del Plan de Mercadeo Turístico</t>
  </si>
  <si>
    <t>Plan de Mercadeo construido</t>
  </si>
  <si>
    <t>0311 - 5 - 3 1 2 3 13 13 62 - 20
0311 - 5 - 3 1 2 3 13 13 62 - 52
0311 - 5 - 3 1 2 3 13 13 62 - 88
0311 - 5 - 3 1 2 3 13 13 62 - 94</t>
  </si>
  <si>
    <t>201663000-0062</t>
  </si>
  <si>
    <t>Apoyo a la promoción nacional e internacional como destino  turístico del Departamento del Quindío.</t>
  </si>
  <si>
    <t>Mejoramiento del nivel de impacto de las acciones de "Promocion del destino turistico del departamento del Quindio"</t>
  </si>
  <si>
    <t>Eficiente identificacion de los mercados prioritarios para productos turisticos</t>
  </si>
  <si>
    <t>Ejecución del Plan de Mercadeo para la  Promoción del departamento como destino turística nivel nacional.</t>
  </si>
  <si>
    <t>ordinario
Impuesto al Registro</t>
  </si>
  <si>
    <t xml:space="preserve">Nora Isabel Bravo Baeza      
Carlos Eduardo Montaño Figueroa
</t>
  </si>
  <si>
    <t>Impuesto al Registro</t>
  </si>
  <si>
    <t>IR/TURISMO</t>
  </si>
  <si>
    <t>Ejecución del Plan de Mercadeo para la  Promoción del departamento como destino turística nivel internacional.</t>
  </si>
  <si>
    <t>Implementar un programa de actualización y registro de los bienes de propiedad del departamento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</si>
</sst>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_ [$€-2]\ * #,##0.00_ ;_ [$€-2]\ * \-#,##0.00_ ;_ [$€-2]\ * &quot;-&quot;??_ "/>
    <numFmt numFmtId="166" formatCode="dd/mm/yy;@"/>
    <numFmt numFmtId="167" formatCode="_-* #,##0_-;\-* #,##0_-;_-* &quot;-&quot;_-;_-@_-"/>
    <numFmt numFmtId="168" formatCode="_-* #,##0.00_-;\-* #,##0.00_-;_-* &quot;-&quot;_-;_-@_-"/>
    <numFmt numFmtId="169" formatCode="0.0%"/>
    <numFmt numFmtId="170" formatCode="dd/mm/yyyy;@"/>
    <numFmt numFmtId="171" formatCode="&quot;$&quot;\ #,##0"/>
    <numFmt numFmtId="172" formatCode="0.0"/>
    <numFmt numFmtId="173" formatCode="_(* #,##0_);_(* \(#,##0\);_(* &quot;-&quot;??_);_(@_)"/>
    <numFmt numFmtId="174" formatCode="&quot;$&quot;#,##0.00"/>
    <numFmt numFmtId="175" formatCode="&quot;$&quot;#,##0"/>
    <numFmt numFmtId="176" formatCode="0_ ;\-0\ "/>
    <numFmt numFmtId="177" formatCode="_-* #,##0.00\ _€_-;\-* #,##0.00\ _€_-;_-* &quot;-&quot;??\ _€_-;_-@_-"/>
    <numFmt numFmtId="178" formatCode="#,##0.00;[Red]#,##0.00"/>
    <numFmt numFmtId="179" formatCode="#,##0;[Red]#,##0"/>
    <numFmt numFmtId="180" formatCode="0;[Red]0"/>
    <numFmt numFmtId="181" formatCode="_-* #,##0.00_-;\-* #,##0.00_-;_-* &quot;-&quot;??_-;_-@_-"/>
    <numFmt numFmtId="182" formatCode="_-&quot;$&quot;\ * #,##0.00_-;\-&quot;$&quot;\ * #,##0.00_-;_-&quot;$&quot;\ * &quot;-&quot;??_-;_-@_-"/>
    <numFmt numFmtId="183" formatCode="_(&quot;$&quot;\ * #,##0_);_(&quot;$&quot;\ * \(#,##0\);_(&quot;$&quot;\ * &quot;-&quot;??_);_(@_)"/>
    <numFmt numFmtId="184" formatCode="_-&quot;$&quot;* #,##0_-;\-&quot;$&quot;* #,##0_-;_-&quot;$&quot;* &quot;-&quot;_-;_-@_-"/>
    <numFmt numFmtId="185" formatCode="&quot;$&quot;\ #,##0.0"/>
    <numFmt numFmtId="186" formatCode="#,##0.000"/>
    <numFmt numFmtId="187" formatCode="#,##0.0"/>
    <numFmt numFmtId="188" formatCode="d/mm/yyyy;@"/>
    <numFmt numFmtId="189" formatCode="_(* #,##0.00_);_(* \(#,##0.00\);_(* &quot;-&quot;_);_(@_)"/>
    <numFmt numFmtId="190" formatCode="_-* #,##0\ _€_-;\-* #,##0\ _€_-;_-* &quot;-&quot;\ _€_-;_-@_-"/>
  </numFmts>
  <fonts count="40" x14ac:knownFonts="1">
    <font>
      <sz val="11"/>
      <color theme="1"/>
      <name val="Calibri"/>
      <family val="2"/>
      <scheme val="minor"/>
    </font>
    <font>
      <sz val="11"/>
      <color theme="1"/>
      <name val="Calibri"/>
      <family val="2"/>
      <scheme val="minor"/>
    </font>
    <font>
      <b/>
      <sz val="11"/>
      <name val="Arial"/>
      <family val="2"/>
    </font>
    <font>
      <sz val="11"/>
      <name val="Arial"/>
      <family val="2"/>
    </font>
    <font>
      <b/>
      <sz val="9"/>
      <name val="Calibri"/>
      <family val="2"/>
      <scheme val="minor"/>
    </font>
    <font>
      <b/>
      <sz val="10"/>
      <name val="Arial"/>
      <family val="2"/>
    </font>
    <font>
      <sz val="9"/>
      <name val="Calibri"/>
      <family val="2"/>
      <scheme val="minor"/>
    </font>
    <font>
      <sz val="11"/>
      <color indexed="8"/>
      <name val="Calibri"/>
      <family val="2"/>
    </font>
    <font>
      <sz val="10"/>
      <name val="Arial"/>
      <family val="2"/>
    </font>
    <font>
      <b/>
      <sz val="12"/>
      <name val="Arial"/>
      <family val="2"/>
    </font>
    <font>
      <sz val="12"/>
      <name val="Arial"/>
      <family val="2"/>
    </font>
    <font>
      <sz val="12"/>
      <color indexed="8"/>
      <name val="Arial"/>
      <family val="2"/>
    </font>
    <font>
      <b/>
      <sz val="14"/>
      <name val="Arial"/>
      <family val="2"/>
    </font>
    <font>
      <sz val="11"/>
      <name val="Calibri"/>
      <family val="2"/>
      <scheme val="minor"/>
    </font>
    <font>
      <sz val="12"/>
      <name val="Calibri"/>
      <family val="2"/>
      <scheme val="minor"/>
    </font>
    <font>
      <sz val="8"/>
      <name val="Calibri"/>
      <family val="2"/>
      <scheme val="minor"/>
    </font>
    <font>
      <sz val="10"/>
      <color theme="1"/>
      <name val="Arial"/>
      <family val="2"/>
    </font>
    <font>
      <sz val="9"/>
      <name val="Arial"/>
      <family val="2"/>
    </font>
    <font>
      <b/>
      <sz val="9"/>
      <name val="Arial"/>
      <family val="2"/>
    </font>
    <font>
      <b/>
      <sz val="12"/>
      <name val="Calibri"/>
      <family val="2"/>
      <scheme val="minor"/>
    </font>
    <font>
      <sz val="14"/>
      <name val="Arial"/>
      <family val="2"/>
    </font>
    <font>
      <sz val="10"/>
      <name val="Calibri"/>
      <family val="2"/>
      <scheme val="minor"/>
    </font>
    <font>
      <sz val="16"/>
      <name val="Arial"/>
      <family val="2"/>
    </font>
    <font>
      <b/>
      <sz val="9"/>
      <color indexed="81"/>
      <name val="Tahoma"/>
      <family val="2"/>
    </font>
    <font>
      <sz val="9"/>
      <color indexed="81"/>
      <name val="Tahoma"/>
      <family val="2"/>
    </font>
    <font>
      <b/>
      <sz val="8"/>
      <name val="Arial"/>
      <family val="2"/>
    </font>
    <font>
      <sz val="11"/>
      <color theme="1"/>
      <name val="Arial"/>
      <family val="2"/>
    </font>
    <font>
      <b/>
      <sz val="11"/>
      <name val="Calibri"/>
      <family val="2"/>
      <scheme val="minor"/>
    </font>
    <font>
      <b/>
      <sz val="14"/>
      <color theme="1"/>
      <name val="Arial"/>
      <family val="2"/>
    </font>
    <font>
      <sz val="12"/>
      <color theme="1"/>
      <name val="Arial"/>
      <family val="2"/>
    </font>
    <font>
      <b/>
      <sz val="10"/>
      <color theme="1"/>
      <name val="Arial"/>
      <family val="2"/>
    </font>
    <font>
      <b/>
      <sz val="10"/>
      <color indexed="8"/>
      <name val="Arial"/>
      <family val="2"/>
    </font>
    <font>
      <b/>
      <sz val="12"/>
      <color theme="1"/>
      <name val="Arial"/>
      <family val="2"/>
    </font>
    <font>
      <sz val="12"/>
      <color rgb="FF000000"/>
      <name val="Arial"/>
      <family val="2"/>
    </font>
    <font>
      <sz val="11"/>
      <color rgb="FF000000"/>
      <name val="Arial"/>
      <family val="2"/>
    </font>
    <font>
      <u/>
      <sz val="11"/>
      <name val="Arial"/>
      <family val="2"/>
    </font>
    <font>
      <b/>
      <sz val="48"/>
      <name val="Arial Narrow"/>
      <family val="2"/>
    </font>
    <font>
      <sz val="48"/>
      <name val="Arial Narrow"/>
      <family val="2"/>
    </font>
    <font>
      <sz val="36"/>
      <name val="Arial Narrow"/>
      <family val="2"/>
    </font>
    <font>
      <i/>
      <sz val="36"/>
      <name val="Arial Narrow"/>
      <family val="2"/>
    </font>
  </fonts>
  <fills count="22">
    <fill>
      <patternFill patternType="none"/>
    </fill>
    <fill>
      <patternFill patternType="gray125"/>
    </fill>
    <fill>
      <patternFill patternType="solid">
        <fgColor indexed="9"/>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indexed="43"/>
        <bgColor indexed="64"/>
      </patternFill>
    </fill>
    <fill>
      <patternFill patternType="solid">
        <fgColor theme="0"/>
        <bgColor indexed="64"/>
      </patternFill>
    </fill>
    <fill>
      <patternFill patternType="solid">
        <fgColor indexed="22"/>
        <bgColor indexed="64"/>
      </patternFill>
    </fill>
    <fill>
      <patternFill patternType="solid">
        <fgColor indexed="57"/>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0" tint="-0.249977111117893"/>
        <bgColor indexed="64"/>
      </patternFill>
    </fill>
    <fill>
      <patternFill patternType="solid">
        <fgColor rgb="FFFFFFFF"/>
        <bgColor indexed="64"/>
      </patternFill>
    </fill>
    <fill>
      <patternFill patternType="solid">
        <fgColor rgb="FFFFFFFF"/>
        <bgColor rgb="FF000000"/>
      </patternFill>
    </fill>
  </fills>
  <borders count="9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auto="1"/>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auto="1"/>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auto="1"/>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indexed="64"/>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right style="thin">
        <color indexed="64"/>
      </right>
      <top/>
      <bottom style="medium">
        <color indexed="64"/>
      </bottom>
      <diagonal/>
    </border>
    <border>
      <left style="thin">
        <color indexed="64"/>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right style="thin">
        <color rgb="FF000000"/>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right style="thin">
        <color rgb="FF000000"/>
      </right>
      <top style="thin">
        <color rgb="FF000000"/>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auto="1"/>
      </left>
      <right style="thin">
        <color auto="1"/>
      </right>
      <top style="medium">
        <color auto="1"/>
      </top>
      <bottom style="thin">
        <color auto="1"/>
      </bottom>
      <diagonal/>
    </border>
    <border>
      <left style="medium">
        <color indexed="64"/>
      </left>
      <right style="thin">
        <color indexed="64"/>
      </right>
      <top style="medium">
        <color indexed="64"/>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indexed="64"/>
      </right>
      <top style="medium">
        <color indexed="64"/>
      </top>
      <bottom/>
      <diagonal/>
    </border>
    <border>
      <left style="thin">
        <color auto="1"/>
      </left>
      <right style="thin">
        <color auto="1"/>
      </right>
      <top style="medium">
        <color auto="1"/>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style="thin">
        <color auto="1"/>
      </left>
      <right style="thin">
        <color rgb="FF000000"/>
      </right>
      <top style="thin">
        <color auto="1"/>
      </top>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auto="1"/>
      </left>
      <right/>
      <top style="thin">
        <color rgb="FF000000"/>
      </top>
      <bottom/>
      <diagonal/>
    </border>
    <border>
      <left style="thin">
        <color rgb="FF000000"/>
      </left>
      <right style="thin">
        <color rgb="FF000000"/>
      </right>
      <top/>
      <bottom style="thin">
        <color indexed="64"/>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style="thin">
        <color rgb="FF000000"/>
      </left>
      <right/>
      <top/>
      <bottom style="thin">
        <color rgb="FF000000"/>
      </bottom>
      <diagonal/>
    </border>
    <border>
      <left style="thin">
        <color rgb="FF000000"/>
      </left>
      <right style="thin">
        <color indexed="64"/>
      </right>
      <top/>
      <bottom style="thin">
        <color indexed="64"/>
      </bottom>
      <diagonal/>
    </border>
    <border>
      <left style="thin">
        <color indexed="64"/>
      </left>
      <right/>
      <top/>
      <bottom style="medium">
        <color indexed="64"/>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s>
  <cellStyleXfs count="30">
    <xf numFmtId="0" fontId="0" fillId="0" borderId="0"/>
    <xf numFmtId="43"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5" fontId="1"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0" fontId="16" fillId="0" borderId="0"/>
    <xf numFmtId="43"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177"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165" fontId="1" fillId="0" borderId="0"/>
    <xf numFmtId="0" fontId="8" fillId="0" borderId="0"/>
    <xf numFmtId="43" fontId="7" fillId="0" borderId="0" applyFont="0" applyFill="0" applyBorder="0" applyAlignment="0" applyProtection="0"/>
    <xf numFmtId="0" fontId="1" fillId="0" borderId="0"/>
    <xf numFmtId="182" fontId="1" fillId="0" borderId="0" applyFont="0" applyFill="0" applyBorder="0" applyAlignment="0" applyProtection="0"/>
    <xf numFmtId="43" fontId="1" fillId="0" borderId="0" applyFont="0" applyFill="0" applyBorder="0" applyAlignment="0" applyProtection="0"/>
    <xf numFmtId="184" fontId="1" fillId="0" borderId="0" applyFont="0" applyFill="0" applyBorder="0" applyAlignment="0" applyProtection="0"/>
    <xf numFmtId="0" fontId="8" fillId="0" borderId="0"/>
    <xf numFmtId="0" fontId="8" fillId="0" borderId="0"/>
    <xf numFmtId="0" fontId="1" fillId="0" borderId="0"/>
    <xf numFmtId="190" fontId="1" fillId="0" borderId="0" applyFont="0" applyFill="0" applyBorder="0" applyAlignment="0" applyProtection="0"/>
    <xf numFmtId="177" fontId="1" fillId="0" borderId="0" applyFont="0" applyFill="0" applyBorder="0" applyAlignment="0" applyProtection="0"/>
    <xf numFmtId="0" fontId="8" fillId="0" borderId="0"/>
  </cellStyleXfs>
  <cellXfs count="4927">
    <xf numFmtId="0" fontId="0" fillId="0" borderId="0" xfId="0"/>
    <xf numFmtId="0" fontId="2" fillId="0" borderId="0" xfId="0" applyFont="1" applyBorder="1" applyAlignment="1" applyProtection="1">
      <alignment horizontal="center" vertical="center" wrapText="1"/>
    </xf>
    <xf numFmtId="0" fontId="3" fillId="0" borderId="0" xfId="0" applyFont="1" applyProtection="1"/>
    <xf numFmtId="0" fontId="2" fillId="0" borderId="1" xfId="0" applyFont="1" applyBorder="1" applyProtection="1"/>
    <xf numFmtId="0" fontId="2" fillId="0" borderId="1" xfId="0" applyFont="1" applyBorder="1" applyAlignment="1" applyProtection="1">
      <alignment horizontal="left"/>
    </xf>
    <xf numFmtId="164" fontId="2" fillId="0" borderId="1" xfId="0" applyNumberFormat="1" applyFont="1" applyBorder="1" applyAlignment="1" applyProtection="1">
      <alignment horizontal="left"/>
    </xf>
    <xf numFmtId="17" fontId="2" fillId="0" borderId="1" xfId="0" applyNumberFormat="1" applyFont="1" applyBorder="1" applyAlignment="1" applyProtection="1">
      <alignment horizontal="left"/>
    </xf>
    <xf numFmtId="0" fontId="2" fillId="0" borderId="2" xfId="0" applyFont="1" applyBorder="1" applyAlignment="1" applyProtection="1">
      <alignment horizontal="center" vertical="center" wrapText="1"/>
    </xf>
    <xf numFmtId="0" fontId="3" fillId="0" borderId="0" xfId="0" applyFont="1" applyAlignment="1" applyProtection="1">
      <alignment wrapText="1"/>
    </xf>
    <xf numFmtId="0" fontId="2" fillId="0" borderId="1" xfId="0" applyFont="1" applyBorder="1" applyAlignment="1" applyProtection="1">
      <alignment vertical="center"/>
    </xf>
    <xf numFmtId="3" fontId="2" fillId="2" borderId="1" xfId="0" applyNumberFormat="1" applyFont="1" applyFill="1" applyBorder="1" applyAlignment="1" applyProtection="1">
      <alignment horizontal="left" vertical="center" wrapText="1"/>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6" fillId="0" borderId="0" xfId="0" applyFont="1" applyProtection="1"/>
    <xf numFmtId="0" fontId="5" fillId="3" borderId="1" xfId="0" applyFont="1" applyFill="1" applyBorder="1" applyAlignment="1" applyProtection="1">
      <alignment horizontal="center" vertical="center" wrapText="1"/>
    </xf>
    <xf numFmtId="166" fontId="5" fillId="3" borderId="1" xfId="0" applyNumberFormat="1" applyFont="1" applyFill="1" applyBorder="1" applyAlignment="1" applyProtection="1">
      <alignment horizontal="center" vertical="center" wrapText="1"/>
    </xf>
    <xf numFmtId="0" fontId="8" fillId="0" borderId="0" xfId="0" applyFont="1" applyProtection="1"/>
    <xf numFmtId="0" fontId="2" fillId="3" borderId="16" xfId="0" applyFont="1" applyFill="1" applyBorder="1" applyAlignment="1" applyProtection="1">
      <alignment vertical="center" wrapText="1"/>
    </xf>
    <xf numFmtId="0" fontId="2" fillId="3" borderId="17" xfId="0" applyFont="1" applyFill="1" applyBorder="1" applyAlignment="1" applyProtection="1">
      <alignment vertical="center" wrapText="1"/>
    </xf>
    <xf numFmtId="0" fontId="2" fillId="3" borderId="1" xfId="0" applyFont="1" applyFill="1" applyBorder="1" applyAlignment="1" applyProtection="1">
      <alignment horizontal="center" vertical="center" wrapText="1"/>
    </xf>
    <xf numFmtId="0" fontId="2" fillId="3" borderId="1" xfId="0" applyFont="1" applyFill="1" applyBorder="1" applyAlignment="1" applyProtection="1">
      <alignment vertical="center" wrapText="1"/>
    </xf>
    <xf numFmtId="166" fontId="2" fillId="3" borderId="1" xfId="0" applyNumberFormat="1" applyFont="1" applyFill="1" applyBorder="1" applyAlignment="1" applyProtection="1">
      <alignment horizontal="center" vertical="center" wrapText="1"/>
    </xf>
    <xf numFmtId="166" fontId="2" fillId="3" borderId="1" xfId="0" applyNumberFormat="1" applyFont="1" applyFill="1" applyBorder="1" applyAlignment="1" applyProtection="1">
      <alignment vertical="center" wrapText="1"/>
    </xf>
    <xf numFmtId="0" fontId="2" fillId="3" borderId="14" xfId="0" applyFont="1" applyFill="1" applyBorder="1" applyAlignment="1" applyProtection="1">
      <alignment vertical="center" wrapText="1"/>
    </xf>
    <xf numFmtId="0" fontId="2" fillId="3" borderId="15" xfId="0" applyFont="1" applyFill="1" applyBorder="1" applyAlignment="1" applyProtection="1">
      <alignment vertical="center" wrapText="1"/>
    </xf>
    <xf numFmtId="0" fontId="10" fillId="0" borderId="0" xfId="0" applyFont="1" applyProtection="1"/>
    <xf numFmtId="0" fontId="10" fillId="0" borderId="1" xfId="0" applyFont="1" applyBorder="1" applyAlignment="1" applyProtection="1">
      <alignment horizontal="justify" vertical="center" wrapText="1"/>
    </xf>
    <xf numFmtId="43" fontId="10" fillId="0" borderId="1" xfId="7" applyFont="1" applyBorder="1" applyAlignment="1" applyProtection="1">
      <alignment horizontal="center" vertical="center" wrapText="1"/>
    </xf>
    <xf numFmtId="0" fontId="3" fillId="0" borderId="1" xfId="0" applyFont="1" applyBorder="1" applyAlignment="1" applyProtection="1">
      <alignment horizontal="center" vertical="center"/>
    </xf>
    <xf numFmtId="1" fontId="10" fillId="0" borderId="1" xfId="0" applyNumberFormat="1"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3" fillId="0" borderId="1" xfId="0" applyFont="1" applyBorder="1" applyProtection="1"/>
    <xf numFmtId="1" fontId="10" fillId="0" borderId="1" xfId="0" applyNumberFormat="1" applyFont="1" applyBorder="1" applyAlignment="1" applyProtection="1">
      <alignment vertical="center" wrapText="1"/>
    </xf>
    <xf numFmtId="0" fontId="10" fillId="0" borderId="6" xfId="4" applyNumberFormat="1" applyFont="1" applyFill="1" applyBorder="1" applyAlignment="1" applyProtection="1">
      <alignment horizontal="center" vertical="center" wrapText="1"/>
    </xf>
    <xf numFmtId="0" fontId="10" fillId="7" borderId="1" xfId="0" applyFont="1" applyFill="1" applyBorder="1" applyAlignment="1" applyProtection="1">
      <alignment horizontal="center" vertical="center" wrapText="1"/>
    </xf>
    <xf numFmtId="9" fontId="10" fillId="0" borderId="1" xfId="6" applyNumberFormat="1" applyFont="1" applyBorder="1" applyAlignment="1" applyProtection="1">
      <alignment horizontal="center" vertical="center" wrapText="1"/>
    </xf>
    <xf numFmtId="43" fontId="10" fillId="0" borderId="6" xfId="7" applyFont="1" applyBorder="1" applyAlignment="1" applyProtection="1">
      <alignment horizontal="center" vertical="center" wrapText="1"/>
    </xf>
    <xf numFmtId="3" fontId="10" fillId="0" borderId="1" xfId="0" applyNumberFormat="1" applyFont="1" applyBorder="1" applyAlignment="1" applyProtection="1">
      <alignment horizontal="justify" vertical="center"/>
    </xf>
    <xf numFmtId="43" fontId="10" fillId="0" borderId="1" xfId="7" applyFont="1" applyFill="1" applyBorder="1" applyAlignment="1" applyProtection="1">
      <alignment horizontal="center" vertical="center" wrapText="1"/>
    </xf>
    <xf numFmtId="1" fontId="10" fillId="0" borderId="18" xfId="0" applyNumberFormat="1" applyFont="1" applyBorder="1" applyAlignment="1" applyProtection="1">
      <alignment horizontal="center" vertical="center" wrapText="1"/>
    </xf>
    <xf numFmtId="0" fontId="10" fillId="0" borderId="18" xfId="0" applyFont="1" applyBorder="1" applyAlignment="1" applyProtection="1">
      <alignment horizontal="center" vertical="center" wrapText="1"/>
    </xf>
    <xf numFmtId="3" fontId="3" fillId="0" borderId="1" xfId="0" applyNumberFormat="1" applyFont="1" applyFill="1" applyBorder="1" applyAlignment="1" applyProtection="1">
      <alignment horizontal="center" vertical="center"/>
    </xf>
    <xf numFmtId="0" fontId="3" fillId="0" borderId="6" xfId="0" applyFont="1" applyBorder="1" applyAlignment="1" applyProtection="1">
      <alignment horizontal="center"/>
    </xf>
    <xf numFmtId="3" fontId="10" fillId="0" borderId="6" xfId="0" applyNumberFormat="1" applyFont="1" applyBorder="1" applyAlignment="1" applyProtection="1">
      <alignment horizontal="center" vertical="center"/>
    </xf>
    <xf numFmtId="168" fontId="3" fillId="0" borderId="1" xfId="2" applyNumberFormat="1" applyFont="1" applyBorder="1" applyAlignment="1" applyProtection="1">
      <alignment horizontal="center" vertical="center"/>
    </xf>
    <xf numFmtId="9" fontId="3" fillId="0" borderId="6" xfId="4" applyFont="1" applyBorder="1" applyAlignment="1" applyProtection="1">
      <alignment horizontal="center" vertical="center"/>
    </xf>
    <xf numFmtId="14" fontId="3" fillId="0" borderId="1" xfId="0" applyNumberFormat="1" applyFont="1" applyBorder="1" applyAlignment="1" applyProtection="1">
      <alignment horizontal="center" vertical="center"/>
    </xf>
    <xf numFmtId="0" fontId="3" fillId="0" borderId="1" xfId="0" applyFont="1" applyBorder="1" applyAlignment="1" applyProtection="1">
      <alignment horizontal="center" vertical="center" wrapText="1"/>
    </xf>
    <xf numFmtId="0" fontId="10" fillId="0" borderId="1" xfId="0" applyFont="1" applyBorder="1" applyAlignment="1" applyProtection="1">
      <alignment horizontal="justify" vertical="center" readingOrder="2"/>
    </xf>
    <xf numFmtId="43" fontId="10" fillId="0" borderId="18" xfId="7" applyFont="1" applyBorder="1" applyAlignment="1" applyProtection="1">
      <alignment horizontal="center" vertical="center" wrapText="1"/>
    </xf>
    <xf numFmtId="1" fontId="10" fillId="0" borderId="3" xfId="0" applyNumberFormat="1" applyFont="1" applyBorder="1" applyAlignment="1" applyProtection="1">
      <alignment horizontal="center" vertical="center" wrapText="1"/>
    </xf>
    <xf numFmtId="0" fontId="10" fillId="0" borderId="1" xfId="0" applyFont="1" applyBorder="1" applyAlignment="1" applyProtection="1">
      <alignment horizontal="justify" vertical="center"/>
    </xf>
    <xf numFmtId="0" fontId="10" fillId="0" borderId="1" xfId="4" applyNumberFormat="1" applyFont="1" applyFill="1" applyBorder="1" applyAlignment="1" applyProtection="1">
      <alignment horizontal="center" vertical="center" wrapText="1"/>
    </xf>
    <xf numFmtId="43" fontId="10" fillId="7" borderId="1" xfId="7" applyFont="1" applyFill="1" applyBorder="1" applyAlignment="1" applyProtection="1">
      <alignment horizontal="center" vertical="center" wrapText="1"/>
    </xf>
    <xf numFmtId="1" fontId="10" fillId="0" borderId="13" xfId="0" applyNumberFormat="1"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3" fontId="3" fillId="7" borderId="1" xfId="0" applyNumberFormat="1" applyFont="1" applyFill="1" applyBorder="1" applyAlignment="1" applyProtection="1">
      <alignment horizontal="center" vertical="center"/>
    </xf>
    <xf numFmtId="0" fontId="3" fillId="7" borderId="1" xfId="0" applyFont="1" applyFill="1" applyBorder="1" applyAlignment="1" applyProtection="1">
      <alignment horizontal="center" vertical="center"/>
    </xf>
    <xf numFmtId="3" fontId="10" fillId="0" borderId="1" xfId="0" applyNumberFormat="1" applyFont="1" applyBorder="1" applyAlignment="1" applyProtection="1">
      <alignment horizontal="center" vertical="center"/>
    </xf>
    <xf numFmtId="9" fontId="3" fillId="0" borderId="1" xfId="4" applyFont="1" applyBorder="1" applyAlignment="1" applyProtection="1">
      <alignment horizontal="center" vertical="center"/>
    </xf>
    <xf numFmtId="14" fontId="3" fillId="0" borderId="1" xfId="0" applyNumberFormat="1" applyFont="1" applyBorder="1" applyAlignment="1" applyProtection="1">
      <alignment vertical="center"/>
    </xf>
    <xf numFmtId="0" fontId="10" fillId="2" borderId="6" xfId="0" applyFont="1" applyFill="1" applyBorder="1" applyAlignment="1" applyProtection="1">
      <alignment vertical="center" wrapText="1"/>
    </xf>
    <xf numFmtId="169" fontId="10" fillId="2" borderId="1" xfId="6" applyNumberFormat="1" applyFont="1" applyFill="1" applyBorder="1" applyAlignment="1" applyProtection="1">
      <alignment horizontal="center" vertical="center" wrapText="1"/>
    </xf>
    <xf numFmtId="1" fontId="10" fillId="2" borderId="3" xfId="0" applyNumberFormat="1"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3" fillId="0" borderId="7" xfId="0" applyFont="1" applyBorder="1" applyAlignment="1" applyProtection="1">
      <alignment horizontal="center" vertical="center" wrapText="1"/>
    </xf>
    <xf numFmtId="0" fontId="10" fillId="2" borderId="13" xfId="0" applyFont="1" applyFill="1" applyBorder="1" applyAlignment="1" applyProtection="1">
      <alignment vertical="center" wrapText="1"/>
    </xf>
    <xf numFmtId="0" fontId="10" fillId="0" borderId="18" xfId="0" applyFont="1" applyBorder="1" applyAlignment="1" applyProtection="1">
      <alignment horizontal="justify" vertical="center"/>
    </xf>
    <xf numFmtId="0" fontId="11" fillId="0" borderId="1" xfId="0" applyFont="1" applyBorder="1" applyAlignment="1" applyProtection="1">
      <alignment horizontal="justify" vertical="center" wrapText="1"/>
    </xf>
    <xf numFmtId="43" fontId="10" fillId="0" borderId="1" xfId="7" applyFont="1" applyFill="1" applyBorder="1" applyAlignment="1" applyProtection="1">
      <alignment horizontal="right" vertical="center"/>
    </xf>
    <xf numFmtId="0" fontId="10" fillId="0" borderId="6" xfId="0" applyFont="1" applyBorder="1" applyAlignment="1" applyProtection="1">
      <alignment horizontal="center" vertical="center" wrapText="1"/>
    </xf>
    <xf numFmtId="0" fontId="10" fillId="0" borderId="6" xfId="0" applyFont="1" applyBorder="1" applyAlignment="1" applyProtection="1">
      <alignment horizontal="justify" vertical="center" wrapText="1"/>
    </xf>
    <xf numFmtId="0" fontId="3" fillId="0" borderId="6" xfId="0" applyFont="1" applyBorder="1" applyAlignment="1" applyProtection="1">
      <alignment horizontal="center" vertical="center"/>
    </xf>
    <xf numFmtId="0" fontId="10" fillId="2" borderId="19" xfId="0" applyFont="1" applyFill="1" applyBorder="1" applyAlignment="1" applyProtection="1">
      <alignment vertical="center" wrapText="1"/>
    </xf>
    <xf numFmtId="169" fontId="10" fillId="2" borderId="6" xfId="6" applyNumberFormat="1" applyFont="1" applyFill="1" applyBorder="1" applyAlignment="1" applyProtection="1">
      <alignment horizontal="center" vertical="center" wrapText="1"/>
    </xf>
    <xf numFmtId="0" fontId="10" fillId="0" borderId="6" xfId="0" applyFont="1" applyBorder="1" applyAlignment="1" applyProtection="1">
      <alignment horizontal="justify" vertical="center"/>
    </xf>
    <xf numFmtId="43" fontId="10" fillId="7" borderId="6" xfId="7" applyFont="1" applyFill="1" applyBorder="1" applyAlignment="1" applyProtection="1">
      <alignment horizontal="center" vertical="center" wrapText="1"/>
    </xf>
    <xf numFmtId="1" fontId="10" fillId="2" borderId="7" xfId="0" applyNumberFormat="1"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0" fontId="3" fillId="0" borderId="21" xfId="0" applyFont="1" applyBorder="1" applyProtection="1"/>
    <xf numFmtId="0" fontId="10" fillId="2" borderId="21" xfId="0" applyFont="1" applyFill="1" applyBorder="1" applyAlignment="1" applyProtection="1">
      <alignment horizontal="justify"/>
    </xf>
    <xf numFmtId="1" fontId="10" fillId="2" borderId="21" xfId="0" applyNumberFormat="1" applyFont="1" applyFill="1" applyBorder="1" applyAlignment="1" applyProtection="1">
      <alignment horizontal="justify" vertical="center"/>
    </xf>
    <xf numFmtId="0" fontId="3" fillId="0" borderId="22" xfId="0" applyFont="1" applyBorder="1" applyProtection="1"/>
    <xf numFmtId="0" fontId="10" fillId="2" borderId="21" xfId="0" applyFont="1" applyFill="1" applyBorder="1" applyAlignment="1" applyProtection="1">
      <alignment horizontal="justify" vertical="center" wrapText="1"/>
    </xf>
    <xf numFmtId="0" fontId="10" fillId="2" borderId="21" xfId="0" applyFont="1" applyFill="1" applyBorder="1" applyAlignment="1" applyProtection="1">
      <alignment horizontal="justify" vertical="center"/>
    </xf>
    <xf numFmtId="9" fontId="10" fillId="2" borderId="23" xfId="6" applyNumberFormat="1" applyFont="1" applyFill="1" applyBorder="1" applyAlignment="1" applyProtection="1">
      <alignment horizontal="center" vertical="center"/>
    </xf>
    <xf numFmtId="43" fontId="2" fillId="0" borderId="22" xfId="0" applyNumberFormat="1" applyFont="1" applyBorder="1" applyProtection="1"/>
    <xf numFmtId="0" fontId="10" fillId="2" borderId="22" xfId="0" applyFont="1" applyFill="1" applyBorder="1" applyAlignment="1" applyProtection="1">
      <alignment horizontal="justify" vertical="center" wrapText="1"/>
    </xf>
    <xf numFmtId="0" fontId="3" fillId="0" borderId="22" xfId="0" applyFont="1" applyBorder="1" applyAlignment="1" applyProtection="1">
      <alignment horizontal="justify" vertical="center"/>
    </xf>
    <xf numFmtId="1" fontId="10" fillId="2" borderId="21" xfId="0" applyNumberFormat="1" applyFont="1" applyFill="1" applyBorder="1" applyAlignment="1" applyProtection="1">
      <alignment horizontal="center" vertical="center"/>
    </xf>
    <xf numFmtId="1" fontId="10" fillId="2" borderId="22" xfId="0" applyNumberFormat="1" applyFont="1" applyFill="1" applyBorder="1" applyAlignment="1" applyProtection="1">
      <alignment horizontal="center" vertical="center"/>
    </xf>
    <xf numFmtId="0" fontId="3" fillId="0" borderId="24" xfId="0" applyFont="1" applyBorder="1" applyProtection="1"/>
    <xf numFmtId="168" fontId="2" fillId="0" borderId="25" xfId="0" applyNumberFormat="1" applyFont="1" applyBorder="1" applyProtection="1"/>
    <xf numFmtId="168" fontId="2" fillId="0" borderId="25" xfId="2" applyNumberFormat="1" applyFont="1" applyBorder="1" applyProtection="1"/>
    <xf numFmtId="0" fontId="3" fillId="0" borderId="26" xfId="0" applyFont="1" applyBorder="1" applyProtection="1"/>
    <xf numFmtId="0" fontId="3" fillId="0" borderId="27" xfId="0" applyFont="1" applyBorder="1" applyProtection="1"/>
    <xf numFmtId="0" fontId="3" fillId="0" borderId="28" xfId="0" applyFont="1" applyBorder="1" applyProtection="1"/>
    <xf numFmtId="9" fontId="3" fillId="0" borderId="0" xfId="0" applyNumberFormat="1" applyFont="1" applyProtection="1"/>
    <xf numFmtId="0" fontId="3" fillId="0" borderId="0" xfId="0" applyFont="1" applyAlignment="1" applyProtection="1">
      <alignment horizontal="justify" vertical="center"/>
    </xf>
    <xf numFmtId="0" fontId="12" fillId="0" borderId="0" xfId="0" applyFont="1" applyBorder="1" applyAlignment="1">
      <alignment horizontal="center" vertical="center"/>
    </xf>
    <xf numFmtId="170" fontId="3" fillId="0" borderId="17" xfId="0" applyNumberFormat="1" applyFont="1" applyBorder="1" applyAlignment="1">
      <alignment horizontal="center" vertical="center"/>
    </xf>
    <xf numFmtId="0" fontId="2" fillId="0" borderId="1" xfId="0" applyFont="1" applyBorder="1" applyAlignment="1">
      <alignment vertical="center"/>
    </xf>
    <xf numFmtId="0" fontId="3" fillId="7" borderId="0" xfId="0" applyFont="1" applyFill="1" applyAlignment="1">
      <alignment vertical="center"/>
    </xf>
    <xf numFmtId="0" fontId="3" fillId="0" borderId="0" xfId="0" applyFont="1" applyAlignment="1">
      <alignment vertical="center"/>
    </xf>
    <xf numFmtId="0" fontId="2" fillId="0" borderId="1" xfId="0" applyFont="1" applyBorder="1" applyAlignment="1">
      <alignment horizontal="left" vertical="center"/>
    </xf>
    <xf numFmtId="0" fontId="2" fillId="0" borderId="1" xfId="0" applyFont="1" applyBorder="1" applyAlignment="1">
      <alignment vertical="center" wrapText="1"/>
    </xf>
    <xf numFmtId="0" fontId="12" fillId="0" borderId="2" xfId="0" applyFont="1" applyBorder="1" applyAlignment="1">
      <alignment horizontal="center" vertical="center"/>
    </xf>
    <xf numFmtId="170" fontId="3" fillId="0" borderId="15" xfId="0" applyNumberFormat="1" applyFont="1" applyBorder="1" applyAlignment="1">
      <alignment horizontal="center" vertical="center"/>
    </xf>
    <xf numFmtId="3" fontId="2" fillId="0" borderId="1" xfId="0" applyNumberFormat="1" applyFont="1" applyBorder="1" applyAlignment="1">
      <alignment horizontal="left" vertical="center" wrapText="1"/>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14" xfId="0" applyFont="1" applyBorder="1" applyAlignment="1">
      <alignment vertical="center"/>
    </xf>
    <xf numFmtId="0" fontId="2" fillId="0" borderId="2" xfId="0" applyFont="1" applyBorder="1" applyAlignment="1">
      <alignment vertical="center"/>
    </xf>
    <xf numFmtId="10" fontId="2" fillId="0" borderId="2" xfId="0" applyNumberFormat="1" applyFont="1" applyBorder="1" applyAlignment="1">
      <alignment vertical="center"/>
    </xf>
    <xf numFmtId="43" fontId="2" fillId="0" borderId="2" xfId="0" applyNumberFormat="1" applyFont="1" applyBorder="1" applyAlignment="1">
      <alignment horizontal="center" vertical="center"/>
    </xf>
    <xf numFmtId="0" fontId="2" fillId="0" borderId="15" xfId="0" applyFont="1" applyBorder="1" applyAlignment="1">
      <alignment vertical="center"/>
    </xf>
    <xf numFmtId="1"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3" fillId="7" borderId="0" xfId="0" applyFont="1" applyFill="1" applyAlignment="1">
      <alignment horizontal="center" vertical="center"/>
    </xf>
    <xf numFmtId="0" fontId="3" fillId="0" borderId="0" xfId="0" applyFont="1" applyAlignment="1">
      <alignment horizontal="center" vertical="center"/>
    </xf>
    <xf numFmtId="1" fontId="2" fillId="3" borderId="0"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justify" vertical="center" wrapText="1"/>
    </xf>
    <xf numFmtId="10" fontId="2" fillId="3" borderId="0" xfId="0" applyNumberFormat="1" applyFont="1" applyFill="1" applyBorder="1" applyAlignment="1">
      <alignment horizontal="center" vertical="center" wrapText="1"/>
    </xf>
    <xf numFmtId="171" fontId="2" fillId="3" borderId="0"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1" fontId="3" fillId="3" borderId="0" xfId="0" applyNumberFormat="1" applyFont="1" applyFill="1" applyBorder="1" applyAlignment="1">
      <alignment horizontal="center" vertical="center" wrapText="1"/>
    </xf>
    <xf numFmtId="0" fontId="2" fillId="3" borderId="18" xfId="0" applyFont="1" applyFill="1" applyBorder="1" applyAlignment="1">
      <alignment horizontal="center" vertical="center" wrapText="1"/>
    </xf>
    <xf numFmtId="170" fontId="2" fillId="3" borderId="18" xfId="0" applyNumberFormat="1" applyFont="1" applyFill="1" applyBorder="1" applyAlignment="1">
      <alignment horizontal="center" vertical="center" wrapText="1"/>
    </xf>
    <xf numFmtId="3" fontId="2" fillId="3" borderId="18" xfId="0" applyNumberFormat="1" applyFont="1" applyFill="1" applyBorder="1" applyAlignment="1">
      <alignment horizontal="center" vertical="center" wrapText="1"/>
    </xf>
    <xf numFmtId="1" fontId="2" fillId="10" borderId="3" xfId="0" applyNumberFormat="1" applyFont="1" applyFill="1" applyBorder="1" applyAlignment="1">
      <alignment horizontal="center" vertical="center" wrapText="1"/>
    </xf>
    <xf numFmtId="1" fontId="2" fillId="10" borderId="4" xfId="0" applyNumberFormat="1" applyFont="1" applyFill="1" applyBorder="1" applyAlignment="1">
      <alignment vertical="center" wrapText="1"/>
    </xf>
    <xf numFmtId="1" fontId="2" fillId="10" borderId="4" xfId="0" applyNumberFormat="1" applyFont="1" applyFill="1" applyBorder="1" applyAlignment="1">
      <alignment horizontal="center" vertical="center" wrapText="1"/>
    </xf>
    <xf numFmtId="10" fontId="2" fillId="10" borderId="4" xfId="0" applyNumberFormat="1" applyFont="1" applyFill="1" applyBorder="1" applyAlignment="1">
      <alignment vertical="center" wrapText="1"/>
    </xf>
    <xf numFmtId="43" fontId="2" fillId="10" borderId="4" xfId="0" applyNumberFormat="1" applyFont="1" applyFill="1" applyBorder="1" applyAlignment="1">
      <alignment horizontal="center" vertical="center" wrapText="1"/>
    </xf>
    <xf numFmtId="1" fontId="2" fillId="10" borderId="5" xfId="0" applyNumberFormat="1" applyFont="1" applyFill="1" applyBorder="1" applyAlignment="1">
      <alignment vertical="center" wrapText="1"/>
    </xf>
    <xf numFmtId="1" fontId="2" fillId="11" borderId="3" xfId="0" applyNumberFormat="1" applyFont="1" applyFill="1" applyBorder="1" applyAlignment="1">
      <alignment horizontal="center" vertical="center"/>
    </xf>
    <xf numFmtId="0" fontId="2" fillId="11" borderId="2" xfId="0" applyFont="1" applyFill="1" applyBorder="1" applyAlignment="1">
      <alignment vertical="center"/>
    </xf>
    <xf numFmtId="0" fontId="2" fillId="11" borderId="2" xfId="0" applyFont="1" applyFill="1" applyBorder="1" applyAlignment="1">
      <alignment horizontal="center" vertical="center"/>
    </xf>
    <xf numFmtId="0" fontId="2" fillId="11" borderId="2" xfId="0" applyFont="1" applyFill="1" applyBorder="1" applyAlignment="1">
      <alignment horizontal="justify" vertical="center"/>
    </xf>
    <xf numFmtId="10" fontId="2" fillId="11" borderId="2" xfId="0" applyNumberFormat="1" applyFont="1" applyFill="1" applyBorder="1" applyAlignment="1">
      <alignment horizontal="center" vertical="center"/>
    </xf>
    <xf numFmtId="171" fontId="2" fillId="11" borderId="2" xfId="0" applyNumberFormat="1" applyFont="1" applyFill="1" applyBorder="1" applyAlignment="1">
      <alignment vertical="center"/>
    </xf>
    <xf numFmtId="171" fontId="2" fillId="11" borderId="2" xfId="0" applyNumberFormat="1" applyFont="1" applyFill="1" applyBorder="1" applyAlignment="1">
      <alignment horizontal="center" vertical="center"/>
    </xf>
    <xf numFmtId="1" fontId="2" fillId="11" borderId="2" xfId="0" applyNumberFormat="1" applyFont="1" applyFill="1" applyBorder="1" applyAlignment="1">
      <alignment horizontal="center" vertical="center"/>
    </xf>
    <xf numFmtId="43" fontId="2" fillId="11" borderId="2" xfId="0" applyNumberFormat="1" applyFont="1" applyFill="1" applyBorder="1" applyAlignment="1">
      <alignment horizontal="center" vertical="center"/>
    </xf>
    <xf numFmtId="170" fontId="2" fillId="11" borderId="2" xfId="0" applyNumberFormat="1" applyFont="1" applyFill="1" applyBorder="1" applyAlignment="1">
      <alignment vertical="center"/>
    </xf>
    <xf numFmtId="0" fontId="2" fillId="11" borderId="15" xfId="0" applyFont="1" applyFill="1" applyBorder="1" applyAlignment="1">
      <alignment horizontal="justify" vertical="center"/>
    </xf>
    <xf numFmtId="1" fontId="2" fillId="12" borderId="1" xfId="0" applyNumberFormat="1" applyFont="1" applyFill="1" applyBorder="1" applyAlignment="1">
      <alignment horizontal="center" vertical="center" wrapText="1"/>
    </xf>
    <xf numFmtId="0" fontId="2" fillId="12" borderId="4" xfId="0" applyFont="1" applyFill="1" applyBorder="1" applyAlignment="1">
      <alignment vertical="center"/>
    </xf>
    <xf numFmtId="0" fontId="2" fillId="12" borderId="4" xfId="0" applyFont="1" applyFill="1" applyBorder="1" applyAlignment="1">
      <alignment horizontal="center" vertical="center"/>
    </xf>
    <xf numFmtId="0" fontId="2" fillId="12" borderId="4" xfId="0" applyFont="1" applyFill="1" applyBorder="1" applyAlignment="1">
      <alignment horizontal="justify" vertical="center"/>
    </xf>
    <xf numFmtId="10" fontId="2" fillId="12" borderId="4" xfId="0" applyNumberFormat="1" applyFont="1" applyFill="1" applyBorder="1" applyAlignment="1">
      <alignment horizontal="center" vertical="center"/>
    </xf>
    <xf numFmtId="171" fontId="2" fillId="12" borderId="4" xfId="0" applyNumberFormat="1" applyFont="1" applyFill="1" applyBorder="1" applyAlignment="1">
      <alignment vertical="center"/>
    </xf>
    <xf numFmtId="43" fontId="2" fillId="12" borderId="4" xfId="1" applyFont="1" applyFill="1" applyBorder="1" applyAlignment="1">
      <alignment horizontal="center" vertical="center"/>
    </xf>
    <xf numFmtId="1" fontId="2" fillId="12" borderId="4" xfId="0" applyNumberFormat="1" applyFont="1" applyFill="1" applyBorder="1" applyAlignment="1">
      <alignment horizontal="center" vertical="center"/>
    </xf>
    <xf numFmtId="43" fontId="2" fillId="12" borderId="4" xfId="0" applyNumberFormat="1" applyFont="1" applyFill="1" applyBorder="1" applyAlignment="1">
      <alignment horizontal="center" vertical="center"/>
    </xf>
    <xf numFmtId="170" fontId="2" fillId="12" borderId="4" xfId="0" applyNumberFormat="1" applyFont="1" applyFill="1" applyBorder="1" applyAlignment="1">
      <alignment vertical="center"/>
    </xf>
    <xf numFmtId="0" fontId="2" fillId="12" borderId="5" xfId="0" applyFont="1" applyFill="1" applyBorder="1" applyAlignment="1">
      <alignment horizontal="justify" vertical="center"/>
    </xf>
    <xf numFmtId="0" fontId="3" fillId="0" borderId="6" xfId="0" applyFont="1" applyBorder="1" applyAlignment="1">
      <alignment horizontal="justify" vertical="center" wrapText="1"/>
    </xf>
    <xf numFmtId="43" fontId="3" fillId="7" borderId="1" xfId="1" applyFont="1" applyFill="1" applyBorder="1" applyAlignment="1">
      <alignment horizontal="right" vertical="center" wrapText="1"/>
    </xf>
    <xf numFmtId="43" fontId="3" fillId="0" borderId="1" xfId="1" applyFont="1" applyFill="1" applyBorder="1" applyAlignment="1">
      <alignment horizontal="right" vertical="center" wrapText="1"/>
    </xf>
    <xf numFmtId="1" fontId="3" fillId="7" borderId="6" xfId="0" applyNumberFormat="1"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0" borderId="1" xfId="0" applyFont="1" applyBorder="1" applyAlignment="1">
      <alignment horizontal="justify" vertical="center" wrapText="1"/>
    </xf>
    <xf numFmtId="43" fontId="3" fillId="7" borderId="18" xfId="1" applyFont="1" applyFill="1" applyBorder="1" applyAlignment="1">
      <alignment horizontal="right" vertical="center" wrapText="1"/>
    </xf>
    <xf numFmtId="1" fontId="3" fillId="7"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1" xfId="0" applyFont="1" applyFill="1" applyBorder="1" applyAlignment="1">
      <alignment horizontal="justify" vertical="center" wrapText="1"/>
    </xf>
    <xf numFmtId="3" fontId="3" fillId="0" borderId="1" xfId="0" applyNumberFormat="1" applyFont="1" applyBorder="1" applyAlignment="1">
      <alignment horizontal="center" vertical="center" wrapText="1"/>
    </xf>
    <xf numFmtId="172" fontId="3" fillId="7" borderId="1" xfId="0" applyNumberFormat="1" applyFont="1" applyFill="1" applyBorder="1" applyAlignment="1">
      <alignment horizontal="center" vertical="center" wrapText="1"/>
    </xf>
    <xf numFmtId="10" fontId="3" fillId="7" borderId="1" xfId="0" applyNumberFormat="1" applyFont="1" applyFill="1" applyBorder="1" applyAlignment="1">
      <alignment horizontal="center" vertical="center" wrapText="1"/>
    </xf>
    <xf numFmtId="0" fontId="3" fillId="7" borderId="14" xfId="0" applyFont="1" applyFill="1" applyBorder="1" applyAlignment="1">
      <alignment horizontal="justify" vertical="center" wrapText="1"/>
    </xf>
    <xf numFmtId="1" fontId="3" fillId="7" borderId="18" xfId="0" applyNumberFormat="1"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7" borderId="6" xfId="0" applyFont="1" applyFill="1" applyBorder="1" applyAlignment="1">
      <alignment horizontal="justify" vertical="center" wrapText="1"/>
    </xf>
    <xf numFmtId="0" fontId="3" fillId="7" borderId="16" xfId="0" applyFont="1" applyFill="1" applyBorder="1" applyAlignment="1">
      <alignment horizontal="justify" vertical="center" wrapText="1"/>
    </xf>
    <xf numFmtId="43" fontId="3" fillId="7" borderId="13" xfId="1" applyFont="1" applyFill="1" applyBorder="1" applyAlignment="1">
      <alignment horizontal="right" vertical="center" wrapText="1"/>
    </xf>
    <xf numFmtId="1" fontId="3" fillId="7" borderId="13" xfId="0" applyNumberFormat="1" applyFont="1" applyFill="1" applyBorder="1" applyAlignment="1">
      <alignment horizontal="center" vertical="center" wrapText="1"/>
    </xf>
    <xf numFmtId="0" fontId="3" fillId="7" borderId="13"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3" fillId="12" borderId="1" xfId="0" applyFont="1" applyFill="1" applyBorder="1" applyAlignment="1">
      <alignment vertical="center" wrapText="1"/>
    </xf>
    <xf numFmtId="172" fontId="3" fillId="12" borderId="1" xfId="0" applyNumberFormat="1" applyFont="1" applyFill="1" applyBorder="1" applyAlignment="1">
      <alignment vertical="center" wrapText="1"/>
    </xf>
    <xf numFmtId="0" fontId="3" fillId="12" borderId="1" xfId="0" applyFont="1" applyFill="1" applyBorder="1" applyAlignment="1">
      <alignment horizontal="justify" vertical="center" wrapText="1"/>
    </xf>
    <xf numFmtId="10" fontId="3" fillId="12" borderId="1" xfId="0" applyNumberFormat="1" applyFont="1" applyFill="1" applyBorder="1" applyAlignment="1">
      <alignment vertical="center" wrapText="1"/>
    </xf>
    <xf numFmtId="43" fontId="3" fillId="12" borderId="1" xfId="1" applyFont="1" applyFill="1" applyBorder="1" applyAlignment="1">
      <alignment vertical="center" wrapText="1"/>
    </xf>
    <xf numFmtId="43" fontId="3" fillId="12" borderId="1" xfId="1" applyFont="1" applyFill="1" applyBorder="1" applyAlignment="1">
      <alignment horizontal="center" vertical="center" wrapText="1"/>
    </xf>
    <xf numFmtId="1" fontId="3" fillId="12" borderId="1" xfId="0" applyNumberFormat="1" applyFont="1" applyFill="1" applyBorder="1" applyAlignment="1">
      <alignment horizontal="center" vertical="center" wrapText="1"/>
    </xf>
    <xf numFmtId="0" fontId="3" fillId="12" borderId="1" xfId="0" applyFont="1" applyFill="1" applyBorder="1" applyAlignment="1">
      <alignment horizontal="center" vertical="center" wrapText="1"/>
    </xf>
    <xf numFmtId="1" fontId="2" fillId="12" borderId="1" xfId="0" applyNumberFormat="1" applyFont="1" applyFill="1" applyBorder="1" applyAlignment="1">
      <alignment vertical="center" textRotation="180" wrapText="1" readingOrder="2"/>
    </xf>
    <xf numFmtId="1" fontId="2" fillId="12" borderId="1" xfId="0" applyNumberFormat="1" applyFont="1" applyFill="1" applyBorder="1" applyAlignment="1">
      <alignment vertical="center" textRotation="180" wrapText="1"/>
    </xf>
    <xf numFmtId="1" fontId="3" fillId="12" borderId="1" xfId="0" applyNumberFormat="1" applyFont="1" applyFill="1" applyBorder="1" applyAlignment="1">
      <alignment vertical="center" textRotation="180" wrapText="1"/>
    </xf>
    <xf numFmtId="1" fontId="3" fillId="12" borderId="1" xfId="0" applyNumberFormat="1" applyFont="1" applyFill="1" applyBorder="1" applyAlignment="1">
      <alignment horizontal="center" vertical="center" textRotation="180" wrapText="1"/>
    </xf>
    <xf numFmtId="1" fontId="2" fillId="12" borderId="1" xfId="0" applyNumberFormat="1" applyFont="1" applyFill="1" applyBorder="1" applyAlignment="1">
      <alignment horizontal="center" vertical="center" textRotation="180" wrapText="1"/>
    </xf>
    <xf numFmtId="43" fontId="2" fillId="12" borderId="1" xfId="0" applyNumberFormat="1" applyFont="1" applyFill="1" applyBorder="1" applyAlignment="1">
      <alignment horizontal="center" vertical="center" textRotation="180" wrapText="1"/>
    </xf>
    <xf numFmtId="170" fontId="3" fillId="12" borderId="1" xfId="0" applyNumberFormat="1" applyFont="1" applyFill="1" applyBorder="1" applyAlignment="1">
      <alignment vertical="center" wrapText="1"/>
    </xf>
    <xf numFmtId="3" fontId="3" fillId="12" borderId="1" xfId="0" applyNumberFormat="1" applyFont="1" applyFill="1" applyBorder="1" applyAlignment="1">
      <alignment vertical="center" wrapText="1"/>
    </xf>
    <xf numFmtId="0" fontId="3" fillId="7" borderId="13" xfId="0" applyFont="1" applyFill="1" applyBorder="1" applyAlignment="1">
      <alignment horizontal="justify" vertical="center" wrapText="1"/>
    </xf>
    <xf numFmtId="10" fontId="3" fillId="7" borderId="6" xfId="0" applyNumberFormat="1" applyFont="1" applyFill="1" applyBorder="1" applyAlignment="1">
      <alignment vertical="center" wrapText="1"/>
    </xf>
    <xf numFmtId="1" fontId="3" fillId="7" borderId="6" xfId="0" applyNumberFormat="1" applyFont="1" applyFill="1" applyBorder="1" applyAlignment="1">
      <alignment horizontal="center" vertical="center" wrapText="1" readingOrder="2"/>
    </xf>
    <xf numFmtId="0" fontId="3" fillId="0" borderId="1" xfId="0" applyFont="1" applyBorder="1" applyAlignment="1">
      <alignment horizontal="center" vertical="center"/>
    </xf>
    <xf numFmtId="10" fontId="3" fillId="7" borderId="1" xfId="0" applyNumberFormat="1" applyFont="1" applyFill="1" applyBorder="1" applyAlignment="1">
      <alignment vertical="center" wrapText="1"/>
    </xf>
    <xf numFmtId="43" fontId="3" fillId="7" borderId="1" xfId="1" applyFont="1" applyFill="1" applyBorder="1" applyAlignment="1">
      <alignment horizontal="right" vertical="center"/>
    </xf>
    <xf numFmtId="1" fontId="3" fillId="7" borderId="1" xfId="0" applyNumberFormat="1" applyFont="1" applyFill="1" applyBorder="1" applyAlignment="1">
      <alignment horizontal="center" vertical="center"/>
    </xf>
    <xf numFmtId="0" fontId="3" fillId="7" borderId="1" xfId="0" applyFont="1" applyFill="1" applyBorder="1" applyAlignment="1">
      <alignment horizontal="center" vertical="center"/>
    </xf>
    <xf numFmtId="1" fontId="3" fillId="7" borderId="18" xfId="0" applyNumberFormat="1" applyFont="1" applyFill="1" applyBorder="1" applyAlignment="1">
      <alignment horizontal="center" vertical="center" wrapText="1" readingOrder="2"/>
    </xf>
    <xf numFmtId="0" fontId="2" fillId="12" borderId="1" xfId="0" applyFont="1" applyFill="1" applyBorder="1" applyAlignment="1">
      <alignment horizontal="center" vertical="center"/>
    </xf>
    <xf numFmtId="0" fontId="2" fillId="12" borderId="1" xfId="0" applyFont="1" applyFill="1" applyBorder="1" applyAlignment="1">
      <alignment vertical="center"/>
    </xf>
    <xf numFmtId="0" fontId="3" fillId="12" borderId="0" xfId="0" applyFont="1" applyFill="1" applyAlignment="1">
      <alignment horizontal="center" vertical="center"/>
    </xf>
    <xf numFmtId="0" fontId="3" fillId="12" borderId="0" xfId="0" applyFont="1" applyFill="1" applyAlignment="1">
      <alignment horizontal="justify" vertical="center"/>
    </xf>
    <xf numFmtId="0" fontId="3" fillId="12" borderId="0" xfId="0" applyFont="1" applyFill="1" applyAlignment="1">
      <alignment vertical="center"/>
    </xf>
    <xf numFmtId="172" fontId="3" fillId="12" borderId="0" xfId="0" applyNumberFormat="1" applyFont="1" applyFill="1" applyAlignment="1">
      <alignment horizontal="center" vertical="center"/>
    </xf>
    <xf numFmtId="0" fontId="3" fillId="12" borderId="0" xfId="0" applyFont="1" applyFill="1" applyAlignment="1">
      <alignment vertical="center" wrapText="1"/>
    </xf>
    <xf numFmtId="10" fontId="3" fillId="12" borderId="0" xfId="0" applyNumberFormat="1" applyFont="1" applyFill="1" applyAlignment="1">
      <alignment horizontal="center" vertical="center"/>
    </xf>
    <xf numFmtId="43" fontId="3" fillId="12" borderId="0" xfId="1" applyFont="1" applyFill="1" applyAlignment="1">
      <alignment vertical="center"/>
    </xf>
    <xf numFmtId="0" fontId="3" fillId="12" borderId="0" xfId="0" applyFont="1" applyFill="1" applyAlignment="1">
      <alignment horizontal="justify" vertical="center" wrapText="1"/>
    </xf>
    <xf numFmtId="43" fontId="3" fillId="12" borderId="0" xfId="1" applyFont="1" applyFill="1" applyAlignment="1">
      <alignment horizontal="center" vertical="center"/>
    </xf>
    <xf numFmtId="1" fontId="3" fillId="12" borderId="0" xfId="0" applyNumberFormat="1" applyFont="1" applyFill="1" applyAlignment="1">
      <alignment horizontal="center" vertical="center"/>
    </xf>
    <xf numFmtId="43" fontId="3" fillId="12" borderId="0" xfId="0" applyNumberFormat="1" applyFont="1" applyFill="1" applyAlignment="1">
      <alignment horizontal="center" vertical="center"/>
    </xf>
    <xf numFmtId="170" fontId="3" fillId="12" borderId="0" xfId="0" applyNumberFormat="1" applyFont="1" applyFill="1" applyAlignment="1">
      <alignment vertical="center" wrapText="1"/>
    </xf>
    <xf numFmtId="3" fontId="3" fillId="12" borderId="0" xfId="0" applyNumberFormat="1" applyFont="1" applyFill="1" applyAlignment="1">
      <alignment vertical="center" wrapText="1"/>
    </xf>
    <xf numFmtId="43" fontId="3" fillId="0" borderId="1" xfId="1" applyFont="1" applyBorder="1" applyAlignment="1">
      <alignment horizontal="right" vertical="center"/>
    </xf>
    <xf numFmtId="1"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justify" vertical="center" wrapText="1"/>
    </xf>
    <xf numFmtId="172"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xf>
    <xf numFmtId="3" fontId="3" fillId="0" borderId="18" xfId="0" applyNumberFormat="1" applyFont="1" applyBorder="1" applyAlignment="1">
      <alignment horizontal="center" vertical="center" wrapText="1"/>
    </xf>
    <xf numFmtId="10" fontId="3" fillId="7" borderId="1" xfId="0" applyNumberFormat="1" applyFont="1" applyFill="1" applyBorder="1" applyAlignment="1">
      <alignment horizontal="center" vertical="center"/>
    </xf>
    <xf numFmtId="0" fontId="3" fillId="0" borderId="1" xfId="0" applyFont="1" applyBorder="1" applyAlignment="1">
      <alignment horizontal="justify" vertical="center" wrapText="1" readingOrder="2"/>
    </xf>
    <xf numFmtId="43" fontId="3" fillId="7" borderId="1" xfId="1" applyFont="1" applyFill="1" applyBorder="1" applyAlignment="1">
      <alignment vertical="center"/>
    </xf>
    <xf numFmtId="3" fontId="3" fillId="7" borderId="1" xfId="0" applyNumberFormat="1" applyFont="1" applyFill="1" applyBorder="1" applyAlignment="1">
      <alignment horizontal="center" vertical="center" wrapText="1"/>
    </xf>
    <xf numFmtId="0" fontId="3" fillId="7" borderId="18" xfId="0" applyFont="1" applyFill="1" applyBorder="1" applyAlignment="1">
      <alignment horizontal="justify" vertical="center" wrapText="1"/>
    </xf>
    <xf numFmtId="0" fontId="3" fillId="0" borderId="6" xfId="0" applyFont="1" applyBorder="1" applyAlignment="1">
      <alignment horizontal="center" vertical="center"/>
    </xf>
    <xf numFmtId="0" fontId="13" fillId="0" borderId="0" xfId="0" applyFont="1" applyAlignment="1">
      <alignment horizontal="justify" vertical="center" wrapText="1"/>
    </xf>
    <xf numFmtId="10" fontId="3" fillId="7" borderId="6" xfId="0" applyNumberFormat="1" applyFont="1" applyFill="1" applyBorder="1" applyAlignment="1">
      <alignment horizontal="center" vertical="center"/>
    </xf>
    <xf numFmtId="43" fontId="3" fillId="7" borderId="6" xfId="1" applyFont="1" applyFill="1" applyBorder="1" applyAlignment="1">
      <alignment vertical="center"/>
    </xf>
    <xf numFmtId="1" fontId="3" fillId="7" borderId="6" xfId="0" applyNumberFormat="1" applyFont="1" applyFill="1" applyBorder="1" applyAlignment="1">
      <alignment horizontal="center" vertical="center"/>
    </xf>
    <xf numFmtId="1" fontId="2" fillId="10" borderId="1" xfId="0" applyNumberFormat="1" applyFont="1" applyFill="1" applyBorder="1" applyAlignment="1">
      <alignment horizontal="center" vertical="center"/>
    </xf>
    <xf numFmtId="0" fontId="2" fillId="10" borderId="4" xfId="0" applyFont="1" applyFill="1" applyBorder="1" applyAlignment="1">
      <alignment vertical="center"/>
    </xf>
    <xf numFmtId="0" fontId="3" fillId="10" borderId="4" xfId="0" applyFont="1" applyFill="1" applyBorder="1" applyAlignment="1">
      <alignment vertical="center"/>
    </xf>
    <xf numFmtId="0" fontId="3" fillId="10" borderId="4" xfId="0" applyFont="1" applyFill="1" applyBorder="1" applyAlignment="1">
      <alignment horizontal="center" vertical="center"/>
    </xf>
    <xf numFmtId="0" fontId="3" fillId="10" borderId="9" xfId="0" applyFont="1" applyFill="1" applyBorder="1" applyAlignment="1">
      <alignment horizontal="justify" vertical="center"/>
    </xf>
    <xf numFmtId="0" fontId="3" fillId="10" borderId="9" xfId="0" applyFont="1" applyFill="1" applyBorder="1" applyAlignment="1">
      <alignment vertical="center"/>
    </xf>
    <xf numFmtId="172" fontId="3" fillId="10" borderId="9" xfId="0" applyNumberFormat="1" applyFont="1" applyFill="1" applyBorder="1" applyAlignment="1">
      <alignment horizontal="justify" vertical="center"/>
    </xf>
    <xf numFmtId="0" fontId="3" fillId="10" borderId="9" xfId="0" applyFont="1" applyFill="1" applyBorder="1" applyAlignment="1">
      <alignment horizontal="center" vertical="center"/>
    </xf>
    <xf numFmtId="10" fontId="3" fillId="10" borderId="9" xfId="0" applyNumberFormat="1" applyFont="1" applyFill="1" applyBorder="1" applyAlignment="1">
      <alignment horizontal="center" vertical="center"/>
    </xf>
    <xf numFmtId="43" fontId="3" fillId="10" borderId="9" xfId="1" applyFont="1" applyFill="1" applyBorder="1" applyAlignment="1">
      <alignment vertical="center"/>
    </xf>
    <xf numFmtId="43" fontId="3" fillId="10" borderId="9" xfId="1" applyFont="1" applyFill="1" applyBorder="1" applyAlignment="1">
      <alignment horizontal="center" vertical="center"/>
    </xf>
    <xf numFmtId="1" fontId="3" fillId="10" borderId="9" xfId="0" applyNumberFormat="1" applyFont="1" applyFill="1" applyBorder="1" applyAlignment="1">
      <alignment horizontal="center" vertical="center"/>
    </xf>
    <xf numFmtId="43" fontId="3" fillId="10" borderId="9" xfId="0" applyNumberFormat="1" applyFont="1" applyFill="1" applyBorder="1" applyAlignment="1">
      <alignment horizontal="center" vertical="center"/>
    </xf>
    <xf numFmtId="170" fontId="3" fillId="10" borderId="9" xfId="0" applyNumberFormat="1" applyFont="1" applyFill="1" applyBorder="1" applyAlignment="1">
      <alignment horizontal="right" vertical="center"/>
    </xf>
    <xf numFmtId="170" fontId="3" fillId="10" borderId="9" xfId="0" applyNumberFormat="1" applyFont="1" applyFill="1" applyBorder="1" applyAlignment="1">
      <alignment horizontal="center" vertical="center"/>
    </xf>
    <xf numFmtId="0" fontId="3" fillId="10" borderId="8" xfId="0" applyFont="1" applyFill="1" applyBorder="1" applyAlignment="1">
      <alignment horizontal="justify" vertical="center"/>
    </xf>
    <xf numFmtId="0" fontId="2" fillId="11" borderId="18" xfId="0" applyFont="1" applyFill="1" applyBorder="1" applyAlignment="1">
      <alignment horizontal="center" vertical="center"/>
    </xf>
    <xf numFmtId="0" fontId="3" fillId="11" borderId="2" xfId="0" applyFont="1" applyFill="1" applyBorder="1" applyAlignment="1">
      <alignment horizontal="center" vertical="center"/>
    </xf>
    <xf numFmtId="0" fontId="3" fillId="11" borderId="4" xfId="0" applyFont="1" applyFill="1" applyBorder="1" applyAlignment="1">
      <alignment horizontal="justify" vertical="center"/>
    </xf>
    <xf numFmtId="0" fontId="3" fillId="11" borderId="4" xfId="0" applyFont="1" applyFill="1" applyBorder="1" applyAlignment="1">
      <alignment vertical="center"/>
    </xf>
    <xf numFmtId="172" fontId="3" fillId="11" borderId="4" xfId="0" applyNumberFormat="1" applyFont="1" applyFill="1" applyBorder="1" applyAlignment="1">
      <alignment horizontal="center" vertical="center"/>
    </xf>
    <xf numFmtId="0" fontId="3" fillId="11" borderId="4" xfId="0" applyFont="1" applyFill="1" applyBorder="1" applyAlignment="1">
      <alignment horizontal="center" vertical="center"/>
    </xf>
    <xf numFmtId="10" fontId="3" fillId="11" borderId="4" xfId="0" applyNumberFormat="1" applyFont="1" applyFill="1" applyBorder="1" applyAlignment="1">
      <alignment horizontal="center" vertical="center"/>
    </xf>
    <xf numFmtId="43" fontId="3" fillId="11" borderId="4" xfId="1" applyFont="1" applyFill="1" applyBorder="1" applyAlignment="1">
      <alignment vertical="center"/>
    </xf>
    <xf numFmtId="43" fontId="3" fillId="11" borderId="4" xfId="1" applyFont="1" applyFill="1" applyBorder="1" applyAlignment="1">
      <alignment horizontal="center" vertical="center"/>
    </xf>
    <xf numFmtId="1" fontId="3" fillId="11" borderId="4" xfId="0" applyNumberFormat="1" applyFont="1" applyFill="1" applyBorder="1" applyAlignment="1">
      <alignment horizontal="center" vertical="center"/>
    </xf>
    <xf numFmtId="43" fontId="3" fillId="11" borderId="4" xfId="0" applyNumberFormat="1" applyFont="1" applyFill="1" applyBorder="1" applyAlignment="1">
      <alignment horizontal="center" vertical="center"/>
    </xf>
    <xf numFmtId="170" fontId="3" fillId="11" borderId="4" xfId="0" applyNumberFormat="1" applyFont="1" applyFill="1" applyBorder="1" applyAlignment="1">
      <alignment horizontal="right" vertical="center"/>
    </xf>
    <xf numFmtId="170" fontId="3" fillId="11" borderId="4" xfId="0" applyNumberFormat="1" applyFont="1" applyFill="1" applyBorder="1" applyAlignment="1">
      <alignment horizontal="center" vertical="center"/>
    </xf>
    <xf numFmtId="0" fontId="3" fillId="11" borderId="5" xfId="0" applyFont="1" applyFill="1" applyBorder="1" applyAlignment="1">
      <alignment horizontal="justify" vertical="center"/>
    </xf>
    <xf numFmtId="0" fontId="2" fillId="12" borderId="9" xfId="0" applyFont="1" applyFill="1" applyBorder="1" applyAlignment="1">
      <alignment vertical="center"/>
    </xf>
    <xf numFmtId="172" fontId="2" fillId="12" borderId="4" xfId="0" applyNumberFormat="1" applyFont="1" applyFill="1" applyBorder="1" applyAlignment="1">
      <alignment vertical="center"/>
    </xf>
    <xf numFmtId="0" fontId="3" fillId="12" borderId="4" xfId="0" applyFont="1" applyFill="1" applyBorder="1" applyAlignment="1">
      <alignment horizontal="justify" vertical="center"/>
    </xf>
    <xf numFmtId="10" fontId="3" fillId="12" borderId="4" xfId="0" applyNumberFormat="1" applyFont="1" applyFill="1" applyBorder="1" applyAlignment="1">
      <alignment horizontal="center" vertical="center"/>
    </xf>
    <xf numFmtId="43" fontId="3" fillId="12" borderId="4" xfId="1" applyFont="1" applyFill="1" applyBorder="1" applyAlignment="1">
      <alignment vertical="center"/>
    </xf>
    <xf numFmtId="43" fontId="3" fillId="12" borderId="4" xfId="1" applyFont="1" applyFill="1" applyBorder="1" applyAlignment="1">
      <alignment horizontal="center" vertical="center"/>
    </xf>
    <xf numFmtId="1" fontId="3" fillId="12" borderId="4" xfId="0" applyNumberFormat="1" applyFont="1" applyFill="1" applyBorder="1" applyAlignment="1">
      <alignment horizontal="center" vertical="center"/>
    </xf>
    <xf numFmtId="0" fontId="3" fillId="12" borderId="4" xfId="0" applyFont="1" applyFill="1" applyBorder="1" applyAlignment="1">
      <alignment horizontal="center" vertical="center"/>
    </xf>
    <xf numFmtId="0" fontId="3" fillId="12" borderId="4" xfId="0" applyFont="1" applyFill="1" applyBorder="1" applyAlignment="1">
      <alignment vertical="center"/>
    </xf>
    <xf numFmtId="43" fontId="3" fillId="12" borderId="4" xfId="0" applyNumberFormat="1" applyFont="1" applyFill="1" applyBorder="1" applyAlignment="1">
      <alignment horizontal="center" vertical="center"/>
    </xf>
    <xf numFmtId="170" fontId="3" fillId="12" borderId="4" xfId="0" applyNumberFormat="1" applyFont="1" applyFill="1" applyBorder="1" applyAlignment="1">
      <alignment horizontal="right" vertical="center"/>
    </xf>
    <xf numFmtId="170" fontId="3" fillId="12" borderId="4" xfId="0" applyNumberFormat="1" applyFont="1" applyFill="1" applyBorder="1" applyAlignment="1">
      <alignment horizontal="center" vertical="center"/>
    </xf>
    <xf numFmtId="0" fontId="3" fillId="12" borderId="5" xfId="0" applyFont="1" applyFill="1" applyBorder="1" applyAlignment="1">
      <alignment horizontal="justify" vertical="center"/>
    </xf>
    <xf numFmtId="172" fontId="3" fillId="7" borderId="6" xfId="0" applyNumberFormat="1" applyFont="1" applyFill="1" applyBorder="1" applyAlignment="1">
      <alignment horizontal="center" vertical="center" wrapText="1"/>
    </xf>
    <xf numFmtId="0" fontId="2" fillId="12" borderId="0" xfId="0" applyFont="1" applyFill="1" applyAlignment="1">
      <alignment vertical="center"/>
    </xf>
    <xf numFmtId="0" fontId="2" fillId="12" borderId="3" xfId="0" applyFont="1" applyFill="1" applyBorder="1" applyAlignment="1">
      <alignment vertical="center"/>
    </xf>
    <xf numFmtId="172" fontId="2" fillId="12" borderId="9" xfId="0" applyNumberFormat="1" applyFont="1" applyFill="1" applyBorder="1" applyAlignment="1">
      <alignment vertical="center"/>
    </xf>
    <xf numFmtId="43" fontId="2" fillId="12" borderId="4" xfId="1" applyFont="1" applyFill="1" applyBorder="1" applyAlignment="1">
      <alignment vertical="center"/>
    </xf>
    <xf numFmtId="0" fontId="2" fillId="12" borderId="5" xfId="0" applyFont="1" applyFill="1" applyBorder="1" applyAlignment="1">
      <alignment vertical="center"/>
    </xf>
    <xf numFmtId="0" fontId="10" fillId="7" borderId="1" xfId="0" applyFont="1" applyFill="1" applyBorder="1" applyAlignment="1">
      <alignment horizontal="justify" vertical="center" wrapText="1"/>
    </xf>
    <xf numFmtId="3" fontId="3" fillId="7" borderId="29" xfId="0" applyNumberFormat="1" applyFont="1" applyFill="1" applyBorder="1" applyAlignment="1">
      <alignment horizontal="center" vertical="center" wrapText="1"/>
    </xf>
    <xf numFmtId="0" fontId="10" fillId="7" borderId="6" xfId="0" applyFont="1" applyFill="1" applyBorder="1" applyAlignment="1">
      <alignment horizontal="justify" vertical="center" wrapText="1"/>
    </xf>
    <xf numFmtId="3" fontId="3" fillId="7" borderId="30" xfId="0" applyNumberFormat="1" applyFont="1" applyFill="1" applyBorder="1" applyAlignment="1">
      <alignment horizontal="center" vertical="center" wrapText="1"/>
    </xf>
    <xf numFmtId="43" fontId="3" fillId="7" borderId="6" xfId="1" applyFont="1" applyFill="1" applyBorder="1" applyAlignment="1">
      <alignment horizontal="right" vertical="center"/>
    </xf>
    <xf numFmtId="0" fontId="2" fillId="12" borderId="3" xfId="0" applyFont="1" applyFill="1" applyBorder="1" applyAlignment="1">
      <alignment horizontal="justify" vertical="center"/>
    </xf>
    <xf numFmtId="172" fontId="3" fillId="12" borderId="4" xfId="0" applyNumberFormat="1" applyFont="1" applyFill="1" applyBorder="1" applyAlignment="1">
      <alignment vertical="center"/>
    </xf>
    <xf numFmtId="0" fontId="3" fillId="12" borderId="4" xfId="0" applyFont="1" applyFill="1" applyBorder="1" applyAlignment="1">
      <alignment horizontal="justify" vertical="center" wrapText="1"/>
    </xf>
    <xf numFmtId="10" fontId="3" fillId="12" borderId="4" xfId="0" applyNumberFormat="1" applyFont="1" applyFill="1" applyBorder="1" applyAlignment="1">
      <alignment vertical="center"/>
    </xf>
    <xf numFmtId="1" fontId="3" fillId="0" borderId="18" xfId="0" applyNumberFormat="1" applyFont="1" applyBorder="1" applyAlignment="1">
      <alignment horizontal="center" vertical="center" wrapText="1"/>
    </xf>
    <xf numFmtId="0" fontId="3" fillId="7" borderId="1" xfId="0" applyFont="1" applyFill="1" applyBorder="1" applyAlignment="1">
      <alignment horizontal="justify" vertical="center"/>
    </xf>
    <xf numFmtId="1" fontId="3" fillId="0" borderId="1" xfId="0" applyNumberFormat="1" applyFont="1" applyBorder="1" applyAlignment="1">
      <alignment horizontal="center" vertical="center" wrapText="1"/>
    </xf>
    <xf numFmtId="1" fontId="2" fillId="10" borderId="3" xfId="0" applyNumberFormat="1" applyFont="1" applyFill="1" applyBorder="1" applyAlignment="1">
      <alignment horizontal="center" vertical="center"/>
    </xf>
    <xf numFmtId="0" fontId="2" fillId="10" borderId="9" xfId="0" applyFont="1" applyFill="1" applyBorder="1" applyAlignment="1">
      <alignment vertical="center"/>
    </xf>
    <xf numFmtId="0" fontId="3" fillId="10" borderId="0" xfId="0" applyFont="1" applyFill="1" applyAlignment="1">
      <alignment vertical="center"/>
    </xf>
    <xf numFmtId="0" fontId="3" fillId="10" borderId="2" xfId="0" applyFont="1" applyFill="1" applyBorder="1" applyAlignment="1">
      <alignment vertical="center"/>
    </xf>
    <xf numFmtId="0" fontId="3" fillId="10" borderId="2" xfId="0" applyFont="1" applyFill="1" applyBorder="1" applyAlignment="1">
      <alignment horizontal="center" vertical="center"/>
    </xf>
    <xf numFmtId="0" fontId="3" fillId="10" borderId="2" xfId="0" applyFont="1" applyFill="1" applyBorder="1" applyAlignment="1">
      <alignment horizontal="justify" vertical="center"/>
    </xf>
    <xf numFmtId="172" fontId="3" fillId="10" borderId="2" xfId="0" applyNumberFormat="1" applyFont="1" applyFill="1" applyBorder="1" applyAlignment="1">
      <alignment horizontal="justify" vertical="center"/>
    </xf>
    <xf numFmtId="10" fontId="3" fillId="10" borderId="2" xfId="0" applyNumberFormat="1" applyFont="1" applyFill="1" applyBorder="1" applyAlignment="1">
      <alignment horizontal="center" vertical="center"/>
    </xf>
    <xf numFmtId="43" fontId="3" fillId="10" borderId="2" xfId="1" applyFont="1" applyFill="1" applyBorder="1" applyAlignment="1">
      <alignment vertical="center"/>
    </xf>
    <xf numFmtId="171" fontId="3" fillId="10" borderId="2" xfId="0" applyNumberFormat="1" applyFont="1" applyFill="1" applyBorder="1" applyAlignment="1">
      <alignment horizontal="center" vertical="center"/>
    </xf>
    <xf numFmtId="1" fontId="3" fillId="10" borderId="2" xfId="0" applyNumberFormat="1" applyFont="1" applyFill="1" applyBorder="1" applyAlignment="1">
      <alignment horizontal="center" vertical="center"/>
    </xf>
    <xf numFmtId="43" fontId="3" fillId="10" borderId="2" xfId="0" applyNumberFormat="1" applyFont="1" applyFill="1" applyBorder="1" applyAlignment="1">
      <alignment horizontal="center" vertical="center"/>
    </xf>
    <xf numFmtId="10" fontId="3" fillId="10" borderId="2" xfId="0" applyNumberFormat="1" applyFont="1" applyFill="1" applyBorder="1" applyAlignment="1">
      <alignment vertical="center"/>
    </xf>
    <xf numFmtId="170" fontId="3" fillId="10" borderId="2" xfId="0" applyNumberFormat="1" applyFont="1" applyFill="1" applyBorder="1" applyAlignment="1">
      <alignment horizontal="right" vertical="center"/>
    </xf>
    <xf numFmtId="170" fontId="3" fillId="10" borderId="2" xfId="0" applyNumberFormat="1" applyFont="1" applyFill="1" applyBorder="1" applyAlignment="1">
      <alignment horizontal="center" vertical="center"/>
    </xf>
    <xf numFmtId="0" fontId="3" fillId="10" borderId="15" xfId="0" applyFont="1" applyFill="1" applyBorder="1" applyAlignment="1">
      <alignment horizontal="justify" vertical="center"/>
    </xf>
    <xf numFmtId="0" fontId="2" fillId="13" borderId="1" xfId="0" applyFont="1" applyFill="1" applyBorder="1" applyAlignment="1">
      <alignment horizontal="center" vertical="center"/>
    </xf>
    <xf numFmtId="0" fontId="2" fillId="13" borderId="4" xfId="0" applyFont="1" applyFill="1" applyBorder="1" applyAlignment="1">
      <alignment vertical="center"/>
    </xf>
    <xf numFmtId="0" fontId="2" fillId="13" borderId="4" xfId="0" applyFont="1" applyFill="1" applyBorder="1" applyAlignment="1">
      <alignment horizontal="center" vertical="center"/>
    </xf>
    <xf numFmtId="0" fontId="3" fillId="13" borderId="4" xfId="0" applyFont="1" applyFill="1" applyBorder="1" applyAlignment="1">
      <alignment horizontal="center" vertical="center"/>
    </xf>
    <xf numFmtId="0" fontId="3" fillId="13" borderId="4" xfId="0" applyFont="1" applyFill="1" applyBorder="1" applyAlignment="1">
      <alignment horizontal="justify" vertical="center"/>
    </xf>
    <xf numFmtId="0" fontId="3" fillId="13" borderId="4" xfId="0" applyFont="1" applyFill="1" applyBorder="1" applyAlignment="1">
      <alignment vertical="center"/>
    </xf>
    <xf numFmtId="172" fontId="3" fillId="13" borderId="4" xfId="0" applyNumberFormat="1" applyFont="1" applyFill="1" applyBorder="1" applyAlignment="1">
      <alignment horizontal="center" vertical="center"/>
    </xf>
    <xf numFmtId="10" fontId="3" fillId="13" borderId="4" xfId="0" applyNumberFormat="1" applyFont="1" applyFill="1" applyBorder="1" applyAlignment="1">
      <alignment horizontal="center" vertical="center"/>
    </xf>
    <xf numFmtId="43" fontId="3" fillId="13" borderId="4" xfId="1" applyFont="1" applyFill="1" applyBorder="1" applyAlignment="1">
      <alignment vertical="center"/>
    </xf>
    <xf numFmtId="171" fontId="3" fillId="13" borderId="4" xfId="0" applyNumberFormat="1" applyFont="1" applyFill="1" applyBorder="1" applyAlignment="1">
      <alignment horizontal="center" vertical="center"/>
    </xf>
    <xf numFmtId="1" fontId="3" fillId="13" borderId="4" xfId="0" applyNumberFormat="1" applyFont="1" applyFill="1" applyBorder="1" applyAlignment="1">
      <alignment horizontal="center" vertical="center"/>
    </xf>
    <xf numFmtId="43" fontId="3" fillId="13" borderId="4" xfId="0" applyNumberFormat="1" applyFont="1" applyFill="1" applyBorder="1" applyAlignment="1">
      <alignment horizontal="center" vertical="center"/>
    </xf>
    <xf numFmtId="10" fontId="3" fillId="13" borderId="4" xfId="0" applyNumberFormat="1" applyFont="1" applyFill="1" applyBorder="1" applyAlignment="1">
      <alignment vertical="center"/>
    </xf>
    <xf numFmtId="170" fontId="3" fillId="13" borderId="4" xfId="0" applyNumberFormat="1" applyFont="1" applyFill="1" applyBorder="1" applyAlignment="1">
      <alignment horizontal="right" vertical="center"/>
    </xf>
    <xf numFmtId="170" fontId="3" fillId="13" borderId="4" xfId="0" applyNumberFormat="1" applyFont="1" applyFill="1" applyBorder="1" applyAlignment="1">
      <alignment horizontal="center" vertical="center"/>
    </xf>
    <xf numFmtId="0" fontId="3" fillId="13" borderId="5" xfId="0" applyFont="1" applyFill="1" applyBorder="1" applyAlignment="1">
      <alignment horizontal="justify" vertical="center"/>
    </xf>
    <xf numFmtId="171" fontId="3" fillId="12" borderId="4" xfId="0" applyNumberFormat="1" applyFont="1" applyFill="1" applyBorder="1" applyAlignment="1">
      <alignment horizontal="center" vertical="center"/>
    </xf>
    <xf numFmtId="172" fontId="3" fillId="7" borderId="1" xfId="0" applyNumberFormat="1" applyFont="1" applyFill="1" applyBorder="1" applyAlignment="1">
      <alignment horizontal="center" vertical="center"/>
    </xf>
    <xf numFmtId="172" fontId="3" fillId="7" borderId="18" xfId="0" applyNumberFormat="1" applyFont="1" applyFill="1" applyBorder="1" applyAlignment="1">
      <alignment horizontal="center" vertical="center" wrapText="1"/>
    </xf>
    <xf numFmtId="1" fontId="2" fillId="0" borderId="1" xfId="0" applyNumberFormat="1" applyFont="1" applyBorder="1" applyAlignment="1">
      <alignment vertical="center"/>
    </xf>
    <xf numFmtId="0" fontId="2" fillId="0" borderId="1" xfId="0" applyFont="1" applyBorder="1" applyAlignment="1">
      <alignment horizontal="center" vertical="center"/>
    </xf>
    <xf numFmtId="0" fontId="2" fillId="7" borderId="1" xfId="0" applyFont="1" applyFill="1" applyBorder="1" applyAlignment="1">
      <alignment horizontal="justify" vertical="center"/>
    </xf>
    <xf numFmtId="0" fontId="9" fillId="7" borderId="1" xfId="0" applyFont="1" applyFill="1" applyBorder="1" applyAlignment="1">
      <alignment vertical="center" wrapText="1"/>
    </xf>
    <xf numFmtId="0" fontId="2" fillId="7" borderId="1" xfId="0" applyFont="1" applyFill="1" applyBorder="1" applyAlignment="1">
      <alignment vertical="center"/>
    </xf>
    <xf numFmtId="0" fontId="2" fillId="7" borderId="1" xfId="0" applyFont="1" applyFill="1" applyBorder="1" applyAlignment="1">
      <alignment horizontal="center" vertical="center"/>
    </xf>
    <xf numFmtId="10" fontId="2" fillId="7" borderId="1" xfId="0" applyNumberFormat="1" applyFont="1" applyFill="1" applyBorder="1" applyAlignment="1">
      <alignment horizontal="center" vertical="center"/>
    </xf>
    <xf numFmtId="43" fontId="2" fillId="7" borderId="1" xfId="1" applyFont="1" applyFill="1" applyBorder="1" applyAlignment="1">
      <alignment horizontal="center" vertical="center"/>
    </xf>
    <xf numFmtId="0" fontId="9" fillId="7" borderId="1" xfId="0" applyFont="1" applyFill="1" applyBorder="1" applyAlignment="1">
      <alignment horizontal="justify" vertical="center" wrapText="1"/>
    </xf>
    <xf numFmtId="1" fontId="2" fillId="7" borderId="1" xfId="0" applyNumberFormat="1" applyFont="1" applyFill="1" applyBorder="1" applyAlignment="1">
      <alignment horizontal="center" vertical="center"/>
    </xf>
    <xf numFmtId="43" fontId="2" fillId="0" borderId="1" xfId="0" applyNumberFormat="1" applyFont="1" applyBorder="1" applyAlignment="1">
      <alignment horizontal="center" vertical="center"/>
    </xf>
    <xf numFmtId="170" fontId="2" fillId="0" borderId="1" xfId="0" applyNumberFormat="1" applyFont="1" applyBorder="1" applyAlignment="1">
      <alignment horizontal="right" vertical="center"/>
    </xf>
    <xf numFmtId="170" fontId="2" fillId="0" borderId="1" xfId="0" applyNumberFormat="1" applyFont="1" applyBorder="1" applyAlignment="1">
      <alignment horizontal="center" vertical="center"/>
    </xf>
    <xf numFmtId="0" fontId="2" fillId="0" borderId="1" xfId="0" applyFont="1" applyBorder="1" applyAlignment="1">
      <alignment horizontal="justify" vertical="center"/>
    </xf>
    <xf numFmtId="1" fontId="3" fillId="0" borderId="0" xfId="0" applyNumberFormat="1" applyFont="1" applyAlignment="1">
      <alignment vertical="center"/>
    </xf>
    <xf numFmtId="0" fontId="3" fillId="7" borderId="0" xfId="0" applyFont="1" applyFill="1" applyAlignment="1">
      <alignment horizontal="justify" vertical="center"/>
    </xf>
    <xf numFmtId="0" fontId="10" fillId="7" borderId="0" xfId="0" applyFont="1" applyFill="1" applyAlignment="1">
      <alignment vertical="center" wrapText="1"/>
    </xf>
    <xf numFmtId="10" fontId="3" fillId="7" borderId="0" xfId="0" applyNumberFormat="1" applyFont="1" applyFill="1" applyAlignment="1">
      <alignment horizontal="center" vertical="center"/>
    </xf>
    <xf numFmtId="171" fontId="3" fillId="7" borderId="0" xfId="0" applyNumberFormat="1" applyFont="1" applyFill="1" applyAlignment="1">
      <alignment vertical="center"/>
    </xf>
    <xf numFmtId="1" fontId="3" fillId="7" borderId="0" xfId="0" applyNumberFormat="1" applyFont="1" applyFill="1" applyAlignment="1">
      <alignment horizontal="center" vertical="center"/>
    </xf>
    <xf numFmtId="43" fontId="3" fillId="0" borderId="0" xfId="0" applyNumberFormat="1" applyFont="1" applyAlignment="1">
      <alignment horizontal="center" vertical="center"/>
    </xf>
    <xf numFmtId="170" fontId="3" fillId="0" borderId="0" xfId="0" applyNumberFormat="1" applyFont="1" applyAlignment="1">
      <alignment horizontal="right" vertical="center"/>
    </xf>
    <xf numFmtId="170" fontId="3" fillId="0" borderId="0" xfId="0" applyNumberFormat="1" applyFont="1" applyAlignment="1">
      <alignment horizontal="center" vertical="center"/>
    </xf>
    <xf numFmtId="0" fontId="3" fillId="0" borderId="0" xfId="0" applyFont="1" applyAlignment="1">
      <alignment horizontal="justify" vertical="center"/>
    </xf>
    <xf numFmtId="171" fontId="3" fillId="7" borderId="0" xfId="0" applyNumberFormat="1" applyFont="1" applyFill="1" applyAlignment="1">
      <alignment horizontal="center" vertical="center"/>
    </xf>
    <xf numFmtId="3" fontId="15" fillId="0" borderId="0" xfId="8" applyNumberFormat="1" applyFont="1" applyAlignment="1">
      <alignment horizontal="center" vertical="center"/>
    </xf>
    <xf numFmtId="3" fontId="15" fillId="0" borderId="0" xfId="0" applyNumberFormat="1" applyFont="1" applyAlignment="1">
      <alignment horizontal="center" vertical="center"/>
    </xf>
    <xf numFmtId="173" fontId="15" fillId="0" borderId="0" xfId="8" applyNumberFormat="1" applyFont="1" applyAlignment="1">
      <alignment horizontal="center" vertical="center"/>
    </xf>
    <xf numFmtId="0" fontId="2" fillId="7" borderId="0" xfId="0" applyFont="1" applyFill="1" applyAlignment="1">
      <alignment horizontal="center" vertical="center"/>
    </xf>
    <xf numFmtId="0" fontId="5" fillId="0" borderId="29" xfId="0" applyFont="1" applyBorder="1"/>
    <xf numFmtId="0" fontId="5" fillId="0" borderId="34" xfId="0" applyFont="1" applyBorder="1"/>
    <xf numFmtId="0" fontId="10" fillId="0" borderId="0" xfId="0" applyFont="1"/>
    <xf numFmtId="0" fontId="5" fillId="0" borderId="1" xfId="0" applyFont="1" applyBorder="1" applyAlignment="1">
      <alignment horizontal="left"/>
    </xf>
    <xf numFmtId="164" fontId="5" fillId="0" borderId="36" xfId="0" applyNumberFormat="1" applyFont="1" applyBorder="1" applyAlignment="1">
      <alignment horizontal="left"/>
    </xf>
    <xf numFmtId="0" fontId="5" fillId="0" borderId="1" xfId="0" applyFont="1" applyBorder="1"/>
    <xf numFmtId="17" fontId="5" fillId="0" borderId="36" xfId="0" applyNumberFormat="1" applyFont="1" applyBorder="1" applyAlignment="1">
      <alignment horizontal="left"/>
    </xf>
    <xf numFmtId="0" fontId="5" fillId="0" borderId="1" xfId="0" applyFont="1" applyBorder="1" applyAlignment="1">
      <alignment vertical="center"/>
    </xf>
    <xf numFmtId="3" fontId="5" fillId="2" borderId="36" xfId="0" applyNumberFormat="1" applyFont="1" applyFill="1" applyBorder="1" applyAlignment="1">
      <alignment horizontal="left" vertical="center" wrapText="1"/>
    </xf>
    <xf numFmtId="0" fontId="10" fillId="0" borderId="0" xfId="0" applyFont="1" applyAlignment="1">
      <alignment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4" xfId="0" applyFont="1" applyBorder="1" applyAlignment="1">
      <alignment horizontal="justify" vertical="center" wrapText="1"/>
    </xf>
    <xf numFmtId="0" fontId="5" fillId="3" borderId="1" xfId="0" applyFont="1" applyFill="1" applyBorder="1" applyAlignment="1">
      <alignment horizontal="center" vertical="center" wrapText="1"/>
    </xf>
    <xf numFmtId="0" fontId="9" fillId="0" borderId="0" xfId="0" applyFont="1" applyAlignment="1">
      <alignment horizontal="center" vertical="center"/>
    </xf>
    <xf numFmtId="1" fontId="5" fillId="5" borderId="13" xfId="0" applyNumberFormat="1" applyFont="1" applyFill="1" applyBorder="1" applyAlignment="1">
      <alignment horizontal="center" vertical="center" wrapText="1"/>
    </xf>
    <xf numFmtId="41" fontId="5" fillId="3" borderId="5" xfId="9" applyNumberFormat="1" applyFont="1" applyFill="1" applyBorder="1" applyAlignment="1">
      <alignment horizontal="right" vertical="center" wrapText="1"/>
    </xf>
    <xf numFmtId="175" fontId="5" fillId="3" borderId="1" xfId="9" applyNumberFormat="1" applyFont="1" applyFill="1" applyBorder="1" applyAlignment="1">
      <alignment horizontal="right" vertical="center" wrapText="1"/>
    </xf>
    <xf numFmtId="0" fontId="5" fillId="3" borderId="6" xfId="0" applyFont="1" applyFill="1" applyBorder="1" applyAlignment="1">
      <alignment horizontal="center" vertical="center" textRotation="90" wrapText="1"/>
    </xf>
    <xf numFmtId="0" fontId="5" fillId="3" borderId="6" xfId="0" applyFont="1" applyFill="1" applyBorder="1" applyAlignment="1">
      <alignment horizontal="center" vertical="center" textRotation="255" wrapText="1"/>
    </xf>
    <xf numFmtId="49" fontId="5" fillId="3" borderId="6" xfId="0" applyNumberFormat="1" applyFont="1" applyFill="1" applyBorder="1" applyAlignment="1">
      <alignment horizontal="center" vertical="center" textRotation="90" wrapText="1"/>
    </xf>
    <xf numFmtId="49" fontId="5" fillId="3" borderId="7" xfId="0" applyNumberFormat="1" applyFont="1" applyFill="1" applyBorder="1" applyAlignment="1">
      <alignment horizontal="center" vertical="center" textRotation="255" wrapText="1"/>
    </xf>
    <xf numFmtId="0" fontId="5" fillId="3" borderId="7" xfId="0" applyFont="1" applyFill="1" applyBorder="1" applyAlignment="1">
      <alignment horizontal="center" vertical="center" textRotation="90" wrapText="1"/>
    </xf>
    <xf numFmtId="1" fontId="5" fillId="3" borderId="1" xfId="0" applyNumberFormat="1" applyFont="1" applyFill="1" applyBorder="1" applyAlignment="1">
      <alignment horizontal="center" vertical="center" wrapText="1"/>
    </xf>
    <xf numFmtId="174" fontId="5" fillId="3" borderId="1" xfId="0" applyNumberFormat="1" applyFont="1" applyFill="1" applyBorder="1" applyAlignment="1">
      <alignment horizontal="center" vertical="center" wrapText="1"/>
    </xf>
    <xf numFmtId="10" fontId="5" fillId="3" borderId="1" xfId="0" applyNumberFormat="1" applyFont="1" applyFill="1" applyBorder="1" applyAlignment="1">
      <alignment horizontal="center" vertical="center" wrapText="1"/>
    </xf>
    <xf numFmtId="166" fontId="5" fillId="3" borderId="1" xfId="0" applyNumberFormat="1" applyFont="1" applyFill="1" applyBorder="1" applyAlignment="1">
      <alignment horizontal="justify" vertical="center" wrapText="1"/>
    </xf>
    <xf numFmtId="166" fontId="5" fillId="3" borderId="1" xfId="0" applyNumberFormat="1" applyFont="1" applyFill="1" applyBorder="1" applyAlignment="1">
      <alignment vertical="center" wrapText="1"/>
    </xf>
    <xf numFmtId="166" fontId="5" fillId="3" borderId="1" xfId="0" applyNumberFormat="1" applyFont="1" applyFill="1" applyBorder="1" applyAlignment="1">
      <alignment horizontal="center" vertical="center" wrapText="1"/>
    </xf>
    <xf numFmtId="0" fontId="9" fillId="0" borderId="0" xfId="0" applyFont="1" applyAlignment="1">
      <alignment horizontal="center"/>
    </xf>
    <xf numFmtId="0" fontId="9" fillId="10" borderId="40" xfId="0" applyFont="1" applyFill="1" applyBorder="1" applyAlignment="1">
      <alignment horizontal="center" vertical="center" wrapText="1"/>
    </xf>
    <xf numFmtId="0" fontId="9" fillId="10" borderId="3" xfId="0" applyFont="1" applyFill="1" applyBorder="1" applyAlignment="1">
      <alignment vertical="center" wrapText="1"/>
    </xf>
    <xf numFmtId="0" fontId="9" fillId="10" borderId="4" xfId="0" applyFont="1" applyFill="1" applyBorder="1" applyAlignment="1">
      <alignment vertical="center" wrapText="1"/>
    </xf>
    <xf numFmtId="0" fontId="9" fillId="10" borderId="9" xfId="0" applyFont="1" applyFill="1" applyBorder="1" applyAlignment="1">
      <alignment vertical="center" wrapText="1"/>
    </xf>
    <xf numFmtId="0" fontId="9" fillId="10" borderId="4" xfId="0" applyFont="1" applyFill="1" applyBorder="1" applyAlignment="1">
      <alignment horizontal="justify" vertical="center" wrapText="1"/>
    </xf>
    <xf numFmtId="0" fontId="9" fillId="10" borderId="4" xfId="0" applyFont="1" applyFill="1" applyBorder="1" applyAlignment="1">
      <alignment horizontal="center" vertical="center" wrapText="1"/>
    </xf>
    <xf numFmtId="2" fontId="9" fillId="10" borderId="4" xfId="0" applyNumberFormat="1" applyFont="1" applyFill="1" applyBorder="1" applyAlignment="1">
      <alignment horizontal="right" vertical="center" wrapText="1"/>
    </xf>
    <xf numFmtId="41" fontId="9" fillId="10" borderId="4" xfId="9" applyNumberFormat="1" applyFont="1" applyFill="1" applyBorder="1" applyAlignment="1">
      <alignment horizontal="right" vertical="center" wrapText="1"/>
    </xf>
    <xf numFmtId="175" fontId="9" fillId="10" borderId="4" xfId="9" applyNumberFormat="1" applyFont="1" applyFill="1" applyBorder="1" applyAlignment="1">
      <alignment horizontal="right" vertical="center" wrapText="1"/>
    </xf>
    <xf numFmtId="1" fontId="9" fillId="10" borderId="4" xfId="0" applyNumberFormat="1" applyFont="1" applyFill="1" applyBorder="1" applyAlignment="1">
      <alignment horizontal="center" vertical="center" wrapText="1"/>
    </xf>
    <xf numFmtId="0" fontId="9" fillId="0" borderId="0" xfId="0" applyFont="1"/>
    <xf numFmtId="0" fontId="9" fillId="7" borderId="40"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7" borderId="8" xfId="0" applyFont="1" applyFill="1" applyBorder="1"/>
    <xf numFmtId="0" fontId="9" fillId="14" borderId="8" xfId="0" applyFont="1" applyFill="1" applyBorder="1" applyAlignment="1">
      <alignment horizontal="center" vertical="center" wrapText="1"/>
    </xf>
    <xf numFmtId="0" fontId="9" fillId="14" borderId="4" xfId="0" applyFont="1" applyFill="1" applyBorder="1" applyAlignment="1">
      <alignment horizontal="justify" vertical="center" wrapText="1"/>
    </xf>
    <xf numFmtId="0" fontId="9" fillId="14" borderId="4" xfId="0" applyFont="1" applyFill="1" applyBorder="1" applyAlignment="1">
      <alignment vertical="center" wrapText="1"/>
    </xf>
    <xf numFmtId="0" fontId="9" fillId="14" borderId="4" xfId="0" applyFont="1" applyFill="1" applyBorder="1" applyAlignment="1">
      <alignment horizontal="center" vertical="center" wrapText="1"/>
    </xf>
    <xf numFmtId="2" fontId="9" fillId="14" borderId="4" xfId="0" applyNumberFormat="1" applyFont="1" applyFill="1" applyBorder="1" applyAlignment="1">
      <alignment horizontal="right" vertical="center" wrapText="1"/>
    </xf>
    <xf numFmtId="41" fontId="9" fillId="14" borderId="4" xfId="9" applyNumberFormat="1" applyFont="1" applyFill="1" applyBorder="1" applyAlignment="1">
      <alignment horizontal="right" vertical="center" wrapText="1"/>
    </xf>
    <xf numFmtId="175" fontId="9" fillId="14" borderId="4" xfId="9" applyNumberFormat="1" applyFont="1" applyFill="1" applyBorder="1" applyAlignment="1">
      <alignment horizontal="right" vertical="center" wrapText="1"/>
    </xf>
    <xf numFmtId="1" fontId="9" fillId="14" borderId="4" xfId="0" applyNumberFormat="1" applyFont="1" applyFill="1" applyBorder="1" applyAlignment="1">
      <alignment horizontal="center" vertical="center" wrapText="1"/>
    </xf>
    <xf numFmtId="0" fontId="10" fillId="7" borderId="41" xfId="0" applyFont="1" applyFill="1" applyBorder="1" applyAlignment="1">
      <alignment horizontal="center" vertical="center" wrapText="1"/>
    </xf>
    <xf numFmtId="0" fontId="10" fillId="7" borderId="0" xfId="0" applyFont="1" applyFill="1" applyAlignment="1">
      <alignment horizontal="center" vertical="center" wrapText="1"/>
    </xf>
    <xf numFmtId="0" fontId="10" fillId="7" borderId="17"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9" xfId="0" applyFont="1" applyFill="1" applyBorder="1"/>
    <xf numFmtId="0" fontId="10" fillId="7" borderId="8" xfId="0" applyFont="1" applyFill="1" applyBorder="1"/>
    <xf numFmtId="0" fontId="9" fillId="12" borderId="1" xfId="0" applyFont="1" applyFill="1" applyBorder="1" applyAlignment="1">
      <alignment horizontal="center" vertical="center" wrapText="1"/>
    </xf>
    <xf numFmtId="0" fontId="10" fillId="12" borderId="4" xfId="0" applyFont="1" applyFill="1" applyBorder="1" applyAlignment="1">
      <alignment horizontal="justify" vertical="center" wrapText="1"/>
    </xf>
    <xf numFmtId="0" fontId="10" fillId="12" borderId="4" xfId="0" applyFont="1" applyFill="1" applyBorder="1" applyAlignment="1">
      <alignment vertical="center" wrapText="1"/>
    </xf>
    <xf numFmtId="0" fontId="10" fillId="12" borderId="4" xfId="0" applyFont="1" applyFill="1" applyBorder="1" applyAlignment="1">
      <alignment horizontal="center" vertical="center" wrapText="1"/>
    </xf>
    <xf numFmtId="2" fontId="10" fillId="12" borderId="4" xfId="0" applyNumberFormat="1" applyFont="1" applyFill="1" applyBorder="1" applyAlignment="1">
      <alignment horizontal="right" vertical="center" wrapText="1"/>
    </xf>
    <xf numFmtId="41" fontId="10" fillId="12" borderId="4" xfId="9" applyNumberFormat="1" applyFont="1" applyFill="1" applyBorder="1" applyAlignment="1">
      <alignment horizontal="right" vertical="center" wrapText="1"/>
    </xf>
    <xf numFmtId="175" fontId="10" fillId="12" borderId="4" xfId="9" applyNumberFormat="1" applyFont="1" applyFill="1" applyBorder="1" applyAlignment="1">
      <alignment horizontal="right" vertical="center" wrapText="1"/>
    </xf>
    <xf numFmtId="1" fontId="10" fillId="12" borderId="4" xfId="0" applyNumberFormat="1" applyFont="1" applyFill="1" applyBorder="1" applyAlignment="1">
      <alignment horizontal="center" vertical="center" wrapText="1"/>
    </xf>
    <xf numFmtId="0" fontId="17" fillId="7" borderId="41" xfId="0" applyFont="1" applyFill="1" applyBorder="1" applyAlignment="1">
      <alignment vertical="center" wrapText="1"/>
    </xf>
    <xf numFmtId="0" fontId="17" fillId="7" borderId="0" xfId="0" applyFont="1" applyFill="1" applyAlignment="1">
      <alignment vertical="center" textRotation="90" wrapText="1"/>
    </xf>
    <xf numFmtId="0" fontId="17" fillId="7" borderId="17" xfId="0" applyFont="1" applyFill="1" applyBorder="1" applyAlignment="1">
      <alignment vertical="center" textRotation="90" wrapText="1"/>
    </xf>
    <xf numFmtId="0" fontId="17" fillId="7" borderId="13" xfId="0" applyFont="1" applyFill="1" applyBorder="1" applyAlignment="1">
      <alignment vertical="center" wrapText="1"/>
    </xf>
    <xf numFmtId="41" fontId="17" fillId="7" borderId="1" xfId="11" applyNumberFormat="1" applyFont="1" applyFill="1" applyBorder="1" applyAlignment="1">
      <alignment vertical="center" wrapText="1"/>
    </xf>
    <xf numFmtId="43" fontId="17" fillId="7" borderId="1" xfId="11" applyFont="1" applyFill="1" applyBorder="1" applyAlignment="1">
      <alignment vertical="center" wrapText="1"/>
    </xf>
    <xf numFmtId="1" fontId="17" fillId="7" borderId="1" xfId="12" applyNumberFormat="1" applyFont="1" applyFill="1" applyBorder="1" applyAlignment="1">
      <alignment horizontal="center" vertical="center" wrapText="1"/>
    </xf>
    <xf numFmtId="0" fontId="17" fillId="7" borderId="1" xfId="0" applyFont="1" applyFill="1" applyBorder="1" applyAlignment="1">
      <alignment horizontal="center" vertical="center" wrapText="1"/>
    </xf>
    <xf numFmtId="3" fontId="17" fillId="7" borderId="6" xfId="0" applyNumberFormat="1" applyFont="1" applyFill="1" applyBorder="1" applyAlignment="1">
      <alignment horizontal="center" vertical="center" wrapText="1"/>
    </xf>
    <xf numFmtId="0" fontId="17" fillId="7" borderId="0" xfId="0" applyFont="1" applyFill="1"/>
    <xf numFmtId="3" fontId="17" fillId="7" borderId="13" xfId="0" applyNumberFormat="1" applyFont="1" applyFill="1" applyBorder="1" applyAlignment="1">
      <alignment horizontal="center" vertical="center" wrapText="1"/>
    </xf>
    <xf numFmtId="0" fontId="17" fillId="7" borderId="1" xfId="0" applyFont="1" applyFill="1" applyBorder="1" applyAlignment="1">
      <alignment vertical="center" wrapText="1"/>
    </xf>
    <xf numFmtId="3" fontId="17" fillId="7" borderId="18" xfId="0" applyNumberFormat="1" applyFont="1" applyFill="1" applyBorder="1" applyAlignment="1">
      <alignment horizontal="center" vertical="center" wrapText="1"/>
    </xf>
    <xf numFmtId="0" fontId="17" fillId="7" borderId="7" xfId="0" applyFont="1" applyFill="1" applyBorder="1" applyAlignment="1">
      <alignment horizontal="justify" vertical="center" wrapText="1"/>
    </xf>
    <xf numFmtId="41" fontId="17" fillId="7" borderId="6" xfId="11" applyNumberFormat="1" applyFont="1" applyFill="1" applyBorder="1" applyAlignment="1">
      <alignment horizontal="right" vertical="center" wrapText="1"/>
    </xf>
    <xf numFmtId="43" fontId="17" fillId="7" borderId="6" xfId="11" applyFont="1" applyFill="1" applyBorder="1" applyAlignment="1">
      <alignment horizontal="right" vertical="center" wrapText="1"/>
    </xf>
    <xf numFmtId="1" fontId="17" fillId="7" borderId="1" xfId="0" applyNumberFormat="1" applyFont="1" applyFill="1" applyBorder="1" applyAlignment="1">
      <alignment horizontal="center" vertical="center" wrapText="1"/>
    </xf>
    <xf numFmtId="0" fontId="17" fillId="7" borderId="6" xfId="0" applyFont="1" applyFill="1" applyBorder="1" applyAlignment="1">
      <alignment horizontal="center" vertical="center" wrapText="1"/>
    </xf>
    <xf numFmtId="41" fontId="17" fillId="7" borderId="1" xfId="11" applyNumberFormat="1" applyFont="1" applyFill="1" applyBorder="1" applyAlignment="1">
      <alignment horizontal="right" vertical="center" wrapText="1"/>
    </xf>
    <xf numFmtId="43" fontId="17" fillId="7" borderId="1" xfId="11" applyFont="1" applyFill="1" applyBorder="1" applyAlignment="1">
      <alignment horizontal="right" vertical="center" wrapText="1"/>
    </xf>
    <xf numFmtId="0" fontId="17" fillId="7" borderId="13" xfId="0" applyFont="1" applyFill="1" applyBorder="1" applyAlignment="1">
      <alignment horizontal="center" vertical="center" wrapText="1"/>
    </xf>
    <xf numFmtId="0" fontId="17" fillId="0" borderId="14" xfId="0" applyFont="1" applyBorder="1" applyAlignment="1">
      <alignment horizontal="justify" vertical="center" wrapText="1"/>
    </xf>
    <xf numFmtId="0" fontId="17" fillId="0" borderId="7" xfId="0" applyFont="1" applyBorder="1" applyAlignment="1">
      <alignment horizontal="justify" vertical="center" wrapText="1"/>
    </xf>
    <xf numFmtId="0" fontId="17" fillId="0" borderId="3" xfId="0" applyFont="1" applyBorder="1" applyAlignment="1">
      <alignment horizontal="justify" vertical="center" wrapText="1"/>
    </xf>
    <xf numFmtId="43" fontId="17" fillId="7" borderId="18" xfId="11" applyFont="1" applyFill="1" applyBorder="1" applyAlignment="1">
      <alignment vertical="center" wrapText="1"/>
    </xf>
    <xf numFmtId="0" fontId="17" fillId="7" borderId="13" xfId="0" applyFont="1" applyFill="1" applyBorder="1" applyAlignment="1">
      <alignment horizontal="justify" vertical="center" wrapText="1"/>
    </xf>
    <xf numFmtId="43" fontId="17" fillId="7" borderId="13" xfId="11" applyFont="1" applyFill="1" applyBorder="1" applyAlignment="1">
      <alignment vertical="center" wrapText="1"/>
    </xf>
    <xf numFmtId="0" fontId="17" fillId="7" borderId="1" xfId="0" applyFont="1" applyFill="1" applyBorder="1" applyAlignment="1">
      <alignment horizontal="justify" vertical="center" wrapText="1"/>
    </xf>
    <xf numFmtId="0" fontId="17" fillId="7" borderId="1" xfId="0" applyFont="1" applyFill="1" applyBorder="1" applyAlignment="1">
      <alignment horizontal="left" vertical="center" wrapText="1"/>
    </xf>
    <xf numFmtId="0" fontId="17" fillId="7" borderId="18"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17" fillId="12" borderId="4" xfId="0" applyFont="1" applyFill="1" applyBorder="1" applyAlignment="1">
      <alignment horizontal="justify" vertical="center" wrapText="1"/>
    </xf>
    <xf numFmtId="0" fontId="17" fillId="12" borderId="4" xfId="0" applyFont="1" applyFill="1" applyBorder="1" applyAlignment="1">
      <alignment vertical="center" wrapText="1"/>
    </xf>
    <xf numFmtId="0" fontId="17" fillId="12" borderId="4" xfId="0" applyFont="1" applyFill="1" applyBorder="1" applyAlignment="1">
      <alignment horizontal="center" vertical="center" wrapText="1"/>
    </xf>
    <xf numFmtId="43" fontId="17" fillId="12" borderId="4" xfId="11" applyFont="1" applyFill="1" applyBorder="1" applyAlignment="1">
      <alignment vertical="center" wrapText="1"/>
    </xf>
    <xf numFmtId="43" fontId="17" fillId="12" borderId="4" xfId="11" applyFont="1" applyFill="1" applyBorder="1" applyAlignment="1">
      <alignment horizontal="right" vertical="center" wrapText="1"/>
    </xf>
    <xf numFmtId="43" fontId="17" fillId="12" borderId="1" xfId="11" applyFont="1" applyFill="1" applyBorder="1" applyAlignment="1">
      <alignment horizontal="right" vertical="center" wrapText="1"/>
    </xf>
    <xf numFmtId="1" fontId="17" fillId="12" borderId="4" xfId="0" applyNumberFormat="1" applyFont="1" applyFill="1" applyBorder="1" applyAlignment="1">
      <alignment horizontal="center" vertical="center" wrapText="1"/>
    </xf>
    <xf numFmtId="43" fontId="17" fillId="12" borderId="3" xfId="11" applyFont="1" applyFill="1" applyBorder="1" applyAlignment="1">
      <alignment vertical="center" wrapText="1"/>
    </xf>
    <xf numFmtId="0" fontId="17" fillId="12" borderId="1" xfId="0" applyFont="1" applyFill="1" applyBorder="1" applyAlignment="1">
      <alignment vertical="center" wrapText="1"/>
    </xf>
    <xf numFmtId="0" fontId="17" fillId="12" borderId="39" xfId="0" applyFont="1" applyFill="1" applyBorder="1" applyAlignment="1">
      <alignment vertical="center" wrapText="1"/>
    </xf>
    <xf numFmtId="0" fontId="17" fillId="0" borderId="0" xfId="0" applyFont="1"/>
    <xf numFmtId="0" fontId="17" fillId="7" borderId="17" xfId="0" applyFont="1" applyFill="1" applyBorder="1" applyAlignment="1">
      <alignment vertical="center" wrapText="1"/>
    </xf>
    <xf numFmtId="4" fontId="17" fillId="7" borderId="1" xfId="0" applyNumberFormat="1" applyFont="1" applyFill="1" applyBorder="1" applyAlignment="1">
      <alignment horizontal="right" vertical="center" wrapText="1"/>
    </xf>
    <xf numFmtId="43" fontId="17" fillId="7" borderId="6" xfId="11" applyFont="1" applyFill="1" applyBorder="1" applyAlignment="1">
      <alignment horizontal="center" vertical="center" wrapText="1"/>
    </xf>
    <xf numFmtId="0" fontId="17" fillId="7" borderId="3" xfId="0" applyFont="1" applyFill="1" applyBorder="1" applyAlignment="1">
      <alignment horizontal="justify" vertical="center" wrapText="1"/>
    </xf>
    <xf numFmtId="4" fontId="17" fillId="0" borderId="1" xfId="0" applyNumberFormat="1" applyFont="1" applyBorder="1" applyAlignment="1">
      <alignment horizontal="right" vertical="center" wrapText="1"/>
    </xf>
    <xf numFmtId="43" fontId="17" fillId="7" borderId="1" xfId="11" applyFont="1" applyFill="1" applyBorder="1" applyAlignment="1">
      <alignment horizontal="center" vertical="center" wrapText="1"/>
    </xf>
    <xf numFmtId="0" fontId="18" fillId="7" borderId="40"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18" fillId="7" borderId="8" xfId="0" applyFont="1" applyFill="1" applyBorder="1"/>
    <xf numFmtId="0" fontId="18" fillId="14" borderId="8" xfId="0" applyFont="1" applyFill="1" applyBorder="1" applyAlignment="1">
      <alignment horizontal="center" vertical="center" wrapText="1"/>
    </xf>
    <xf numFmtId="0" fontId="18" fillId="14" borderId="4" xfId="0" applyFont="1" applyFill="1" applyBorder="1" applyAlignment="1">
      <alignment horizontal="justify" vertical="center" wrapText="1"/>
    </xf>
    <xf numFmtId="0" fontId="18" fillId="14" borderId="4" xfId="0" applyFont="1" applyFill="1" applyBorder="1" applyAlignment="1">
      <alignment vertical="center" wrapText="1"/>
    </xf>
    <xf numFmtId="0" fontId="18" fillId="14" borderId="4" xfId="0" applyFont="1" applyFill="1" applyBorder="1" applyAlignment="1">
      <alignment horizontal="center" vertical="center" wrapText="1"/>
    </xf>
    <xf numFmtId="43" fontId="18" fillId="14" borderId="4" xfId="11" applyFont="1" applyFill="1" applyBorder="1" applyAlignment="1">
      <alignment vertical="center" wrapText="1"/>
    </xf>
    <xf numFmtId="41" fontId="18" fillId="14" borderId="1" xfId="11" applyNumberFormat="1" applyFont="1" applyFill="1" applyBorder="1" applyAlignment="1">
      <alignment horizontal="right" vertical="center" wrapText="1"/>
    </xf>
    <xf numFmtId="43" fontId="18" fillId="14" borderId="4" xfId="11" applyFont="1" applyFill="1" applyBorder="1" applyAlignment="1">
      <alignment horizontal="right" vertical="center" wrapText="1"/>
    </xf>
    <xf numFmtId="43" fontId="18" fillId="14" borderId="1" xfId="11" applyFont="1" applyFill="1" applyBorder="1" applyAlignment="1">
      <alignment horizontal="right" vertical="center" wrapText="1"/>
    </xf>
    <xf numFmtId="1" fontId="18" fillId="14" borderId="4" xfId="0" applyNumberFormat="1" applyFont="1" applyFill="1" applyBorder="1" applyAlignment="1">
      <alignment horizontal="center" vertical="center" wrapText="1"/>
    </xf>
    <xf numFmtId="0" fontId="18" fillId="14" borderId="39" xfId="0" applyFont="1" applyFill="1" applyBorder="1" applyAlignment="1">
      <alignment vertical="center" wrapText="1"/>
    </xf>
    <xf numFmtId="0" fontId="18" fillId="0" borderId="0" xfId="0" applyFont="1"/>
    <xf numFmtId="0" fontId="18" fillId="7" borderId="41" xfId="0" applyFont="1" applyFill="1" applyBorder="1" applyAlignment="1">
      <alignment horizontal="center" vertical="center" wrapText="1"/>
    </xf>
    <xf numFmtId="0" fontId="18" fillId="7" borderId="0" xfId="0" applyFont="1" applyFill="1" applyAlignment="1">
      <alignment horizontal="center" vertical="center" wrapText="1"/>
    </xf>
    <xf numFmtId="0" fontId="18" fillId="7" borderId="6" xfId="0" applyFont="1" applyFill="1" applyBorder="1" applyAlignment="1">
      <alignment horizontal="center" vertical="center" wrapText="1"/>
    </xf>
    <xf numFmtId="0" fontId="18" fillId="7" borderId="9" xfId="0" applyFont="1" applyFill="1" applyBorder="1"/>
    <xf numFmtId="0" fontId="18" fillId="12" borderId="4" xfId="0" applyFont="1" applyFill="1" applyBorder="1" applyAlignment="1">
      <alignment vertical="center" wrapText="1"/>
    </xf>
    <xf numFmtId="0" fontId="18" fillId="12" borderId="4" xfId="0" applyFont="1" applyFill="1" applyBorder="1" applyAlignment="1">
      <alignment horizontal="center" vertical="center" wrapText="1"/>
    </xf>
    <xf numFmtId="0" fontId="18" fillId="12" borderId="4" xfId="0" applyFont="1" applyFill="1" applyBorder="1" applyAlignment="1">
      <alignment horizontal="justify" vertical="center" wrapText="1"/>
    </xf>
    <xf numFmtId="43" fontId="18" fillId="12" borderId="4" xfId="11" applyFont="1" applyFill="1" applyBorder="1" applyAlignment="1">
      <alignment vertical="center" wrapText="1"/>
    </xf>
    <xf numFmtId="41" fontId="18" fillId="12" borderId="1" xfId="11" applyNumberFormat="1" applyFont="1" applyFill="1" applyBorder="1" applyAlignment="1">
      <alignment horizontal="right" vertical="center" wrapText="1"/>
    </xf>
    <xf numFmtId="43" fontId="18" fillId="12" borderId="4" xfId="11" applyFont="1" applyFill="1" applyBorder="1" applyAlignment="1">
      <alignment horizontal="right" vertical="center" wrapText="1"/>
    </xf>
    <xf numFmtId="43" fontId="18" fillId="12" borderId="1" xfId="11" applyFont="1" applyFill="1" applyBorder="1" applyAlignment="1">
      <alignment horizontal="right" vertical="center" wrapText="1"/>
    </xf>
    <xf numFmtId="1" fontId="18" fillId="12" borderId="4" xfId="0" applyNumberFormat="1" applyFont="1" applyFill="1" applyBorder="1" applyAlignment="1">
      <alignment horizontal="center" vertical="center" wrapText="1"/>
    </xf>
    <xf numFmtId="0" fontId="18" fillId="12" borderId="39" xfId="0" applyFont="1" applyFill="1" applyBorder="1" applyAlignment="1">
      <alignment vertical="center" wrapText="1"/>
    </xf>
    <xf numFmtId="41" fontId="17" fillId="7" borderId="1" xfId="0" applyNumberFormat="1" applyFont="1" applyFill="1" applyBorder="1" applyAlignment="1">
      <alignment horizontal="right" vertical="center" wrapText="1"/>
    </xf>
    <xf numFmtId="1" fontId="17" fillId="7" borderId="3" xfId="0" applyNumberFormat="1" applyFont="1" applyFill="1" applyBorder="1" applyAlignment="1">
      <alignment horizontal="center" vertical="center" wrapText="1"/>
    </xf>
    <xf numFmtId="41" fontId="17" fillId="7" borderId="6" xfId="0" applyNumberFormat="1" applyFont="1" applyFill="1" applyBorder="1" applyAlignment="1">
      <alignment horizontal="right" vertical="center" wrapText="1"/>
    </xf>
    <xf numFmtId="1" fontId="17" fillId="7" borderId="7" xfId="0" applyNumberFormat="1" applyFont="1" applyFill="1" applyBorder="1" applyAlignment="1">
      <alignment horizontal="center" vertical="center" wrapText="1"/>
    </xf>
    <xf numFmtId="1" fontId="17" fillId="7" borderId="6" xfId="0" applyNumberFormat="1" applyFont="1" applyFill="1" applyBorder="1" applyAlignment="1">
      <alignment horizontal="center" vertical="center" wrapText="1"/>
    </xf>
    <xf numFmtId="41" fontId="17" fillId="0" borderId="45" xfId="0" applyNumberFormat="1" applyFont="1" applyBorder="1" applyAlignment="1">
      <alignment horizontal="right" vertical="center"/>
    </xf>
    <xf numFmtId="0" fontId="17" fillId="0" borderId="46" xfId="0" applyFont="1" applyBorder="1" applyAlignment="1">
      <alignment horizontal="center" vertical="center"/>
    </xf>
    <xf numFmtId="0" fontId="17" fillId="0" borderId="47" xfId="0" applyFont="1" applyBorder="1" applyAlignment="1">
      <alignment horizontal="center" vertical="center"/>
    </xf>
    <xf numFmtId="41" fontId="17" fillId="0" borderId="47" xfId="0" applyNumberFormat="1" applyFont="1" applyBorder="1" applyAlignment="1">
      <alignment horizontal="right" vertical="center" wrapText="1"/>
    </xf>
    <xf numFmtId="1" fontId="17" fillId="7" borderId="2" xfId="0" applyNumberFormat="1" applyFont="1" applyFill="1" applyBorder="1" applyAlignment="1">
      <alignment horizontal="center" vertical="center" wrapText="1"/>
    </xf>
    <xf numFmtId="1" fontId="17" fillId="7" borderId="15" xfId="0" applyNumberFormat="1" applyFont="1" applyFill="1" applyBorder="1" applyAlignment="1">
      <alignment horizontal="center" vertical="center" wrapText="1"/>
    </xf>
    <xf numFmtId="41" fontId="17" fillId="0" borderId="13" xfId="0" applyNumberFormat="1" applyFont="1" applyBorder="1" applyAlignment="1">
      <alignment horizontal="right" vertical="center" wrapText="1"/>
    </xf>
    <xf numFmtId="174" fontId="17" fillId="7" borderId="3" xfId="0" applyNumberFormat="1" applyFont="1" applyFill="1" applyBorder="1" applyAlignment="1">
      <alignment horizontal="center" vertical="center" wrapText="1"/>
    </xf>
    <xf numFmtId="174" fontId="17" fillId="7" borderId="1" xfId="0" applyNumberFormat="1" applyFont="1" applyFill="1" applyBorder="1" applyAlignment="1">
      <alignment vertical="center" wrapText="1"/>
    </xf>
    <xf numFmtId="41" fontId="17" fillId="0" borderId="6" xfId="0" applyNumberFormat="1" applyFont="1" applyBorder="1" applyAlignment="1">
      <alignment horizontal="right" vertical="center" wrapText="1"/>
    </xf>
    <xf numFmtId="0" fontId="17" fillId="7" borderId="41" xfId="0" applyFont="1" applyFill="1" applyBorder="1" applyAlignment="1">
      <alignment horizontal="center" vertical="center" wrapText="1"/>
    </xf>
    <xf numFmtId="0" fontId="17" fillId="7" borderId="0" xfId="0" applyFont="1" applyFill="1" applyAlignment="1">
      <alignment horizontal="center" vertical="center" wrapText="1"/>
    </xf>
    <xf numFmtId="41" fontId="17" fillId="12" borderId="1" xfId="11" applyNumberFormat="1" applyFont="1" applyFill="1" applyBorder="1" applyAlignment="1">
      <alignment horizontal="right" vertical="center" wrapText="1"/>
    </xf>
    <xf numFmtId="0" fontId="17" fillId="7" borderId="16" xfId="0" applyFont="1" applyFill="1" applyBorder="1" applyAlignment="1">
      <alignment horizontal="justify" vertical="center" wrapText="1"/>
    </xf>
    <xf numFmtId="41" fontId="17" fillId="7" borderId="16" xfId="11" applyNumberFormat="1" applyFont="1" applyFill="1" applyBorder="1" applyAlignment="1">
      <alignment horizontal="right" vertical="center" wrapText="1"/>
    </xf>
    <xf numFmtId="0" fontId="17" fillId="0" borderId="6" xfId="0" applyFont="1" applyBorder="1" applyAlignment="1">
      <alignment horizontal="center" vertical="center"/>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176" fontId="17" fillId="0" borderId="21" xfId="0" applyNumberFormat="1" applyFont="1" applyBorder="1" applyAlignment="1">
      <alignment horizontal="center" vertical="center" wrapText="1"/>
    </xf>
    <xf numFmtId="0" fontId="17" fillId="0" borderId="21" xfId="0" applyFont="1" applyBorder="1" applyAlignment="1">
      <alignment horizontal="justify" vertical="center" wrapText="1"/>
    </xf>
    <xf numFmtId="0" fontId="18" fillId="0" borderId="21" xfId="0" applyFont="1" applyBorder="1" applyAlignment="1">
      <alignment horizontal="justify" vertical="center" wrapText="1"/>
    </xf>
    <xf numFmtId="10" fontId="17" fillId="0" borderId="21" xfId="0" applyNumberFormat="1" applyFont="1" applyBorder="1" applyAlignment="1">
      <alignment horizontal="center" vertical="center" wrapText="1"/>
    </xf>
    <xf numFmtId="43" fontId="18" fillId="0" borderId="25" xfId="11" applyFont="1" applyBorder="1" applyAlignment="1">
      <alignment horizontal="right" vertical="center" wrapText="1"/>
    </xf>
    <xf numFmtId="41" fontId="18" fillId="0" borderId="25" xfId="11" applyNumberFormat="1" applyFont="1" applyBorder="1" applyAlignment="1">
      <alignment horizontal="right" vertical="center" wrapText="1"/>
    </xf>
    <xf numFmtId="43" fontId="18" fillId="0" borderId="23" xfId="11" applyFont="1" applyBorder="1" applyAlignment="1">
      <alignment horizontal="right" vertical="center" wrapText="1"/>
    </xf>
    <xf numFmtId="1" fontId="17" fillId="0" borderId="20" xfId="0" applyNumberFormat="1" applyFont="1" applyBorder="1" applyAlignment="1">
      <alignment horizontal="center" vertical="center" wrapText="1"/>
    </xf>
    <xf numFmtId="0" fontId="17" fillId="0" borderId="23" xfId="0" applyFont="1" applyBorder="1" applyAlignment="1">
      <alignment horizontal="center" vertical="center" wrapText="1"/>
    </xf>
    <xf numFmtId="0" fontId="17" fillId="0" borderId="21" xfId="0" applyFont="1" applyBorder="1" applyAlignment="1">
      <alignment horizontal="center" vertical="center" textRotation="180" wrapText="1"/>
    </xf>
    <xf numFmtId="49" fontId="17" fillId="0" borderId="21" xfId="0" applyNumberFormat="1" applyFont="1" applyBorder="1" applyAlignment="1">
      <alignment horizontal="center" vertical="center" textRotation="180" wrapText="1"/>
    </xf>
    <xf numFmtId="1" fontId="17" fillId="0" borderId="21" xfId="0" applyNumberFormat="1" applyFont="1" applyBorder="1" applyAlignment="1">
      <alignment horizontal="center" vertical="center" wrapText="1"/>
    </xf>
    <xf numFmtId="10" fontId="17" fillId="0" borderId="21" xfId="0" applyNumberFormat="1" applyFont="1" applyBorder="1" applyAlignment="1">
      <alignment horizontal="center"/>
    </xf>
    <xf numFmtId="0" fontId="17" fillId="0" borderId="21" xfId="0" applyFont="1" applyBorder="1" applyAlignment="1">
      <alignment vertical="center"/>
    </xf>
    <xf numFmtId="0" fontId="17" fillId="0" borderId="23" xfId="0" applyFont="1" applyBorder="1"/>
    <xf numFmtId="0" fontId="10" fillId="7" borderId="0" xfId="0" applyFont="1" applyFill="1" applyAlignment="1">
      <alignment horizontal="justify" vertical="center" wrapText="1"/>
    </xf>
    <xf numFmtId="0" fontId="10" fillId="7" borderId="0" xfId="0" applyFont="1" applyFill="1"/>
    <xf numFmtId="0" fontId="10" fillId="7" borderId="0" xfId="0" applyFont="1" applyFill="1" applyAlignment="1">
      <alignment horizontal="center" vertical="center"/>
    </xf>
    <xf numFmtId="2" fontId="10" fillId="7" borderId="0" xfId="0" applyNumberFormat="1" applyFont="1" applyFill="1" applyAlignment="1">
      <alignment horizontal="right"/>
    </xf>
    <xf numFmtId="41" fontId="10" fillId="7" borderId="0" xfId="0" applyNumberFormat="1" applyFont="1" applyFill="1" applyAlignment="1">
      <alignment horizontal="right" vertical="center"/>
    </xf>
    <xf numFmtId="175" fontId="10" fillId="7" borderId="0" xfId="0" applyNumberFormat="1" applyFont="1" applyFill="1" applyAlignment="1">
      <alignment horizontal="right" vertical="center"/>
    </xf>
    <xf numFmtId="1" fontId="10" fillId="7" borderId="0" xfId="0" applyNumberFormat="1" applyFont="1" applyFill="1" applyAlignment="1">
      <alignment horizontal="center" vertical="center"/>
    </xf>
    <xf numFmtId="0" fontId="10" fillId="7" borderId="0" xfId="0" applyFont="1" applyFill="1" applyAlignment="1">
      <alignment horizontal="justify" vertical="center"/>
    </xf>
    <xf numFmtId="1" fontId="10" fillId="0" borderId="0" xfId="0" applyNumberFormat="1" applyFont="1" applyAlignment="1">
      <alignment horizontal="center" vertical="center"/>
    </xf>
    <xf numFmtId="174" fontId="10" fillId="0" borderId="0" xfId="0" applyNumberFormat="1" applyFont="1" applyAlignment="1">
      <alignment horizontal="center"/>
    </xf>
    <xf numFmtId="174" fontId="10" fillId="0" borderId="0" xfId="0" applyNumberFormat="1" applyFont="1" applyAlignment="1">
      <alignment horizontal="left"/>
    </xf>
    <xf numFmtId="10" fontId="10" fillId="0" borderId="0" xfId="0" applyNumberFormat="1" applyFont="1" applyAlignment="1">
      <alignment horizontal="center"/>
    </xf>
    <xf numFmtId="0" fontId="10" fillId="0" borderId="0" xfId="0" applyFont="1" applyAlignment="1">
      <alignment horizontal="justify" vertical="center" wrapText="1"/>
    </xf>
    <xf numFmtId="0" fontId="10" fillId="0" borderId="0" xfId="0" applyFont="1" applyAlignment="1">
      <alignment vertical="center"/>
    </xf>
    <xf numFmtId="0" fontId="10" fillId="7" borderId="0" xfId="0" applyFont="1" applyFill="1" applyAlignment="1">
      <alignment horizontal="center"/>
    </xf>
    <xf numFmtId="2" fontId="10" fillId="7" borderId="0" xfId="0" applyNumberFormat="1" applyFont="1" applyFill="1" applyAlignment="1">
      <alignment horizontal="right" vertical="center"/>
    </xf>
    <xf numFmtId="171" fontId="10" fillId="7" borderId="0" xfId="0" applyNumberFormat="1" applyFont="1" applyFill="1" applyAlignment="1">
      <alignment horizontal="justify" vertical="center" wrapText="1"/>
    </xf>
    <xf numFmtId="171" fontId="10" fillId="7" borderId="0" xfId="0" applyNumberFormat="1" applyFont="1" applyFill="1" applyAlignment="1">
      <alignment horizontal="center" vertical="center" wrapText="1"/>
    </xf>
    <xf numFmtId="171" fontId="10" fillId="7" borderId="0" xfId="0" applyNumberFormat="1" applyFont="1" applyFill="1" applyAlignment="1">
      <alignment horizontal="center" vertical="center"/>
    </xf>
    <xf numFmtId="3" fontId="10" fillId="7" borderId="0" xfId="0" applyNumberFormat="1" applyFont="1" applyFill="1" applyAlignment="1">
      <alignment horizontal="center" vertical="center"/>
    </xf>
    <xf numFmtId="174" fontId="10" fillId="0" borderId="0" xfId="0" applyNumberFormat="1" applyFont="1"/>
    <xf numFmtId="0" fontId="10" fillId="0" borderId="0" xfId="0" applyFont="1" applyAlignment="1">
      <alignment horizontal="right" vertical="center"/>
    </xf>
    <xf numFmtId="166" fontId="10" fillId="0" borderId="0" xfId="0" applyNumberFormat="1" applyFont="1" applyAlignment="1">
      <alignment horizontal="center"/>
    </xf>
    <xf numFmtId="0" fontId="10" fillId="0" borderId="0" xfId="0" applyFont="1" applyAlignment="1">
      <alignment horizontal="left"/>
    </xf>
    <xf numFmtId="41" fontId="9" fillId="0" borderId="0" xfId="0" applyNumberFormat="1" applyFont="1" applyAlignment="1">
      <alignment horizontal="right" vertical="center"/>
    </xf>
    <xf numFmtId="175" fontId="9" fillId="0" borderId="0" xfId="0" applyNumberFormat="1" applyFont="1" applyAlignment="1">
      <alignment horizontal="right" vertical="center"/>
    </xf>
    <xf numFmtId="177" fontId="10" fillId="0" borderId="0" xfId="14" applyFont="1" applyAlignment="1">
      <alignment horizontal="justify" vertical="center"/>
    </xf>
    <xf numFmtId="0" fontId="3" fillId="0" borderId="0" xfId="0" applyFont="1"/>
    <xf numFmtId="0" fontId="3" fillId="0" borderId="0" xfId="0" applyFont="1" applyAlignment="1">
      <alignment horizontal="center"/>
    </xf>
    <xf numFmtId="41" fontId="3" fillId="0" borderId="0" xfId="0" applyNumberFormat="1" applyFont="1"/>
    <xf numFmtId="0" fontId="10" fillId="0" borderId="0" xfId="0" applyFont="1" applyAlignment="1" applyProtection="1">
      <alignment wrapText="1"/>
    </xf>
    <xf numFmtId="0" fontId="9" fillId="0" borderId="1" xfId="0" applyFont="1" applyBorder="1" applyAlignment="1" applyProtection="1">
      <alignment horizontal="center" vertical="center"/>
    </xf>
    <xf numFmtId="3" fontId="19" fillId="4" borderId="4" xfId="0" applyNumberFormat="1"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xf>
    <xf numFmtId="0" fontId="10" fillId="7" borderId="0" xfId="0" applyFont="1" applyFill="1" applyProtection="1"/>
    <xf numFmtId="0" fontId="9"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textRotation="255" wrapText="1"/>
    </xf>
    <xf numFmtId="49" fontId="9" fillId="3" borderId="1" xfId="0" applyNumberFormat="1" applyFont="1" applyFill="1" applyBorder="1" applyAlignment="1" applyProtection="1">
      <alignment horizontal="center" vertical="center" textRotation="255" wrapText="1"/>
    </xf>
    <xf numFmtId="3" fontId="9" fillId="3" borderId="17" xfId="0" applyNumberFormat="1" applyFont="1" applyFill="1" applyBorder="1" applyAlignment="1" applyProtection="1">
      <alignment horizontal="center" vertical="center" wrapText="1"/>
    </xf>
    <xf numFmtId="1" fontId="9" fillId="10" borderId="7" xfId="0" applyNumberFormat="1" applyFont="1" applyFill="1" applyBorder="1" applyAlignment="1" applyProtection="1">
      <alignment horizontal="left" vertical="center"/>
    </xf>
    <xf numFmtId="0" fontId="9" fillId="10" borderId="9" xfId="0" applyFont="1" applyFill="1" applyBorder="1" applyAlignment="1" applyProtection="1">
      <alignment horizontal="left" vertical="center"/>
    </xf>
    <xf numFmtId="0" fontId="9" fillId="10" borderId="9" xfId="0" applyFont="1" applyFill="1" applyBorder="1" applyAlignment="1" applyProtection="1">
      <alignment horizontal="justify" vertical="center"/>
    </xf>
    <xf numFmtId="0" fontId="9" fillId="10" borderId="9" xfId="0" applyFont="1" applyFill="1" applyBorder="1" applyAlignment="1" applyProtection="1">
      <alignment horizontal="center" vertical="center"/>
    </xf>
    <xf numFmtId="172" fontId="9" fillId="10" borderId="9" xfId="0" applyNumberFormat="1" applyFont="1" applyFill="1" applyBorder="1" applyAlignment="1" applyProtection="1">
      <alignment horizontal="left" vertical="center"/>
    </xf>
    <xf numFmtId="171" fontId="9" fillId="10" borderId="9" xfId="0" applyNumberFormat="1" applyFont="1" applyFill="1" applyBorder="1" applyAlignment="1" applyProtection="1">
      <alignment horizontal="left" vertical="center"/>
    </xf>
    <xf numFmtId="170" fontId="9" fillId="10" borderId="9" xfId="0" applyNumberFormat="1" applyFont="1" applyFill="1" applyBorder="1" applyAlignment="1" applyProtection="1">
      <alignment horizontal="left" vertical="center"/>
    </xf>
    <xf numFmtId="0" fontId="14" fillId="10" borderId="9" xfId="0" applyFont="1" applyFill="1" applyBorder="1" applyProtection="1"/>
    <xf numFmtId="0" fontId="14" fillId="10" borderId="8" xfId="0" applyFont="1" applyFill="1" applyBorder="1" applyAlignment="1" applyProtection="1">
      <alignment horizontal="justify"/>
    </xf>
    <xf numFmtId="0" fontId="14" fillId="0" borderId="0" xfId="0" applyFont="1" applyProtection="1"/>
    <xf numFmtId="1" fontId="9" fillId="7" borderId="7" xfId="0" applyNumberFormat="1" applyFont="1" applyFill="1" applyBorder="1" applyAlignment="1" applyProtection="1">
      <alignment horizontal="center" vertical="center" wrapText="1"/>
    </xf>
    <xf numFmtId="1" fontId="9" fillId="7" borderId="9" xfId="0" applyNumberFormat="1" applyFont="1" applyFill="1" applyBorder="1" applyAlignment="1" applyProtection="1">
      <alignment horizontal="center" vertical="center" wrapText="1"/>
    </xf>
    <xf numFmtId="1" fontId="9" fillId="7" borderId="8" xfId="0" applyNumberFormat="1" applyFont="1" applyFill="1" applyBorder="1" applyAlignment="1" applyProtection="1">
      <alignment horizontal="center" vertical="center" wrapText="1"/>
    </xf>
    <xf numFmtId="1" fontId="9" fillId="11" borderId="9" xfId="0" applyNumberFormat="1" applyFont="1" applyFill="1" applyBorder="1" applyAlignment="1" applyProtection="1">
      <alignment horizontal="left" vertical="center"/>
    </xf>
    <xf numFmtId="0" fontId="9" fillId="11" borderId="9" xfId="0" applyFont="1" applyFill="1" applyBorder="1" applyAlignment="1" applyProtection="1">
      <alignment horizontal="left" vertical="center"/>
    </xf>
    <xf numFmtId="0" fontId="9" fillId="11" borderId="9" xfId="0" applyFont="1" applyFill="1" applyBorder="1" applyAlignment="1" applyProtection="1">
      <alignment horizontal="justify" vertical="center"/>
    </xf>
    <xf numFmtId="0" fontId="9" fillId="11" borderId="9" xfId="0" applyFont="1" applyFill="1" applyBorder="1" applyAlignment="1" applyProtection="1">
      <alignment horizontal="center" vertical="center"/>
    </xf>
    <xf numFmtId="172" fontId="9" fillId="11" borderId="9" xfId="0" applyNumberFormat="1" applyFont="1" applyFill="1" applyBorder="1" applyAlignment="1" applyProtection="1">
      <alignment horizontal="left" vertical="center"/>
    </xf>
    <xf numFmtId="171" fontId="9" fillId="11" borderId="9" xfId="0" applyNumberFormat="1" applyFont="1" applyFill="1" applyBorder="1" applyAlignment="1" applyProtection="1">
      <alignment horizontal="left" vertical="center"/>
    </xf>
    <xf numFmtId="170" fontId="9" fillId="11" borderId="9" xfId="0" applyNumberFormat="1" applyFont="1" applyFill="1" applyBorder="1" applyAlignment="1" applyProtection="1">
      <alignment horizontal="left" vertical="center"/>
    </xf>
    <xf numFmtId="0" fontId="14" fillId="11" borderId="9" xfId="0" applyFont="1" applyFill="1" applyBorder="1" applyProtection="1"/>
    <xf numFmtId="0" fontId="14" fillId="11" borderId="8" xfId="0" applyFont="1" applyFill="1" applyBorder="1" applyAlignment="1" applyProtection="1">
      <alignment horizontal="justify"/>
    </xf>
    <xf numFmtId="1" fontId="9" fillId="7" borderId="16" xfId="0" applyNumberFormat="1" applyFont="1" applyFill="1" applyBorder="1" applyAlignment="1" applyProtection="1">
      <alignment horizontal="center" vertical="center" wrapText="1"/>
    </xf>
    <xf numFmtId="1" fontId="9" fillId="7" borderId="0" xfId="0" applyNumberFormat="1" applyFont="1" applyFill="1" applyAlignment="1" applyProtection="1">
      <alignment horizontal="center" vertical="center" wrapText="1"/>
    </xf>
    <xf numFmtId="0" fontId="9" fillId="7" borderId="7" xfId="0" applyFont="1" applyFill="1" applyBorder="1" applyAlignment="1" applyProtection="1">
      <alignment horizontal="center" vertical="center"/>
    </xf>
    <xf numFmtId="0" fontId="9" fillId="7" borderId="9" xfId="0" applyFont="1" applyFill="1" applyBorder="1" applyAlignment="1" applyProtection="1">
      <alignment horizontal="center" vertical="center"/>
    </xf>
    <xf numFmtId="0" fontId="9" fillId="7" borderId="8" xfId="0" applyFont="1" applyFill="1" applyBorder="1" applyAlignment="1" applyProtection="1">
      <alignment horizontal="center" vertical="center"/>
    </xf>
    <xf numFmtId="1" fontId="9" fillId="12" borderId="4" xfId="0" applyNumberFormat="1" applyFont="1" applyFill="1" applyBorder="1" applyAlignment="1" applyProtection="1">
      <alignment horizontal="left" vertical="center"/>
    </xf>
    <xf numFmtId="0" fontId="9" fillId="12" borderId="4" xfId="0" applyFont="1" applyFill="1" applyBorder="1" applyAlignment="1" applyProtection="1">
      <alignment horizontal="left" vertical="center"/>
    </xf>
    <xf numFmtId="0" fontId="9" fillId="12" borderId="4" xfId="0" applyFont="1" applyFill="1" applyBorder="1" applyAlignment="1" applyProtection="1">
      <alignment horizontal="justify" vertical="center"/>
    </xf>
    <xf numFmtId="0" fontId="9" fillId="12" borderId="9" xfId="0" applyFont="1" applyFill="1" applyBorder="1" applyAlignment="1" applyProtection="1">
      <alignment horizontal="left" vertical="center"/>
    </xf>
    <xf numFmtId="0" fontId="9" fillId="12" borderId="9" xfId="0" applyFont="1" applyFill="1" applyBorder="1" applyAlignment="1" applyProtection="1">
      <alignment horizontal="center" vertical="center"/>
    </xf>
    <xf numFmtId="172" fontId="9" fillId="12" borderId="4" xfId="0" applyNumberFormat="1" applyFont="1" applyFill="1" applyBorder="1" applyAlignment="1" applyProtection="1">
      <alignment horizontal="left" vertical="center"/>
    </xf>
    <xf numFmtId="171" fontId="9" fillId="12" borderId="4" xfId="0" applyNumberFormat="1" applyFont="1" applyFill="1" applyBorder="1" applyAlignment="1" applyProtection="1">
      <alignment horizontal="left" vertical="center"/>
    </xf>
    <xf numFmtId="0" fontId="9" fillId="12" borderId="47" xfId="0" applyFont="1" applyFill="1" applyBorder="1" applyAlignment="1" applyProtection="1">
      <alignment horizontal="justify" vertical="center"/>
    </xf>
    <xf numFmtId="0" fontId="9" fillId="12" borderId="47" xfId="0" applyFont="1" applyFill="1" applyBorder="1" applyAlignment="1" applyProtection="1">
      <alignment horizontal="center" vertical="center"/>
    </xf>
    <xf numFmtId="0" fontId="9" fillId="12" borderId="47" xfId="0" applyFont="1" applyFill="1" applyBorder="1" applyAlignment="1" applyProtection="1">
      <alignment horizontal="left" vertical="center"/>
    </xf>
    <xf numFmtId="1" fontId="10" fillId="12" borderId="4" xfId="0" applyNumberFormat="1" applyFont="1" applyFill="1" applyBorder="1" applyAlignment="1" applyProtection="1">
      <alignment vertical="center" wrapText="1"/>
    </xf>
    <xf numFmtId="170" fontId="9" fillId="12" borderId="4" xfId="0" applyNumberFormat="1" applyFont="1" applyFill="1" applyBorder="1" applyAlignment="1" applyProtection="1">
      <alignment horizontal="left" vertical="center"/>
    </xf>
    <xf numFmtId="0" fontId="14" fillId="12" borderId="4" xfId="0" applyFont="1" applyFill="1" applyBorder="1" applyProtection="1"/>
    <xf numFmtId="0" fontId="14" fillId="12" borderId="5" xfId="0" applyFont="1" applyFill="1" applyBorder="1" applyAlignment="1" applyProtection="1">
      <alignment horizontal="justify"/>
    </xf>
    <xf numFmtId="0" fontId="9" fillId="7" borderId="16" xfId="0" applyFont="1" applyFill="1" applyBorder="1" applyAlignment="1" applyProtection="1">
      <alignment horizontal="center" vertical="center"/>
    </xf>
    <xf numFmtId="0" fontId="9" fillId="7" borderId="0" xfId="0" applyFont="1" applyFill="1" applyAlignment="1" applyProtection="1">
      <alignment horizontal="center" vertical="center"/>
    </xf>
    <xf numFmtId="0" fontId="9" fillId="7" borderId="17" xfId="0" applyFont="1" applyFill="1" applyBorder="1" applyAlignment="1" applyProtection="1">
      <alignment horizontal="center" vertical="center"/>
    </xf>
    <xf numFmtId="0" fontId="10" fillId="7" borderId="0" xfId="0" applyFont="1" applyFill="1" applyAlignment="1" applyProtection="1">
      <alignment horizontal="center" vertical="center"/>
    </xf>
    <xf numFmtId="0" fontId="10" fillId="7" borderId="17" xfId="0" applyFont="1" applyFill="1" applyBorder="1" applyAlignment="1" applyProtection="1">
      <alignment horizontal="center" vertical="center"/>
    </xf>
    <xf numFmtId="4" fontId="10" fillId="0" borderId="47" xfId="1" applyNumberFormat="1" applyFont="1" applyFill="1" applyBorder="1" applyAlignment="1" applyProtection="1">
      <alignment horizontal="right" vertical="center"/>
    </xf>
    <xf numFmtId="4" fontId="10" fillId="0" borderId="47" xfId="1" applyNumberFormat="1" applyFont="1" applyFill="1" applyBorder="1" applyAlignment="1" applyProtection="1">
      <alignment vertical="center"/>
    </xf>
    <xf numFmtId="1" fontId="10" fillId="0" borderId="47" xfId="0" applyNumberFormat="1" applyFont="1" applyBorder="1" applyAlignment="1" applyProtection="1">
      <alignment horizontal="center" vertical="center" wrapText="1"/>
    </xf>
    <xf numFmtId="41" fontId="10" fillId="0" borderId="47" xfId="0" applyNumberFormat="1" applyFont="1" applyBorder="1" applyAlignment="1" applyProtection="1">
      <alignment horizontal="right" vertical="center" wrapText="1"/>
    </xf>
    <xf numFmtId="4" fontId="14" fillId="0" borderId="47" xfId="0" applyNumberFormat="1" applyFont="1" applyFill="1" applyBorder="1" applyAlignment="1" applyProtection="1">
      <alignment horizontal="right" vertical="center"/>
    </xf>
    <xf numFmtId="4" fontId="14" fillId="0" borderId="47" xfId="0" applyNumberFormat="1" applyFont="1" applyFill="1" applyBorder="1" applyAlignment="1" applyProtection="1">
      <alignment vertical="center"/>
    </xf>
    <xf numFmtId="41" fontId="14" fillId="0" borderId="47" xfId="0" applyNumberFormat="1" applyFont="1" applyBorder="1" applyAlignment="1" applyProtection="1">
      <alignment horizontal="right" vertical="center"/>
    </xf>
    <xf numFmtId="4" fontId="10" fillId="0" borderId="47" xfId="11" applyNumberFormat="1" applyFont="1" applyFill="1" applyBorder="1" applyAlignment="1" applyProtection="1">
      <alignment vertical="center"/>
    </xf>
    <xf numFmtId="0" fontId="10" fillId="0" borderId="47" xfId="0" applyFont="1" applyBorder="1" applyAlignment="1" applyProtection="1">
      <alignment vertical="center" wrapText="1"/>
    </xf>
    <xf numFmtId="0" fontId="10" fillId="0" borderId="47" xfId="0" applyFont="1" applyBorder="1" applyAlignment="1" applyProtection="1">
      <alignment horizontal="justify" vertical="center"/>
    </xf>
    <xf numFmtId="4" fontId="10" fillId="0" borderId="47" xfId="11" applyNumberFormat="1" applyFont="1" applyFill="1" applyBorder="1" applyAlignment="1" applyProtection="1">
      <alignment horizontal="right" vertical="center"/>
    </xf>
    <xf numFmtId="4" fontId="10" fillId="0" borderId="47" xfId="11" applyNumberFormat="1" applyFont="1" applyFill="1" applyBorder="1" applyAlignment="1" applyProtection="1">
      <alignment horizontal="right" vertical="center" wrapText="1"/>
    </xf>
    <xf numFmtId="4" fontId="10" fillId="0" borderId="47" xfId="11" applyNumberFormat="1" applyFont="1" applyFill="1" applyBorder="1" applyAlignment="1" applyProtection="1">
      <alignment vertical="center" wrapText="1"/>
    </xf>
    <xf numFmtId="0" fontId="10" fillId="0" borderId="47" xfId="0" applyFont="1" applyBorder="1" applyAlignment="1" applyProtection="1">
      <alignment horizontal="right" vertical="center" wrapText="1"/>
    </xf>
    <xf numFmtId="0" fontId="14" fillId="0" borderId="0" xfId="0" applyFont="1" applyAlignment="1" applyProtection="1">
      <alignment wrapText="1"/>
    </xf>
    <xf numFmtId="0" fontId="10" fillId="0" borderId="47" xfId="0" applyFont="1" applyBorder="1" applyAlignment="1" applyProtection="1">
      <alignment horizontal="right" vertical="center"/>
    </xf>
    <xf numFmtId="0" fontId="14" fillId="0" borderId="47" xfId="0" applyFont="1" applyBorder="1" applyAlignment="1" applyProtection="1">
      <alignment horizontal="center" vertical="center"/>
    </xf>
    <xf numFmtId="0" fontId="14" fillId="0" borderId="47" xfId="0" applyFont="1" applyBorder="1" applyAlignment="1" applyProtection="1">
      <alignment horizontal="right" vertical="center"/>
    </xf>
    <xf numFmtId="1" fontId="9" fillId="7" borderId="16" xfId="0" applyNumberFormat="1" applyFont="1" applyFill="1" applyBorder="1" applyAlignment="1" applyProtection="1">
      <alignment horizontal="justify" vertical="center"/>
    </xf>
    <xf numFmtId="1" fontId="9" fillId="7" borderId="0" xfId="0" applyNumberFormat="1" applyFont="1" applyFill="1" applyAlignment="1" applyProtection="1">
      <alignment horizontal="justify" vertical="center"/>
    </xf>
    <xf numFmtId="1" fontId="9" fillId="7" borderId="17" xfId="0" applyNumberFormat="1" applyFont="1" applyFill="1" applyBorder="1" applyAlignment="1" applyProtection="1">
      <alignment horizontal="justify" vertical="center"/>
    </xf>
    <xf numFmtId="1" fontId="9" fillId="12" borderId="9" xfId="0" applyNumberFormat="1" applyFont="1" applyFill="1" applyBorder="1" applyAlignment="1" applyProtection="1">
      <alignment horizontal="justify" vertical="center"/>
    </xf>
    <xf numFmtId="0" fontId="9" fillId="12" borderId="9" xfId="0" applyFont="1" applyFill="1" applyBorder="1" applyAlignment="1" applyProtection="1">
      <alignment vertical="center"/>
    </xf>
    <xf numFmtId="0" fontId="9" fillId="12" borderId="4" xfId="0" applyFont="1" applyFill="1" applyBorder="1" applyAlignment="1" applyProtection="1">
      <alignment vertical="center"/>
    </xf>
    <xf numFmtId="0" fontId="9" fillId="12" borderId="2" xfId="0" applyFont="1" applyFill="1" applyBorder="1" applyAlignment="1" applyProtection="1">
      <alignment vertical="center"/>
    </xf>
    <xf numFmtId="0" fontId="9" fillId="12" borderId="2" xfId="0" applyFont="1" applyFill="1" applyBorder="1" applyAlignment="1" applyProtection="1">
      <alignment horizontal="center" vertical="center"/>
    </xf>
    <xf numFmtId="43" fontId="9" fillId="12" borderId="4" xfId="11" applyFont="1" applyFill="1" applyBorder="1" applyAlignment="1" applyProtection="1">
      <alignment vertical="center"/>
    </xf>
    <xf numFmtId="43" fontId="9" fillId="12" borderId="47" xfId="11" applyFont="1" applyFill="1" applyBorder="1" applyAlignment="1" applyProtection="1">
      <alignment horizontal="justify" vertical="center"/>
    </xf>
    <xf numFmtId="0" fontId="9" fillId="12" borderId="47" xfId="0" applyFont="1" applyFill="1" applyBorder="1" applyAlignment="1" applyProtection="1">
      <alignment vertical="center"/>
    </xf>
    <xf numFmtId="0" fontId="14" fillId="12" borderId="5" xfId="0" applyFont="1" applyFill="1" applyBorder="1" applyAlignment="1" applyProtection="1">
      <alignment horizontal="center" vertical="center"/>
    </xf>
    <xf numFmtId="1" fontId="10" fillId="7" borderId="16" xfId="0" applyNumberFormat="1" applyFont="1" applyFill="1" applyBorder="1" applyAlignment="1" applyProtection="1">
      <alignment horizontal="justify" vertical="center"/>
    </xf>
    <xf numFmtId="1" fontId="10" fillId="7" borderId="0" xfId="0" applyNumberFormat="1" applyFont="1" applyFill="1" applyAlignment="1" applyProtection="1">
      <alignment horizontal="justify" vertical="center"/>
    </xf>
    <xf numFmtId="0" fontId="10" fillId="7" borderId="16" xfId="0" applyFont="1" applyFill="1" applyBorder="1" applyAlignment="1" applyProtection="1">
      <alignment horizontal="justify" vertical="center"/>
    </xf>
    <xf numFmtId="0" fontId="10" fillId="7" borderId="0" xfId="0" applyFont="1" applyFill="1" applyAlignment="1" applyProtection="1">
      <alignment horizontal="justify" vertical="center"/>
    </xf>
    <xf numFmtId="0" fontId="10" fillId="7" borderId="7" xfId="0" applyFont="1" applyFill="1" applyBorder="1" applyAlignment="1" applyProtection="1">
      <alignment horizontal="justify" vertical="center"/>
    </xf>
    <xf numFmtId="0" fontId="10" fillId="7" borderId="9" xfId="0" applyFont="1" applyFill="1" applyBorder="1" applyAlignment="1" applyProtection="1">
      <alignment horizontal="justify" vertical="center"/>
    </xf>
    <xf numFmtId="0" fontId="10" fillId="7" borderId="8" xfId="0" applyFont="1" applyFill="1" applyBorder="1" applyAlignment="1" applyProtection="1">
      <alignment horizontal="justify" vertical="center"/>
    </xf>
    <xf numFmtId="43" fontId="10" fillId="0" borderId="48" xfId="11" applyFont="1" applyFill="1" applyBorder="1" applyAlignment="1" applyProtection="1">
      <alignment horizontal="center" vertical="center"/>
    </xf>
    <xf numFmtId="43" fontId="10" fillId="0" borderId="18" xfId="11" applyFont="1" applyFill="1" applyBorder="1" applyAlignment="1" applyProtection="1">
      <alignment horizontal="center" vertical="center"/>
    </xf>
    <xf numFmtId="1" fontId="10" fillId="7" borderId="48" xfId="0" applyNumberFormat="1" applyFont="1" applyFill="1" applyBorder="1" applyAlignment="1" applyProtection="1">
      <alignment horizontal="center" vertical="center"/>
    </xf>
    <xf numFmtId="0" fontId="10" fillId="7" borderId="48" xfId="0" applyFont="1" applyFill="1" applyBorder="1" applyAlignment="1" applyProtection="1">
      <alignment horizontal="center" vertical="center"/>
    </xf>
    <xf numFmtId="0" fontId="10" fillId="7" borderId="17" xfId="0" applyFont="1" applyFill="1" applyBorder="1" applyAlignment="1" applyProtection="1">
      <alignment horizontal="justify" vertical="center"/>
    </xf>
    <xf numFmtId="43" fontId="10" fillId="0" borderId="47" xfId="11" applyFont="1" applyFill="1" applyBorder="1" applyAlignment="1" applyProtection="1">
      <alignment horizontal="center" vertical="center"/>
    </xf>
    <xf numFmtId="1" fontId="10" fillId="7" borderId="47" xfId="0" applyNumberFormat="1" applyFont="1" applyFill="1" applyBorder="1" applyAlignment="1" applyProtection="1">
      <alignment horizontal="center" vertical="center"/>
    </xf>
    <xf numFmtId="0" fontId="10" fillId="7" borderId="47" xfId="0" applyFont="1" applyFill="1" applyBorder="1" applyAlignment="1" applyProtection="1">
      <alignment horizontal="center" vertical="center"/>
    </xf>
    <xf numFmtId="0" fontId="10" fillId="0" borderId="5" xfId="0" applyFont="1" applyBorder="1" applyAlignment="1" applyProtection="1">
      <alignment horizontal="center" vertical="center"/>
    </xf>
    <xf numFmtId="0" fontId="10" fillId="7" borderId="1" xfId="0" applyFont="1" applyFill="1" applyBorder="1" applyAlignment="1" applyProtection="1">
      <alignment horizontal="justify" vertical="center"/>
    </xf>
    <xf numFmtId="0" fontId="10" fillId="7" borderId="18" xfId="0" applyFont="1" applyFill="1" applyBorder="1" applyAlignment="1" applyProtection="1">
      <alignment horizontal="justify" vertical="center"/>
    </xf>
    <xf numFmtId="0" fontId="10" fillId="0" borderId="1" xfId="0" applyNumberFormat="1" applyFont="1" applyBorder="1" applyAlignment="1" applyProtection="1">
      <alignment horizontal="center" vertical="center"/>
    </xf>
    <xf numFmtId="9" fontId="10" fillId="7" borderId="6" xfId="4" applyNumberFormat="1" applyFont="1" applyFill="1" applyBorder="1" applyAlignment="1" applyProtection="1">
      <alignment horizontal="center" vertical="center"/>
    </xf>
    <xf numFmtId="1" fontId="10" fillId="7" borderId="18" xfId="0" applyNumberFormat="1" applyFont="1" applyFill="1" applyBorder="1" applyAlignment="1" applyProtection="1">
      <alignment horizontal="center" vertical="center"/>
    </xf>
    <xf numFmtId="0" fontId="10" fillId="7" borderId="18" xfId="0" applyFont="1" applyFill="1" applyBorder="1" applyAlignment="1" applyProtection="1">
      <alignment horizontal="center" vertical="center"/>
    </xf>
    <xf numFmtId="43" fontId="10" fillId="0" borderId="18" xfId="11" applyFont="1" applyBorder="1" applyAlignment="1" applyProtection="1">
      <alignment horizontal="center" vertical="center"/>
    </xf>
    <xf numFmtId="1" fontId="10" fillId="7" borderId="1" xfId="0" applyNumberFormat="1"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43" fontId="10" fillId="0" borderId="18" xfId="11" applyFont="1" applyBorder="1" applyAlignment="1" applyProtection="1">
      <alignment horizontal="center" vertical="center" wrapText="1"/>
    </xf>
    <xf numFmtId="43" fontId="10" fillId="0" borderId="18" xfId="11" applyFont="1" applyFill="1" applyBorder="1" applyAlignment="1" applyProtection="1">
      <alignment horizontal="center" vertical="center" wrapText="1"/>
    </xf>
    <xf numFmtId="0" fontId="14" fillId="0" borderId="1" xfId="0" applyFont="1" applyBorder="1" applyProtection="1"/>
    <xf numFmtId="0" fontId="10" fillId="7" borderId="1" xfId="0" applyNumberFormat="1" applyFont="1" applyFill="1" applyBorder="1" applyAlignment="1" applyProtection="1">
      <alignment horizontal="center" vertical="center"/>
    </xf>
    <xf numFmtId="43" fontId="10" fillId="0" borderId="1" xfId="11" applyFont="1" applyBorder="1" applyAlignment="1" applyProtection="1">
      <alignment horizontal="center" vertical="center"/>
    </xf>
    <xf numFmtId="43" fontId="10" fillId="0" borderId="1" xfId="11" applyFont="1" applyFill="1" applyBorder="1" applyAlignment="1" applyProtection="1">
      <alignment horizontal="center" vertical="center"/>
    </xf>
    <xf numFmtId="0" fontId="10" fillId="0" borderId="8" xfId="0" applyFont="1" applyBorder="1" applyAlignment="1" applyProtection="1">
      <alignment horizontal="center" vertical="center"/>
    </xf>
    <xf numFmtId="0" fontId="10" fillId="7" borderId="6" xfId="0" applyFont="1" applyFill="1" applyBorder="1" applyAlignment="1" applyProtection="1">
      <alignment horizontal="justify" vertical="center"/>
    </xf>
    <xf numFmtId="1" fontId="10" fillId="7" borderId="6" xfId="0" applyNumberFormat="1" applyFont="1" applyFill="1" applyBorder="1" applyAlignment="1" applyProtection="1">
      <alignment horizontal="center" vertical="center"/>
    </xf>
    <xf numFmtId="0" fontId="10" fillId="0" borderId="6" xfId="0" applyFont="1" applyBorder="1" applyAlignment="1" applyProtection="1">
      <alignment horizontal="left" vertical="center" wrapText="1"/>
    </xf>
    <xf numFmtId="173" fontId="10" fillId="0" borderId="6" xfId="11" applyNumberFormat="1" applyFont="1" applyBorder="1" applyAlignment="1" applyProtection="1">
      <alignment horizontal="center" vertical="center" wrapText="1"/>
    </xf>
    <xf numFmtId="173" fontId="10" fillId="0" borderId="1" xfId="11" applyNumberFormat="1" applyFont="1" applyBorder="1" applyAlignment="1" applyProtection="1">
      <alignment horizontal="center" vertical="center" wrapText="1"/>
    </xf>
    <xf numFmtId="0" fontId="10" fillId="7" borderId="6" xfId="0" applyFont="1" applyFill="1" applyBorder="1" applyAlignment="1" applyProtection="1">
      <alignment horizontal="center" vertical="center"/>
    </xf>
    <xf numFmtId="0" fontId="10" fillId="7" borderId="13" xfId="0" applyFont="1" applyFill="1" applyBorder="1" applyAlignment="1" applyProtection="1">
      <alignment horizontal="center" vertical="center" wrapText="1"/>
    </xf>
    <xf numFmtId="4" fontId="10" fillId="0" borderId="47" xfId="11" applyNumberFormat="1" applyFont="1" applyBorder="1" applyAlignment="1" applyProtection="1">
      <alignment horizontal="right" vertical="center" wrapText="1"/>
    </xf>
    <xf numFmtId="4" fontId="20" fillId="0" borderId="18" xfId="11" applyNumberFormat="1" applyFont="1" applyFill="1" applyBorder="1" applyAlignment="1" applyProtection="1">
      <alignment vertical="center" wrapText="1"/>
    </xf>
    <xf numFmtId="0" fontId="20" fillId="0" borderId="1" xfId="0" applyFont="1" applyFill="1" applyBorder="1" applyAlignment="1" applyProtection="1">
      <alignment horizontal="center" vertical="center" wrapText="1"/>
    </xf>
    <xf numFmtId="1" fontId="10" fillId="7" borderId="6" xfId="0" applyNumberFormat="1" applyFont="1" applyFill="1" applyBorder="1" applyAlignment="1" applyProtection="1">
      <alignment vertical="center"/>
    </xf>
    <xf numFmtId="0" fontId="20" fillId="0" borderId="18" xfId="0" applyFont="1" applyFill="1" applyBorder="1" applyAlignment="1" applyProtection="1">
      <alignment horizontal="center" vertical="center" wrapText="1"/>
    </xf>
    <xf numFmtId="1" fontId="10" fillId="7" borderId="13" xfId="0" applyNumberFormat="1" applyFont="1" applyFill="1" applyBorder="1" applyAlignment="1" applyProtection="1">
      <alignment vertical="center"/>
    </xf>
    <xf numFmtId="4" fontId="20" fillId="0" borderId="1" xfId="11" applyNumberFormat="1" applyFont="1" applyFill="1" applyBorder="1" applyAlignment="1" applyProtection="1">
      <alignment vertical="center" wrapText="1"/>
    </xf>
    <xf numFmtId="4" fontId="10" fillId="0" borderId="47" xfId="11" applyNumberFormat="1" applyFont="1" applyBorder="1" applyAlignment="1" applyProtection="1">
      <alignment horizontal="right" vertical="center"/>
    </xf>
    <xf numFmtId="43" fontId="20" fillId="0" borderId="1" xfId="11" applyFont="1" applyFill="1" applyBorder="1" applyAlignment="1" applyProtection="1">
      <alignment vertical="center" wrapText="1"/>
    </xf>
    <xf numFmtId="4" fontId="14" fillId="0" borderId="45" xfId="0" applyNumberFormat="1" applyFont="1" applyBorder="1" applyAlignment="1" applyProtection="1">
      <alignment horizontal="right" vertical="center"/>
    </xf>
    <xf numFmtId="4" fontId="14" fillId="0" borderId="1" xfId="0" applyNumberFormat="1" applyFont="1" applyBorder="1" applyAlignment="1" applyProtection="1">
      <alignment horizontal="right" vertical="center"/>
    </xf>
    <xf numFmtId="43" fontId="20" fillId="0" borderId="6" xfId="11" applyFont="1" applyFill="1" applyBorder="1" applyAlignment="1" applyProtection="1">
      <alignment vertical="center" wrapText="1"/>
    </xf>
    <xf numFmtId="0" fontId="20" fillId="0" borderId="6" xfId="0" applyFont="1" applyFill="1" applyBorder="1" applyAlignment="1" applyProtection="1">
      <alignment horizontal="center" vertical="center" wrapText="1"/>
    </xf>
    <xf numFmtId="1" fontId="10" fillId="0" borderId="13" xfId="0" applyNumberFormat="1" applyFont="1" applyFill="1" applyBorder="1" applyAlignment="1" applyProtection="1">
      <alignment horizontal="center" vertical="center" wrapText="1"/>
    </xf>
    <xf numFmtId="0" fontId="20" fillId="0" borderId="13" xfId="0" applyFont="1" applyFill="1" applyBorder="1" applyAlignment="1" applyProtection="1">
      <alignment horizontal="center" vertical="center" wrapText="1"/>
    </xf>
    <xf numFmtId="1" fontId="10" fillId="7" borderId="18" xfId="0" applyNumberFormat="1" applyFont="1" applyFill="1" applyBorder="1" applyAlignment="1" applyProtection="1">
      <alignment vertical="center"/>
    </xf>
    <xf numFmtId="1" fontId="9" fillId="11" borderId="0" xfId="0" applyNumberFormat="1" applyFont="1" applyFill="1" applyAlignment="1" applyProtection="1">
      <alignment horizontal="justify" vertical="center"/>
    </xf>
    <xf numFmtId="0" fontId="9" fillId="11" borderId="0" xfId="0" applyFont="1" applyFill="1" applyAlignment="1" applyProtection="1">
      <alignment horizontal="left" vertical="center"/>
    </xf>
    <xf numFmtId="0" fontId="9" fillId="11" borderId="0" xfId="0" applyFont="1" applyFill="1" applyAlignment="1" applyProtection="1">
      <alignment horizontal="justify" vertical="center"/>
    </xf>
    <xf numFmtId="0" fontId="9" fillId="11" borderId="9" xfId="0" applyFont="1" applyFill="1" applyBorder="1" applyAlignment="1" applyProtection="1">
      <alignment vertical="center"/>
    </xf>
    <xf numFmtId="172" fontId="9" fillId="11" borderId="9" xfId="0" applyNumberFormat="1" applyFont="1" applyFill="1" applyBorder="1" applyAlignment="1" applyProtection="1">
      <alignment horizontal="center" vertical="center"/>
    </xf>
    <xf numFmtId="43" fontId="9" fillId="11" borderId="9" xfId="11" applyFont="1" applyFill="1" applyBorder="1" applyAlignment="1" applyProtection="1">
      <alignment vertical="center"/>
    </xf>
    <xf numFmtId="43" fontId="9" fillId="11" borderId="0" xfId="11" applyFont="1" applyFill="1" applyAlignment="1" applyProtection="1">
      <alignment horizontal="justify" vertical="center"/>
    </xf>
    <xf numFmtId="173" fontId="9" fillId="11" borderId="0" xfId="0" applyNumberFormat="1" applyFont="1" applyFill="1" applyAlignment="1" applyProtection="1">
      <alignment horizontal="center" vertical="center"/>
    </xf>
    <xf numFmtId="0" fontId="9" fillId="11" borderId="0" xfId="0" applyFont="1" applyFill="1" applyAlignment="1" applyProtection="1">
      <alignment horizontal="center" vertical="center"/>
    </xf>
    <xf numFmtId="170" fontId="9" fillId="11" borderId="9" xfId="0" applyNumberFormat="1" applyFont="1" applyFill="1" applyBorder="1" applyAlignment="1" applyProtection="1">
      <alignment horizontal="center" vertical="center"/>
    </xf>
    <xf numFmtId="0" fontId="14" fillId="11" borderId="8" xfId="0" applyFont="1" applyFill="1" applyBorder="1" applyAlignment="1" applyProtection="1">
      <alignment horizontal="center" vertical="center"/>
    </xf>
    <xf numFmtId="0" fontId="10" fillId="0" borderId="16" xfId="0" applyFont="1" applyBorder="1" applyAlignment="1" applyProtection="1">
      <alignment vertical="center"/>
    </xf>
    <xf numFmtId="0" fontId="9" fillId="7" borderId="0" xfId="0" applyFont="1" applyFill="1" applyAlignment="1" applyProtection="1">
      <alignment horizontal="justify" vertical="center"/>
    </xf>
    <xf numFmtId="0" fontId="9" fillId="7" borderId="7" xfId="0" applyFont="1" applyFill="1" applyBorder="1" applyAlignment="1" applyProtection="1">
      <alignment horizontal="justify" vertical="center"/>
    </xf>
    <xf numFmtId="0" fontId="9" fillId="7" borderId="9" xfId="0" applyFont="1" applyFill="1" applyBorder="1" applyAlignment="1" applyProtection="1">
      <alignment horizontal="justify" vertical="center"/>
    </xf>
    <xf numFmtId="0" fontId="9" fillId="7" borderId="8" xfId="0" applyFont="1" applyFill="1" applyBorder="1" applyAlignment="1" applyProtection="1">
      <alignment horizontal="justify" vertical="center"/>
    </xf>
    <xf numFmtId="1" fontId="9" fillId="12" borderId="4" xfId="0" applyNumberFormat="1" applyFont="1" applyFill="1" applyBorder="1" applyAlignment="1" applyProtection="1">
      <alignment horizontal="justify" vertical="center"/>
    </xf>
    <xf numFmtId="0" fontId="9" fillId="12" borderId="4" xfId="0" applyFont="1" applyFill="1" applyBorder="1" applyAlignment="1" applyProtection="1">
      <alignment horizontal="center" vertical="center"/>
    </xf>
    <xf numFmtId="43" fontId="9" fillId="12" borderId="4" xfId="11" applyFont="1" applyFill="1" applyBorder="1" applyAlignment="1" applyProtection="1">
      <alignment horizontal="justify" vertical="center"/>
    </xf>
    <xf numFmtId="0" fontId="10" fillId="7" borderId="16" xfId="0" applyFont="1" applyFill="1" applyBorder="1" applyAlignment="1" applyProtection="1">
      <alignment horizontal="justify"/>
    </xf>
    <xf numFmtId="0" fontId="10" fillId="7" borderId="0" xfId="0" applyFont="1" applyFill="1" applyAlignment="1" applyProtection="1">
      <alignment horizontal="justify"/>
    </xf>
    <xf numFmtId="0" fontId="9" fillId="7" borderId="16" xfId="0" applyFont="1" applyFill="1" applyBorder="1" applyAlignment="1" applyProtection="1">
      <alignment horizontal="justify" vertical="center"/>
    </xf>
    <xf numFmtId="0" fontId="9" fillId="7" borderId="17" xfId="0" applyFont="1" applyFill="1" applyBorder="1" applyAlignment="1" applyProtection="1">
      <alignment horizontal="justify" vertical="center"/>
    </xf>
    <xf numFmtId="0" fontId="10" fillId="0" borderId="18" xfId="0" applyFont="1" applyBorder="1" applyAlignment="1" applyProtection="1">
      <alignment horizontal="center" vertical="center"/>
    </xf>
    <xf numFmtId="3" fontId="10" fillId="0" borderId="18" xfId="0" applyNumberFormat="1" applyFont="1" applyBorder="1" applyAlignment="1" applyProtection="1">
      <alignment horizontal="center" vertical="center"/>
    </xf>
    <xf numFmtId="0" fontId="10" fillId="7" borderId="13" xfId="0" applyFont="1" applyFill="1" applyBorder="1" applyAlignment="1" applyProtection="1">
      <alignment horizontal="center"/>
    </xf>
    <xf numFmtId="9" fontId="10" fillId="7" borderId="13" xfId="13" applyFont="1" applyFill="1" applyBorder="1" applyAlignment="1" applyProtection="1">
      <alignment horizontal="center" vertical="center"/>
    </xf>
    <xf numFmtId="0" fontId="10" fillId="0" borderId="13" xfId="0" applyFont="1" applyBorder="1" applyAlignment="1" applyProtection="1">
      <alignment horizontal="justify" vertical="center"/>
    </xf>
    <xf numFmtId="43" fontId="10" fillId="0" borderId="13" xfId="11" applyFont="1" applyBorder="1" applyAlignment="1" applyProtection="1">
      <alignment horizontal="justify" vertical="center"/>
    </xf>
    <xf numFmtId="1" fontId="10" fillId="7" borderId="6" xfId="0" applyNumberFormat="1" applyFont="1" applyFill="1" applyBorder="1" applyAlignment="1" applyProtection="1">
      <alignment horizontal="center" vertical="center" wrapText="1"/>
    </xf>
    <xf numFmtId="0" fontId="14" fillId="0" borderId="6" xfId="0" applyFont="1" applyBorder="1" applyProtection="1"/>
    <xf numFmtId="41" fontId="10" fillId="0" borderId="47" xfId="11" applyNumberFormat="1" applyFont="1" applyBorder="1" applyAlignment="1" applyProtection="1">
      <alignment horizontal="right" vertical="center" wrapText="1"/>
    </xf>
    <xf numFmtId="1" fontId="10" fillId="7" borderId="47" xfId="0" applyNumberFormat="1" applyFont="1" applyFill="1" applyBorder="1" applyAlignment="1" applyProtection="1">
      <alignment horizontal="center" vertical="center" wrapText="1"/>
    </xf>
    <xf numFmtId="0" fontId="10" fillId="7" borderId="47" xfId="0" applyFont="1" applyFill="1" applyBorder="1" applyAlignment="1" applyProtection="1">
      <alignment horizontal="right" vertical="center" wrapText="1"/>
    </xf>
    <xf numFmtId="41" fontId="14" fillId="0" borderId="47" xfId="0" applyNumberFormat="1" applyFont="1" applyFill="1" applyBorder="1" applyAlignment="1" applyProtection="1">
      <alignment horizontal="right" vertical="center"/>
    </xf>
    <xf numFmtId="0" fontId="10" fillId="0" borderId="1" xfId="0" applyFont="1" applyBorder="1" applyAlignment="1" applyProtection="1">
      <alignment horizontal="center" vertical="center"/>
    </xf>
    <xf numFmtId="9" fontId="10" fillId="7" borderId="18" xfId="13" applyFont="1" applyFill="1" applyBorder="1" applyAlignment="1" applyProtection="1">
      <alignment horizontal="center" vertical="center"/>
    </xf>
    <xf numFmtId="43" fontId="10" fillId="0" borderId="18" xfId="11" applyFont="1" applyBorder="1" applyAlignment="1" applyProtection="1">
      <alignment horizontal="justify" vertical="center"/>
    </xf>
    <xf numFmtId="1" fontId="10" fillId="7" borderId="18" xfId="0" applyNumberFormat="1" applyFont="1" applyFill="1" applyBorder="1" applyAlignment="1" applyProtection="1">
      <alignment horizontal="center" vertical="center" wrapText="1"/>
    </xf>
    <xf numFmtId="0" fontId="10" fillId="7" borderId="18" xfId="0" applyFont="1" applyFill="1" applyBorder="1" applyAlignment="1" applyProtection="1">
      <alignment vertical="center" wrapText="1"/>
    </xf>
    <xf numFmtId="9" fontId="10" fillId="7" borderId="1" xfId="13" applyFont="1" applyFill="1" applyBorder="1" applyAlignment="1" applyProtection="1">
      <alignment horizontal="center" vertical="center"/>
    </xf>
    <xf numFmtId="43" fontId="10" fillId="0" borderId="1" xfId="11" applyFont="1" applyBorder="1" applyAlignment="1" applyProtection="1">
      <alignment horizontal="justify" vertical="center"/>
    </xf>
    <xf numFmtId="1" fontId="10" fillId="7" borderId="1" xfId="0" applyNumberFormat="1" applyFont="1" applyFill="1" applyBorder="1" applyAlignment="1" applyProtection="1">
      <alignment horizontal="center" vertical="center" wrapText="1"/>
    </xf>
    <xf numFmtId="0" fontId="10" fillId="7" borderId="1" xfId="0" applyFont="1" applyFill="1" applyBorder="1" applyAlignment="1" applyProtection="1">
      <alignment vertical="center" wrapText="1"/>
    </xf>
    <xf numFmtId="0" fontId="14" fillId="0" borderId="16" xfId="0" applyFont="1" applyBorder="1" applyProtection="1"/>
    <xf numFmtId="0" fontId="10" fillId="0" borderId="6" xfId="0" applyFont="1" applyBorder="1" applyAlignment="1" applyProtection="1">
      <alignment horizontal="center" vertical="center"/>
    </xf>
    <xf numFmtId="9" fontId="10" fillId="7" borderId="6" xfId="13" applyFont="1" applyFill="1" applyBorder="1" applyAlignment="1" applyProtection="1">
      <alignment horizontal="center" vertical="center"/>
    </xf>
    <xf numFmtId="43" fontId="10" fillId="0" borderId="6" xfId="11" applyFont="1" applyBorder="1" applyAlignment="1" applyProtection="1">
      <alignment horizontal="justify" vertical="center"/>
    </xf>
    <xf numFmtId="43" fontId="9" fillId="12" borderId="2" xfId="11" applyFont="1" applyFill="1" applyBorder="1" applyAlignment="1" applyProtection="1">
      <alignment horizontal="justify" vertical="center"/>
    </xf>
    <xf numFmtId="0" fontId="10" fillId="7" borderId="16" xfId="0" applyFont="1" applyFill="1" applyBorder="1" applyProtection="1"/>
    <xf numFmtId="0" fontId="9" fillId="7" borderId="16" xfId="0" applyFont="1" applyFill="1" applyBorder="1" applyAlignment="1" applyProtection="1">
      <alignment vertical="center"/>
    </xf>
    <xf numFmtId="0" fontId="9" fillId="7" borderId="0" xfId="0" applyFont="1" applyFill="1" applyAlignment="1" applyProtection="1">
      <alignment vertical="center"/>
    </xf>
    <xf numFmtId="0" fontId="9" fillId="7" borderId="17" xfId="0" applyFont="1" applyFill="1" applyBorder="1" applyAlignment="1" applyProtection="1">
      <alignment vertical="center"/>
    </xf>
    <xf numFmtId="1" fontId="10" fillId="0" borderId="6" xfId="0" applyNumberFormat="1" applyFont="1" applyBorder="1" applyAlignment="1" applyProtection="1">
      <alignment horizontal="center" vertical="center"/>
    </xf>
    <xf numFmtId="10" fontId="10" fillId="0" borderId="3" xfId="13" applyNumberFormat="1" applyFont="1" applyBorder="1" applyAlignment="1" applyProtection="1">
      <alignment horizontal="center" vertical="center"/>
    </xf>
    <xf numFmtId="1" fontId="10" fillId="0" borderId="1" xfId="0" applyNumberFormat="1" applyFont="1" applyBorder="1" applyAlignment="1" applyProtection="1">
      <alignment horizontal="center" vertical="center"/>
    </xf>
    <xf numFmtId="173" fontId="10" fillId="0" borderId="1" xfId="11" applyNumberFormat="1" applyFont="1" applyBorder="1" applyAlignment="1" applyProtection="1">
      <alignment vertical="center"/>
    </xf>
    <xf numFmtId="173" fontId="10" fillId="0" borderId="1" xfId="11" applyNumberFormat="1" applyFont="1" applyBorder="1" applyAlignment="1" applyProtection="1">
      <alignment horizontal="center" vertical="center"/>
    </xf>
    <xf numFmtId="43" fontId="10" fillId="0" borderId="1" xfId="11" applyFont="1" applyBorder="1" applyAlignment="1" applyProtection="1">
      <alignment horizontal="justify" vertical="center" wrapText="1"/>
    </xf>
    <xf numFmtId="0" fontId="10" fillId="0" borderId="13" xfId="0" applyFont="1" applyFill="1" applyBorder="1" applyAlignment="1" applyProtection="1">
      <alignment horizontal="center" vertical="center" wrapText="1"/>
    </xf>
    <xf numFmtId="4" fontId="10" fillId="0" borderId="1" xfId="0" applyNumberFormat="1" applyFont="1" applyFill="1" applyBorder="1" applyAlignment="1" applyProtection="1">
      <alignment horizontal="center" vertical="center"/>
    </xf>
    <xf numFmtId="10" fontId="10" fillId="0" borderId="7" xfId="13" applyNumberFormat="1" applyFont="1" applyBorder="1" applyAlignment="1" applyProtection="1">
      <alignment horizontal="center" vertical="center"/>
    </xf>
    <xf numFmtId="0" fontId="9" fillId="12" borderId="9" xfId="0" applyFont="1" applyFill="1" applyBorder="1" applyAlignment="1" applyProtection="1">
      <alignment horizontal="justify" vertical="center"/>
    </xf>
    <xf numFmtId="43" fontId="9" fillId="12" borderId="9" xfId="11" applyFont="1" applyFill="1" applyBorder="1" applyAlignment="1" applyProtection="1">
      <alignment horizontal="justify" vertical="center"/>
    </xf>
    <xf numFmtId="0" fontId="10" fillId="7" borderId="17" xfId="0" applyFont="1" applyFill="1" applyBorder="1" applyAlignment="1" applyProtection="1">
      <alignment horizontal="justify"/>
    </xf>
    <xf numFmtId="173" fontId="10" fillId="0" borderId="47" xfId="11" applyNumberFormat="1" applyFont="1" applyBorder="1" applyAlignment="1" applyProtection="1">
      <alignment horizontal="center" vertical="center"/>
    </xf>
    <xf numFmtId="0" fontId="10" fillId="0" borderId="47" xfId="0" applyFont="1" applyBorder="1" applyAlignment="1" applyProtection="1">
      <alignment horizontal="center" vertical="center" wrapText="1"/>
    </xf>
    <xf numFmtId="173" fontId="10" fillId="0" borderId="47" xfId="11" applyNumberFormat="1" applyFont="1" applyFill="1" applyBorder="1" applyAlignment="1" applyProtection="1">
      <alignment horizontal="center" vertical="center"/>
    </xf>
    <xf numFmtId="173" fontId="10" fillId="0" borderId="13" xfId="11" applyNumberFormat="1" applyFont="1" applyBorder="1" applyAlignment="1" applyProtection="1">
      <alignment horizontal="center" vertical="center"/>
    </xf>
    <xf numFmtId="3" fontId="10" fillId="0" borderId="7" xfId="0" applyNumberFormat="1" applyFont="1" applyBorder="1" applyAlignment="1" applyProtection="1">
      <alignment horizontal="center" vertical="center"/>
    </xf>
    <xf numFmtId="9" fontId="10" fillId="7" borderId="7" xfId="13" applyFont="1" applyFill="1" applyBorder="1" applyAlignment="1" applyProtection="1">
      <alignment horizontal="center" vertical="center"/>
    </xf>
    <xf numFmtId="0" fontId="10" fillId="7" borderId="6"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10" fillId="7" borderId="16" xfId="0" applyFont="1" applyFill="1" applyBorder="1" applyAlignment="1" applyProtection="1">
      <alignment vertical="center"/>
    </xf>
    <xf numFmtId="0" fontId="10" fillId="7" borderId="0" xfId="0" applyFont="1" applyFill="1" applyAlignment="1" applyProtection="1">
      <alignment vertical="center"/>
    </xf>
    <xf numFmtId="0" fontId="10" fillId="7" borderId="17" xfId="0" applyFont="1" applyFill="1" applyBorder="1" applyAlignment="1" applyProtection="1">
      <alignment vertical="center"/>
    </xf>
    <xf numFmtId="0" fontId="10" fillId="7" borderId="13" xfId="0" applyFont="1" applyFill="1" applyBorder="1" applyAlignment="1" applyProtection="1">
      <alignment horizontal="center" vertical="center"/>
    </xf>
    <xf numFmtId="43" fontId="10" fillId="0" borderId="47" xfId="11" applyFont="1" applyBorder="1" applyAlignment="1" applyProtection="1">
      <alignment vertical="center" wrapText="1"/>
    </xf>
    <xf numFmtId="0" fontId="10" fillId="7" borderId="47" xfId="0" applyFont="1" applyFill="1" applyBorder="1" applyAlignment="1" applyProtection="1">
      <alignment horizontal="center" vertical="center" wrapText="1"/>
    </xf>
    <xf numFmtId="0" fontId="10" fillId="7" borderId="14" xfId="0" applyFont="1" applyFill="1" applyBorder="1" applyAlignment="1" applyProtection="1">
      <alignment vertical="center"/>
    </xf>
    <xf numFmtId="0" fontId="10" fillId="7" borderId="2" xfId="0" applyFont="1" applyFill="1" applyBorder="1" applyAlignment="1" applyProtection="1">
      <alignment vertical="center"/>
    </xf>
    <xf numFmtId="0" fontId="10" fillId="7" borderId="15" xfId="0" applyFont="1" applyFill="1" applyBorder="1" applyAlignment="1" applyProtection="1">
      <alignment vertical="center"/>
    </xf>
    <xf numFmtId="1" fontId="9" fillId="7" borderId="16" xfId="0" applyNumberFormat="1" applyFont="1" applyFill="1" applyBorder="1" applyAlignment="1" applyProtection="1">
      <alignment vertical="center" wrapText="1"/>
    </xf>
    <xf numFmtId="1" fontId="9" fillId="7" borderId="0" xfId="0" applyNumberFormat="1" applyFont="1" applyFill="1" applyAlignment="1" applyProtection="1">
      <alignment vertical="center" wrapText="1"/>
    </xf>
    <xf numFmtId="1" fontId="9" fillId="7" borderId="17" xfId="0" applyNumberFormat="1" applyFont="1" applyFill="1" applyBorder="1" applyAlignment="1" applyProtection="1">
      <alignment vertical="center" wrapText="1"/>
    </xf>
    <xf numFmtId="0" fontId="9" fillId="11" borderId="4" xfId="0" applyFont="1" applyFill="1" applyBorder="1" applyAlignment="1" applyProtection="1">
      <alignment horizontal="left" vertical="center"/>
    </xf>
    <xf numFmtId="0" fontId="9" fillId="11" borderId="4" xfId="0" applyFont="1" applyFill="1" applyBorder="1" applyAlignment="1" applyProtection="1">
      <alignment horizontal="justify" vertical="center"/>
    </xf>
    <xf numFmtId="0" fontId="9" fillId="11" borderId="4" xfId="0" applyFont="1" applyFill="1" applyBorder="1" applyAlignment="1" applyProtection="1">
      <alignment horizontal="center" vertical="center"/>
    </xf>
    <xf numFmtId="0" fontId="9" fillId="11" borderId="4" xfId="0" applyFont="1" applyFill="1" applyBorder="1" applyAlignment="1" applyProtection="1">
      <alignment horizontal="justify" vertical="center" wrapText="1"/>
    </xf>
    <xf numFmtId="172" fontId="9" fillId="11" borderId="4" xfId="0" applyNumberFormat="1" applyFont="1" applyFill="1" applyBorder="1" applyAlignment="1" applyProtection="1">
      <alignment horizontal="center" vertical="center"/>
    </xf>
    <xf numFmtId="43" fontId="9" fillId="11" borderId="4" xfId="11" applyFont="1" applyFill="1" applyBorder="1" applyAlignment="1" applyProtection="1">
      <alignment vertical="center"/>
    </xf>
    <xf numFmtId="43" fontId="9" fillId="11" borderId="2" xfId="11" applyFont="1" applyFill="1" applyBorder="1" applyAlignment="1" applyProtection="1">
      <alignment horizontal="justify" vertical="center"/>
    </xf>
    <xf numFmtId="1" fontId="9" fillId="11" borderId="2" xfId="0" applyNumberFormat="1" applyFont="1" applyFill="1" applyBorder="1" applyAlignment="1" applyProtection="1">
      <alignment horizontal="center" vertical="center"/>
    </xf>
    <xf numFmtId="0" fontId="9" fillId="11" borderId="2" xfId="0" applyFont="1" applyFill="1" applyBorder="1" applyAlignment="1" applyProtection="1">
      <alignment horizontal="center" vertical="center"/>
    </xf>
    <xf numFmtId="0" fontId="9" fillId="11" borderId="4" xfId="0" applyFont="1" applyFill="1" applyBorder="1" applyAlignment="1" applyProtection="1">
      <alignment vertical="center"/>
    </xf>
    <xf numFmtId="170" fontId="9" fillId="11" borderId="4" xfId="0" applyNumberFormat="1" applyFont="1" applyFill="1" applyBorder="1" applyAlignment="1" applyProtection="1">
      <alignment horizontal="center" vertical="center"/>
    </xf>
    <xf numFmtId="0" fontId="14" fillId="11" borderId="4" xfId="0" applyFont="1" applyFill="1" applyBorder="1" applyProtection="1"/>
    <xf numFmtId="0" fontId="14" fillId="4" borderId="4" xfId="0" applyFont="1" applyFill="1" applyBorder="1" applyProtection="1"/>
    <xf numFmtId="0" fontId="14" fillId="4" borderId="5" xfId="0" applyFont="1" applyFill="1" applyBorder="1" applyAlignment="1" applyProtection="1">
      <alignment horizontal="center" vertical="center"/>
    </xf>
    <xf numFmtId="1" fontId="9" fillId="12" borderId="3" xfId="0" applyNumberFormat="1" applyFont="1" applyFill="1" applyBorder="1" applyAlignment="1" applyProtection="1">
      <alignment horizontal="justify" vertical="center"/>
    </xf>
    <xf numFmtId="0" fontId="9" fillId="12" borderId="2" xfId="0" applyFont="1" applyFill="1" applyBorder="1" applyAlignment="1" applyProtection="1">
      <alignment horizontal="left" vertical="center"/>
    </xf>
    <xf numFmtId="0" fontId="9" fillId="12" borderId="2" xfId="0" applyFont="1" applyFill="1" applyBorder="1" applyAlignment="1" applyProtection="1">
      <alignment horizontal="justify" vertical="center"/>
    </xf>
    <xf numFmtId="0" fontId="9" fillId="12" borderId="2" xfId="0" applyFont="1" applyFill="1" applyBorder="1" applyAlignment="1" applyProtection="1">
      <alignment horizontal="justify" vertical="center" wrapText="1"/>
    </xf>
    <xf numFmtId="43" fontId="9" fillId="12" borderId="2" xfId="11" applyFont="1" applyFill="1" applyBorder="1" applyAlignment="1" applyProtection="1">
      <alignment vertical="center"/>
    </xf>
    <xf numFmtId="0" fontId="14" fillId="12" borderId="2" xfId="0" applyFont="1" applyFill="1" applyBorder="1" applyProtection="1"/>
    <xf numFmtId="0" fontId="14" fillId="12" borderId="15" xfId="0" applyFont="1" applyFill="1" applyBorder="1" applyAlignment="1" applyProtection="1">
      <alignment horizontal="center" vertical="center"/>
    </xf>
    <xf numFmtId="0" fontId="10" fillId="7" borderId="9" xfId="0" applyFont="1" applyFill="1" applyBorder="1" applyAlignment="1" applyProtection="1">
      <alignment horizontal="center"/>
    </xf>
    <xf numFmtId="0" fontId="10" fillId="7" borderId="0" xfId="0" applyFont="1" applyFill="1" applyAlignment="1" applyProtection="1">
      <alignment horizontal="center"/>
    </xf>
    <xf numFmtId="0" fontId="10" fillId="7" borderId="17" xfId="0" applyFont="1" applyFill="1" applyBorder="1" applyAlignment="1" applyProtection="1">
      <alignment horizontal="center"/>
    </xf>
    <xf numFmtId="0" fontId="9" fillId="7" borderId="0" xfId="0" applyFont="1" applyFill="1" applyBorder="1" applyAlignment="1" applyProtection="1">
      <alignment horizontal="center" vertical="center"/>
    </xf>
    <xf numFmtId="0" fontId="14" fillId="0" borderId="0" xfId="0" applyFont="1" applyAlignment="1" applyProtection="1">
      <alignment horizontal="center"/>
    </xf>
    <xf numFmtId="171" fontId="10" fillId="0" borderId="1" xfId="0" applyNumberFormat="1" applyFont="1" applyBorder="1" applyAlignment="1" applyProtection="1">
      <alignment horizontal="justify" vertical="center"/>
    </xf>
    <xf numFmtId="43" fontId="10" fillId="0" borderId="6" xfId="11" applyFont="1" applyBorder="1" applyAlignment="1" applyProtection="1">
      <alignment horizontal="center" vertical="center" wrapText="1"/>
    </xf>
    <xf numFmtId="43" fontId="10" fillId="0" borderId="1" xfId="11" applyFont="1" applyBorder="1" applyAlignment="1" applyProtection="1">
      <alignment horizontal="center" vertical="center" wrapText="1"/>
    </xf>
    <xf numFmtId="43" fontId="9" fillId="12" borderId="4" xfId="11" applyFont="1" applyFill="1" applyBorder="1" applyAlignment="1" applyProtection="1">
      <alignment horizontal="left" vertical="center"/>
    </xf>
    <xf numFmtId="1" fontId="9" fillId="12" borderId="4" xfId="0" applyNumberFormat="1" applyFont="1" applyFill="1" applyBorder="1" applyAlignment="1" applyProtection="1">
      <alignment horizontal="center" vertical="center"/>
    </xf>
    <xf numFmtId="9" fontId="10" fillId="7" borderId="14" xfId="13" applyFont="1" applyFill="1" applyBorder="1" applyAlignment="1" applyProtection="1">
      <alignment horizontal="center" vertical="center"/>
    </xf>
    <xf numFmtId="0" fontId="10" fillId="7" borderId="18" xfId="0" applyFont="1" applyFill="1" applyBorder="1" applyAlignment="1" applyProtection="1">
      <alignment horizontal="justify" vertical="center" wrapText="1"/>
    </xf>
    <xf numFmtId="43" fontId="10" fillId="0" borderId="13" xfId="11" applyFont="1" applyBorder="1" applyAlignment="1" applyProtection="1">
      <alignment horizontal="center" vertical="center" wrapText="1"/>
    </xf>
    <xf numFmtId="1" fontId="10" fillId="0" borderId="6" xfId="0" applyNumberFormat="1" applyFont="1" applyBorder="1" applyAlignment="1" applyProtection="1">
      <alignment horizontal="center" vertical="center" wrapText="1"/>
    </xf>
    <xf numFmtId="0" fontId="10" fillId="7" borderId="13" xfId="0" applyFont="1" applyFill="1" applyBorder="1" applyAlignment="1" applyProtection="1">
      <alignment vertical="center" wrapText="1"/>
    </xf>
    <xf numFmtId="43" fontId="10" fillId="0" borderId="6" xfId="11" applyFont="1" applyBorder="1" applyAlignment="1" applyProtection="1">
      <alignment horizontal="center" vertical="center"/>
    </xf>
    <xf numFmtId="43" fontId="10" fillId="0" borderId="6" xfId="11" applyFont="1" applyFill="1" applyBorder="1" applyAlignment="1" applyProtection="1">
      <alignment horizontal="center" vertical="center"/>
    </xf>
    <xf numFmtId="0" fontId="10" fillId="0" borderId="13" xfId="0" applyFont="1" applyFill="1" applyBorder="1" applyAlignment="1" applyProtection="1">
      <alignment horizontal="left" vertical="center" wrapText="1"/>
    </xf>
    <xf numFmtId="0" fontId="10" fillId="7" borderId="13" xfId="0" applyFont="1" applyFill="1" applyBorder="1" applyAlignment="1" applyProtection="1">
      <alignment horizontal="justify" vertical="center" wrapText="1"/>
    </xf>
    <xf numFmtId="0" fontId="10" fillId="7" borderId="13" xfId="0" applyFont="1" applyFill="1" applyBorder="1" applyAlignment="1" applyProtection="1">
      <alignment horizontal="left" vertical="center" wrapText="1"/>
    </xf>
    <xf numFmtId="43" fontId="10" fillId="0" borderId="14" xfId="11" applyFont="1" applyBorder="1" applyAlignment="1" applyProtection="1">
      <alignment horizontal="center" vertical="center"/>
    </xf>
    <xf numFmtId="0" fontId="10" fillId="0" borderId="18" xfId="0" applyFont="1" applyBorder="1" applyAlignment="1" applyProtection="1">
      <alignment vertical="center" wrapText="1"/>
    </xf>
    <xf numFmtId="0" fontId="10" fillId="0" borderId="13" xfId="0" applyFont="1" applyBorder="1" applyAlignment="1" applyProtection="1">
      <alignment horizontal="left" vertical="top" wrapText="1" indent="1"/>
    </xf>
    <xf numFmtId="43" fontId="10" fillId="0" borderId="3" xfId="11" applyFont="1" applyBorder="1" applyAlignment="1" applyProtection="1">
      <alignment horizontal="center" vertical="center"/>
    </xf>
    <xf numFmtId="0" fontId="10" fillId="0" borderId="1" xfId="0" applyFont="1" applyBorder="1" applyAlignment="1" applyProtection="1">
      <alignment vertical="center" wrapText="1"/>
    </xf>
    <xf numFmtId="0" fontId="10" fillId="0" borderId="5" xfId="0" applyFont="1" applyBorder="1" applyAlignment="1" applyProtection="1">
      <alignment horizontal="justify" vertical="center" wrapText="1"/>
    </xf>
    <xf numFmtId="0" fontId="9" fillId="11" borderId="0" xfId="0" applyFont="1" applyFill="1" applyAlignment="1" applyProtection="1">
      <alignment vertical="center"/>
    </xf>
    <xf numFmtId="0" fontId="9" fillId="11" borderId="0" xfId="0" applyFont="1" applyFill="1" applyAlignment="1" applyProtection="1">
      <alignment horizontal="justify" vertical="center" wrapText="1"/>
    </xf>
    <xf numFmtId="172" fontId="9" fillId="11" borderId="0" xfId="0" applyNumberFormat="1" applyFont="1" applyFill="1" applyAlignment="1" applyProtection="1">
      <alignment horizontal="center" vertical="center"/>
    </xf>
    <xf numFmtId="43" fontId="9" fillId="11" borderId="0" xfId="11" applyFont="1" applyFill="1" applyAlignment="1" applyProtection="1">
      <alignment vertical="center"/>
    </xf>
    <xf numFmtId="1" fontId="9" fillId="11" borderId="0" xfId="0" applyNumberFormat="1" applyFont="1" applyFill="1" applyAlignment="1" applyProtection="1">
      <alignment horizontal="center" vertical="center"/>
    </xf>
    <xf numFmtId="1" fontId="9" fillId="11" borderId="0" xfId="0" applyNumberFormat="1" applyFont="1" applyFill="1" applyAlignment="1" applyProtection="1">
      <alignment vertical="center"/>
    </xf>
    <xf numFmtId="1" fontId="14" fillId="11" borderId="0" xfId="0" applyNumberFormat="1" applyFont="1" applyFill="1" applyProtection="1"/>
    <xf numFmtId="0" fontId="14" fillId="4" borderId="0" xfId="0" applyFont="1" applyFill="1" applyProtection="1"/>
    <xf numFmtId="0" fontId="14" fillId="4" borderId="17" xfId="0" applyFont="1" applyFill="1" applyBorder="1" applyAlignment="1" applyProtection="1">
      <alignment horizontal="center" vertical="center"/>
    </xf>
    <xf numFmtId="0" fontId="9" fillId="7" borderId="7" xfId="0" applyFont="1" applyFill="1" applyBorder="1" applyAlignment="1" applyProtection="1">
      <alignment vertical="center" wrapText="1"/>
    </xf>
    <xf numFmtId="0" fontId="9" fillId="7" borderId="9" xfId="0" applyFont="1" applyFill="1" applyBorder="1" applyAlignment="1" applyProtection="1">
      <alignment vertical="center" wrapText="1"/>
    </xf>
    <xf numFmtId="0" fontId="9" fillId="7" borderId="8" xfId="0" applyFont="1" applyFill="1" applyBorder="1" applyAlignment="1" applyProtection="1">
      <alignment vertical="center" wrapText="1"/>
    </xf>
    <xf numFmtId="0" fontId="9" fillId="7" borderId="16" xfId="0" applyFont="1" applyFill="1" applyBorder="1" applyAlignment="1" applyProtection="1">
      <alignment vertical="center" wrapText="1"/>
    </xf>
    <xf numFmtId="0" fontId="9" fillId="7" borderId="0" xfId="0" applyFont="1" applyFill="1" applyAlignment="1" applyProtection="1">
      <alignment vertical="center" wrapText="1"/>
    </xf>
    <xf numFmtId="0" fontId="9" fillId="7" borderId="17" xfId="0" applyFont="1" applyFill="1" applyBorder="1" applyAlignment="1" applyProtection="1">
      <alignment vertical="center" wrapText="1"/>
    </xf>
    <xf numFmtId="1" fontId="9" fillId="7" borderId="16" xfId="0" applyNumberFormat="1" applyFont="1" applyFill="1" applyBorder="1" applyAlignment="1" applyProtection="1">
      <alignment vertical="center"/>
    </xf>
    <xf numFmtId="1" fontId="9" fillId="7" borderId="0" xfId="0" applyNumberFormat="1" applyFont="1" applyFill="1" applyAlignment="1" applyProtection="1">
      <alignment vertical="center"/>
    </xf>
    <xf numFmtId="1" fontId="9" fillId="7" borderId="17" xfId="0" applyNumberFormat="1" applyFont="1" applyFill="1" applyBorder="1" applyAlignment="1" applyProtection="1">
      <alignment vertical="center"/>
    </xf>
    <xf numFmtId="1" fontId="10" fillId="7" borderId="5" xfId="0" applyNumberFormat="1" applyFont="1" applyFill="1" applyBorder="1" applyAlignment="1" applyProtection="1">
      <alignment horizontal="center" vertical="center" wrapText="1"/>
    </xf>
    <xf numFmtId="1" fontId="10" fillId="7" borderId="8" xfId="0" applyNumberFormat="1" applyFont="1" applyFill="1" applyBorder="1" applyAlignment="1" applyProtection="1">
      <alignment horizontal="center" vertical="center" wrapText="1"/>
    </xf>
    <xf numFmtId="0" fontId="10" fillId="7" borderId="6" xfId="0" applyFont="1" applyFill="1" applyBorder="1" applyAlignment="1" applyProtection="1">
      <alignment horizontal="center" vertical="center" wrapText="1"/>
    </xf>
    <xf numFmtId="0" fontId="14" fillId="0" borderId="51" xfId="0" applyFont="1" applyBorder="1" applyAlignment="1" applyProtection="1">
      <alignment horizontal="center" vertical="center"/>
    </xf>
    <xf numFmtId="0" fontId="10" fillId="7" borderId="15" xfId="0" applyFont="1" applyFill="1" applyBorder="1" applyAlignment="1" applyProtection="1">
      <alignment horizontal="center" vertical="center"/>
    </xf>
    <xf numFmtId="0" fontId="10" fillId="0" borderId="13" xfId="0" applyFont="1" applyBorder="1" applyAlignment="1" applyProtection="1">
      <alignment horizontal="center" vertical="center"/>
    </xf>
    <xf numFmtId="0" fontId="10" fillId="7" borderId="13" xfId="0" applyFont="1" applyFill="1" applyBorder="1" applyAlignment="1" applyProtection="1">
      <alignment horizontal="justify" vertical="center"/>
    </xf>
    <xf numFmtId="9" fontId="10" fillId="0" borderId="13" xfId="15" applyFont="1" applyBorder="1" applyAlignment="1" applyProtection="1">
      <alignment horizontal="center" vertical="center"/>
    </xf>
    <xf numFmtId="43" fontId="10" fillId="7" borderId="13" xfId="11" applyFont="1" applyFill="1" applyBorder="1" applyAlignment="1" applyProtection="1">
      <alignment horizontal="center" vertical="center"/>
    </xf>
    <xf numFmtId="43" fontId="10" fillId="0" borderId="13" xfId="11" applyFont="1" applyBorder="1" applyAlignment="1" applyProtection="1">
      <alignment horizontal="center" vertical="center"/>
    </xf>
    <xf numFmtId="1" fontId="10" fillId="7" borderId="13" xfId="0" applyNumberFormat="1" applyFont="1" applyFill="1" applyBorder="1" applyAlignment="1" applyProtection="1">
      <alignment horizontal="center" vertical="center" wrapText="1"/>
    </xf>
    <xf numFmtId="1" fontId="10" fillId="7" borderId="13" xfId="0" applyNumberFormat="1" applyFont="1" applyFill="1" applyBorder="1" applyAlignment="1" applyProtection="1">
      <alignment horizontal="center" vertical="center"/>
    </xf>
    <xf numFmtId="1" fontId="10" fillId="7" borderId="16" xfId="0" applyNumberFormat="1" applyFont="1" applyFill="1" applyBorder="1" applyAlignment="1" applyProtection="1">
      <alignment horizontal="center" vertical="center"/>
    </xf>
    <xf numFmtId="1" fontId="14" fillId="0" borderId="13" xfId="0" applyNumberFormat="1" applyFont="1" applyBorder="1" applyAlignment="1" applyProtection="1">
      <alignment horizontal="center" vertical="center"/>
    </xf>
    <xf numFmtId="0" fontId="14" fillId="0" borderId="13" xfId="0" applyFont="1" applyBorder="1" applyAlignment="1" applyProtection="1">
      <alignment horizontal="center" vertical="center"/>
    </xf>
    <xf numFmtId="43" fontId="14" fillId="0" borderId="13" xfId="0" applyNumberFormat="1" applyFont="1" applyBorder="1" applyAlignment="1" applyProtection="1">
      <alignment horizontal="center" vertical="center"/>
    </xf>
    <xf numFmtId="10" fontId="14" fillId="0" borderId="13" xfId="0" applyNumberFormat="1" applyFont="1" applyBorder="1" applyAlignment="1" applyProtection="1">
      <alignment horizontal="center" vertical="center"/>
    </xf>
    <xf numFmtId="0" fontId="14" fillId="0" borderId="13" xfId="0" applyFont="1" applyBorder="1" applyAlignment="1" applyProtection="1">
      <alignment horizontal="center" vertical="center" wrapText="1"/>
    </xf>
    <xf numFmtId="14" fontId="14" fillId="0" borderId="13" xfId="0" applyNumberFormat="1" applyFont="1" applyBorder="1" applyAlignment="1" applyProtection="1">
      <alignment vertical="center"/>
    </xf>
    <xf numFmtId="172" fontId="9" fillId="12" borderId="4" xfId="0" applyNumberFormat="1" applyFont="1" applyFill="1" applyBorder="1" applyAlignment="1" applyProtection="1">
      <alignment horizontal="center" vertical="center"/>
    </xf>
    <xf numFmtId="173" fontId="9" fillId="12" borderId="4" xfId="0" applyNumberFormat="1" applyFont="1" applyFill="1" applyBorder="1" applyAlignment="1" applyProtection="1">
      <alignment horizontal="center" vertical="center"/>
    </xf>
    <xf numFmtId="170" fontId="9" fillId="12" borderId="4" xfId="0" applyNumberFormat="1" applyFont="1" applyFill="1" applyBorder="1" applyAlignment="1" applyProtection="1">
      <alignment horizontal="center" vertical="center"/>
    </xf>
    <xf numFmtId="0" fontId="14" fillId="12" borderId="1" xfId="0" applyFont="1" applyFill="1" applyBorder="1" applyAlignment="1" applyProtection="1">
      <alignment wrapText="1"/>
    </xf>
    <xf numFmtId="0" fontId="14" fillId="12" borderId="4" xfId="0" applyFont="1" applyFill="1" applyBorder="1" applyAlignment="1" applyProtection="1">
      <alignment wrapText="1"/>
    </xf>
    <xf numFmtId="0" fontId="10" fillId="7" borderId="16" xfId="0" applyFont="1" applyFill="1" applyBorder="1" applyAlignment="1" applyProtection="1">
      <alignment horizontal="center" vertical="center"/>
    </xf>
    <xf numFmtId="0" fontId="9" fillId="11" borderId="9" xfId="0" applyFont="1" applyFill="1" applyBorder="1" applyAlignment="1" applyProtection="1">
      <alignment horizontal="justify" vertical="center" wrapText="1"/>
    </xf>
    <xf numFmtId="43" fontId="9" fillId="11" borderId="9" xfId="11" applyFont="1" applyFill="1" applyBorder="1" applyAlignment="1" applyProtection="1">
      <alignment horizontal="justify" vertical="center"/>
    </xf>
    <xf numFmtId="1" fontId="9" fillId="11" borderId="9" xfId="0" applyNumberFormat="1" applyFont="1" applyFill="1" applyBorder="1" applyAlignment="1" applyProtection="1">
      <alignment horizontal="center" vertical="center"/>
    </xf>
    <xf numFmtId="0" fontId="9" fillId="12" borderId="4" xfId="0" applyFont="1" applyFill="1" applyBorder="1" applyAlignment="1" applyProtection="1">
      <alignment vertical="center" wrapText="1"/>
    </xf>
    <xf numFmtId="0" fontId="9" fillId="12" borderId="4" xfId="0" applyFont="1" applyFill="1" applyBorder="1" applyAlignment="1" applyProtection="1">
      <alignment horizontal="center" vertical="center" wrapText="1"/>
    </xf>
    <xf numFmtId="0" fontId="10" fillId="0" borderId="18" xfId="0" applyFont="1" applyFill="1" applyBorder="1" applyAlignment="1" applyProtection="1">
      <alignment horizontal="justify" vertical="center"/>
    </xf>
    <xf numFmtId="0" fontId="10" fillId="7" borderId="18" xfId="0" applyFont="1" applyFill="1" applyBorder="1" applyAlignment="1" applyProtection="1">
      <alignment horizontal="center" vertical="center" wrapText="1"/>
    </xf>
    <xf numFmtId="0" fontId="9" fillId="7" borderId="1" xfId="0" applyFont="1" applyFill="1" applyBorder="1" applyAlignment="1" applyProtection="1">
      <alignment horizontal="justify" vertical="center"/>
    </xf>
    <xf numFmtId="0" fontId="9" fillId="7" borderId="1" xfId="0" applyFont="1" applyFill="1" applyBorder="1" applyAlignment="1" applyProtection="1">
      <alignment horizontal="center" vertical="center"/>
    </xf>
    <xf numFmtId="43" fontId="9" fillId="7" borderId="1" xfId="11" applyFont="1" applyFill="1" applyBorder="1" applyAlignment="1" applyProtection="1">
      <alignment horizontal="center" vertical="center"/>
    </xf>
    <xf numFmtId="0" fontId="9" fillId="7" borderId="1" xfId="0" applyFont="1" applyFill="1" applyBorder="1" applyAlignment="1" applyProtection="1">
      <alignment horizontal="center" vertical="center" wrapText="1"/>
    </xf>
    <xf numFmtId="9" fontId="9" fillId="7" borderId="1" xfId="13" applyFont="1" applyFill="1" applyBorder="1" applyAlignment="1" applyProtection="1">
      <alignment horizontal="center" vertical="center"/>
    </xf>
    <xf numFmtId="43" fontId="9" fillId="0" borderId="1" xfId="11" applyFont="1" applyBorder="1" applyAlignment="1" applyProtection="1">
      <alignment horizontal="center" vertical="center"/>
    </xf>
    <xf numFmtId="171" fontId="9" fillId="7" borderId="1" xfId="0" applyNumberFormat="1" applyFont="1" applyFill="1" applyBorder="1" applyAlignment="1" applyProtection="1">
      <alignment horizontal="center" vertical="center"/>
    </xf>
    <xf numFmtId="43" fontId="9" fillId="0" borderId="1" xfId="1" applyFont="1" applyBorder="1" applyAlignment="1" applyProtection="1">
      <alignment horizontal="center" vertical="center"/>
    </xf>
    <xf numFmtId="14" fontId="19" fillId="0" borderId="1" xfId="0" applyNumberFormat="1" applyFont="1" applyBorder="1" applyAlignment="1" applyProtection="1">
      <alignment vertical="center"/>
    </xf>
    <xf numFmtId="0" fontId="19" fillId="0" borderId="1" xfId="0" applyFont="1" applyBorder="1" applyAlignment="1" applyProtection="1">
      <alignment horizontal="justify" vertical="center" wrapText="1"/>
    </xf>
    <xf numFmtId="0" fontId="19" fillId="0" borderId="0" xfId="0" applyFont="1" applyProtection="1"/>
    <xf numFmtId="1" fontId="10" fillId="0" borderId="0" xfId="0" applyNumberFormat="1" applyFont="1" applyProtection="1"/>
    <xf numFmtId="0" fontId="10" fillId="0" borderId="0" xfId="0" applyFont="1" applyAlignment="1" applyProtection="1">
      <alignment horizontal="justify" vertical="center"/>
    </xf>
    <xf numFmtId="0" fontId="10" fillId="0" borderId="0" xfId="0" applyFont="1" applyAlignment="1" applyProtection="1">
      <alignment horizontal="justify"/>
    </xf>
    <xf numFmtId="0" fontId="10" fillId="0" borderId="0" xfId="0" applyFont="1" applyAlignment="1" applyProtection="1">
      <alignment horizontal="center"/>
    </xf>
    <xf numFmtId="172" fontId="10" fillId="0" borderId="0" xfId="0" applyNumberFormat="1" applyFont="1" applyAlignment="1" applyProtection="1">
      <alignment horizontal="center" vertical="center"/>
    </xf>
    <xf numFmtId="171" fontId="10" fillId="0" borderId="0" xfId="16" applyNumberFormat="1" applyFont="1" applyAlignment="1" applyProtection="1">
      <alignment horizontal="center" vertical="center"/>
    </xf>
    <xf numFmtId="171" fontId="10" fillId="0" borderId="0" xfId="0" applyNumberFormat="1" applyFont="1" applyAlignment="1" applyProtection="1">
      <alignment horizontal="center" vertical="center"/>
    </xf>
    <xf numFmtId="0" fontId="14" fillId="0" borderId="0" xfId="0" applyFont="1" applyAlignment="1" applyProtection="1">
      <alignment horizontal="justify"/>
    </xf>
    <xf numFmtId="3" fontId="10" fillId="0" borderId="0" xfId="0" applyNumberFormat="1" applyFont="1" applyAlignment="1" applyProtection="1">
      <alignment horizontal="right" vertical="center"/>
    </xf>
    <xf numFmtId="4" fontId="10" fillId="0" borderId="0" xfId="0" applyNumberFormat="1" applyFont="1" applyAlignment="1" applyProtection="1">
      <alignment horizontal="justify" vertical="center"/>
    </xf>
    <xf numFmtId="43" fontId="10" fillId="0" borderId="0" xfId="0" applyNumberFormat="1" applyFont="1" applyAlignment="1" applyProtection="1">
      <alignment horizontal="justify" vertical="center"/>
    </xf>
    <xf numFmtId="42" fontId="10" fillId="0" borderId="0" xfId="16" applyFont="1" applyAlignment="1" applyProtection="1">
      <alignment horizontal="justify"/>
    </xf>
    <xf numFmtId="0" fontId="10" fillId="0" borderId="0" xfId="0" applyFont="1" applyAlignment="1" applyProtection="1">
      <alignment horizontal="left"/>
    </xf>
    <xf numFmtId="171" fontId="10" fillId="0" borderId="0" xfId="0" applyNumberFormat="1" applyFont="1" applyAlignment="1" applyProtection="1">
      <alignment horizontal="justify"/>
    </xf>
    <xf numFmtId="0" fontId="10" fillId="0" borderId="0" xfId="0" applyFont="1" applyAlignment="1" applyProtection="1">
      <alignment horizontal="center" wrapText="1"/>
    </xf>
    <xf numFmtId="0" fontId="2" fillId="0" borderId="1" xfId="0" applyFont="1" applyBorder="1"/>
    <xf numFmtId="0" fontId="10" fillId="0" borderId="0" xfId="0" applyFont="1" applyAlignment="1">
      <alignment horizontal="justify" vertical="center"/>
    </xf>
    <xf numFmtId="0" fontId="2" fillId="0" borderId="1" xfId="0" applyFont="1" applyBorder="1" applyAlignment="1">
      <alignment horizontal="left"/>
    </xf>
    <xf numFmtId="164" fontId="2" fillId="0" borderId="1" xfId="0" applyNumberFormat="1" applyFont="1" applyBorder="1" applyAlignment="1">
      <alignment horizontal="left"/>
    </xf>
    <xf numFmtId="17" fontId="2" fillId="0" borderId="1" xfId="0" applyNumberFormat="1" applyFont="1" applyBorder="1" applyAlignment="1">
      <alignment horizontal="left"/>
    </xf>
    <xf numFmtId="0" fontId="2" fillId="0" borderId="6" xfId="0" applyFont="1" applyBorder="1" applyAlignment="1">
      <alignment vertical="center"/>
    </xf>
    <xf numFmtId="3" fontId="2" fillId="2" borderId="6" xfId="0" applyNumberFormat="1" applyFont="1" applyFill="1" applyBorder="1" applyAlignment="1">
      <alignment horizontal="left" vertical="center" wrapText="1"/>
    </xf>
    <xf numFmtId="0" fontId="9" fillId="0" borderId="0" xfId="0" applyFont="1" applyAlignment="1">
      <alignment vertical="center"/>
    </xf>
    <xf numFmtId="0" fontId="10" fillId="0" borderId="3" xfId="0" applyFont="1" applyBorder="1"/>
    <xf numFmtId="0" fontId="9" fillId="0" borderId="4" xfId="0" applyFont="1" applyBorder="1" applyAlignment="1">
      <alignment vertical="center"/>
    </xf>
    <xf numFmtId="0" fontId="9" fillId="10" borderId="52" xfId="0" applyFont="1" applyFill="1" applyBorder="1" applyAlignment="1">
      <alignment horizontal="center" vertical="center" wrapText="1"/>
    </xf>
    <xf numFmtId="0" fontId="9" fillId="10" borderId="14" xfId="0" applyFont="1" applyFill="1" applyBorder="1" applyAlignment="1">
      <alignment horizontal="left" vertical="center"/>
    </xf>
    <xf numFmtId="0" fontId="9" fillId="10" borderId="2" xfId="0" applyFont="1" applyFill="1" applyBorder="1" applyAlignment="1">
      <alignment horizontal="left" vertical="center" wrapText="1"/>
    </xf>
    <xf numFmtId="0" fontId="9" fillId="10" borderId="2" xfId="0" applyFont="1" applyFill="1" applyBorder="1" applyAlignment="1">
      <alignment horizontal="justify" vertical="center" wrapText="1"/>
    </xf>
    <xf numFmtId="0" fontId="9" fillId="10" borderId="2" xfId="0" applyFont="1" applyFill="1" applyBorder="1" applyAlignment="1">
      <alignment horizontal="center" vertical="center" wrapText="1"/>
    </xf>
    <xf numFmtId="0" fontId="9" fillId="10" borderId="53" xfId="0" applyFont="1" applyFill="1" applyBorder="1" applyAlignment="1">
      <alignment horizontal="justify" vertical="center" wrapText="1"/>
    </xf>
    <xf numFmtId="0" fontId="9" fillId="7" borderId="54" xfId="0" applyFont="1" applyFill="1" applyBorder="1" applyAlignment="1">
      <alignment vertical="center" wrapText="1"/>
    </xf>
    <xf numFmtId="0" fontId="9" fillId="7" borderId="8" xfId="0" applyFont="1" applyFill="1" applyBorder="1" applyAlignment="1">
      <alignment vertical="center" wrapText="1"/>
    </xf>
    <xf numFmtId="0" fontId="9" fillId="11" borderId="1" xfId="0" applyFont="1" applyFill="1" applyBorder="1" applyAlignment="1">
      <alignment horizontal="center" vertical="center" wrapText="1"/>
    </xf>
    <xf numFmtId="0" fontId="9" fillId="11" borderId="3" xfId="0" applyFont="1" applyFill="1" applyBorder="1" applyAlignment="1">
      <alignment vertical="center"/>
    </xf>
    <xf numFmtId="0" fontId="9" fillId="11" borderId="9" xfId="0" applyFont="1" applyFill="1" applyBorder="1" applyAlignment="1">
      <alignment vertical="center"/>
    </xf>
    <xf numFmtId="0" fontId="9" fillId="11" borderId="0" xfId="0" applyFont="1" applyFill="1" applyAlignment="1">
      <alignment vertical="center"/>
    </xf>
    <xf numFmtId="0" fontId="9" fillId="11" borderId="0" xfId="0" applyFont="1" applyFill="1" applyAlignment="1">
      <alignment horizontal="justify" vertical="center"/>
    </xf>
    <xf numFmtId="0" fontId="9" fillId="11" borderId="0" xfId="0" applyFont="1" applyFill="1" applyAlignment="1">
      <alignment horizontal="center" vertical="center"/>
    </xf>
    <xf numFmtId="0" fontId="9" fillId="11" borderId="55" xfId="0" applyFont="1" applyFill="1" applyBorder="1" applyAlignment="1">
      <alignment horizontal="justify" vertical="center"/>
    </xf>
    <xf numFmtId="0" fontId="9" fillId="7" borderId="35" xfId="0" applyFont="1" applyFill="1" applyBorder="1" applyAlignment="1">
      <alignment vertical="center" wrapText="1"/>
    </xf>
    <xf numFmtId="0" fontId="9" fillId="7" borderId="17" xfId="0" applyFont="1" applyFill="1" applyBorder="1" applyAlignment="1">
      <alignment vertical="center" wrapText="1"/>
    </xf>
    <xf numFmtId="0" fontId="9" fillId="7" borderId="16" xfId="0" applyFont="1" applyFill="1" applyBorder="1" applyAlignment="1">
      <alignment vertical="center" wrapText="1"/>
    </xf>
    <xf numFmtId="0" fontId="9" fillId="12" borderId="3" xfId="0" applyFont="1" applyFill="1" applyBorder="1" applyAlignment="1">
      <alignment horizontal="left" vertical="center"/>
    </xf>
    <xf numFmtId="0" fontId="9" fillId="12" borderId="4" xfId="0" applyFont="1" applyFill="1" applyBorder="1" applyAlignment="1">
      <alignment horizontal="left" vertical="center"/>
    </xf>
    <xf numFmtId="0" fontId="9" fillId="12" borderId="4" xfId="0" applyFont="1" applyFill="1" applyBorder="1" applyAlignment="1">
      <alignment horizontal="justify" vertical="center"/>
    </xf>
    <xf numFmtId="0" fontId="9" fillId="12" borderId="4" xfId="0" applyFont="1" applyFill="1" applyBorder="1" applyAlignment="1">
      <alignment horizontal="center" vertical="center"/>
    </xf>
    <xf numFmtId="0" fontId="10" fillId="12" borderId="5" xfId="0" applyFont="1" applyFill="1" applyBorder="1" applyAlignment="1">
      <alignment horizontal="justify" vertical="center"/>
    </xf>
    <xf numFmtId="43" fontId="10" fillId="7" borderId="1" xfId="1" applyFont="1" applyFill="1" applyBorder="1" applyAlignment="1">
      <alignment horizontal="center" vertical="center" wrapText="1"/>
    </xf>
    <xf numFmtId="0" fontId="9" fillId="7" borderId="14" xfId="0" applyFont="1" applyFill="1" applyBorder="1" applyAlignment="1">
      <alignment vertical="center" wrapText="1"/>
    </xf>
    <xf numFmtId="0" fontId="9" fillId="7" borderId="15" xfId="0" applyFont="1" applyFill="1" applyBorder="1" applyAlignment="1">
      <alignment vertical="center" wrapText="1"/>
    </xf>
    <xf numFmtId="43" fontId="3" fillId="7" borderId="1" xfId="1" applyFont="1" applyFill="1" applyBorder="1" applyAlignment="1">
      <alignment horizontal="center" vertical="center" wrapText="1"/>
    </xf>
    <xf numFmtId="0" fontId="9" fillId="11" borderId="3" xfId="0" applyFont="1" applyFill="1" applyBorder="1" applyAlignment="1">
      <alignment horizontal="left" vertical="center"/>
    </xf>
    <xf numFmtId="0" fontId="9" fillId="11" borderId="4" xfId="0" applyFont="1" applyFill="1" applyBorder="1" applyAlignment="1">
      <alignment horizontal="left" vertical="center"/>
    </xf>
    <xf numFmtId="0" fontId="9" fillId="11" borderId="4" xfId="0" applyFont="1" applyFill="1" applyBorder="1" applyAlignment="1">
      <alignment horizontal="justify" vertical="center"/>
    </xf>
    <xf numFmtId="169" fontId="9" fillId="11" borderId="4" xfId="0" applyNumberFormat="1" applyFont="1" applyFill="1" applyBorder="1" applyAlignment="1">
      <alignment horizontal="left" vertical="center"/>
    </xf>
    <xf numFmtId="43" fontId="9" fillId="11" borderId="4" xfId="1" applyFont="1" applyFill="1" applyBorder="1" applyAlignment="1">
      <alignment horizontal="left" vertical="center"/>
    </xf>
    <xf numFmtId="43" fontId="9" fillId="11" borderId="4" xfId="1" applyFont="1" applyFill="1" applyBorder="1" applyAlignment="1">
      <alignment horizontal="center" vertical="center"/>
    </xf>
    <xf numFmtId="0" fontId="9" fillId="11" borderId="4" xfId="0" applyFont="1" applyFill="1" applyBorder="1" applyAlignment="1">
      <alignment horizontal="center" vertical="center"/>
    </xf>
    <xf numFmtId="0" fontId="9" fillId="11" borderId="1" xfId="0" applyFont="1" applyFill="1" applyBorder="1" applyAlignment="1">
      <alignment horizontal="left" vertical="center"/>
    </xf>
    <xf numFmtId="43" fontId="9" fillId="11" borderId="1" xfId="1" applyFont="1" applyFill="1" applyBorder="1" applyAlignment="1">
      <alignment horizontal="left" vertical="center"/>
    </xf>
    <xf numFmtId="9" fontId="9" fillId="11" borderId="1" xfId="0" applyNumberFormat="1" applyFont="1" applyFill="1" applyBorder="1" applyAlignment="1">
      <alignment horizontal="left" vertical="center"/>
    </xf>
    <xf numFmtId="0" fontId="10" fillId="11" borderId="1" xfId="0" applyFont="1" applyFill="1" applyBorder="1" applyAlignment="1">
      <alignment horizontal="center" vertical="center"/>
    </xf>
    <xf numFmtId="0" fontId="9" fillId="7" borderId="0" xfId="0" applyFont="1" applyFill="1" applyBorder="1" applyAlignment="1">
      <alignment vertical="center" wrapText="1"/>
    </xf>
    <xf numFmtId="169" fontId="9" fillId="12" borderId="4" xfId="0" applyNumberFormat="1" applyFont="1" applyFill="1" applyBorder="1" applyAlignment="1">
      <alignment horizontal="left" vertical="center"/>
    </xf>
    <xf numFmtId="43" fontId="9" fillId="12" borderId="4" xfId="1" applyFont="1" applyFill="1" applyBorder="1" applyAlignment="1">
      <alignment horizontal="left" vertical="center"/>
    </xf>
    <xf numFmtId="43" fontId="9" fillId="12" borderId="4" xfId="1" applyFont="1" applyFill="1" applyBorder="1" applyAlignment="1">
      <alignment horizontal="center" vertical="center"/>
    </xf>
    <xf numFmtId="9" fontId="9" fillId="12" borderId="4" xfId="0" applyNumberFormat="1" applyFont="1" applyFill="1" applyBorder="1" applyAlignment="1">
      <alignment horizontal="left" vertical="center"/>
    </xf>
    <xf numFmtId="0" fontId="10" fillId="12" borderId="1" xfId="0" applyFont="1" applyFill="1" applyBorder="1" applyAlignment="1">
      <alignment horizontal="center" vertical="center"/>
    </xf>
    <xf numFmtId="0" fontId="10" fillId="7" borderId="7" xfId="0" applyFont="1" applyFill="1" applyBorder="1" applyAlignment="1">
      <alignment vertical="center" wrapText="1"/>
    </xf>
    <xf numFmtId="0" fontId="10" fillId="7" borderId="8" xfId="0" applyFont="1" applyFill="1" applyBorder="1" applyAlignment="1">
      <alignment vertical="center" wrapText="1"/>
    </xf>
    <xf numFmtId="43" fontId="3" fillId="7" borderId="2" xfId="1" applyFont="1" applyFill="1" applyBorder="1" applyAlignment="1">
      <alignment horizontal="center" vertical="center" wrapText="1"/>
    </xf>
    <xf numFmtId="0" fontId="10" fillId="7" borderId="16" xfId="0" applyFont="1" applyFill="1" applyBorder="1" applyAlignment="1">
      <alignment vertical="center" wrapText="1"/>
    </xf>
    <xf numFmtId="0" fontId="10" fillId="7" borderId="17" xfId="0" applyFont="1" applyFill="1" applyBorder="1" applyAlignment="1">
      <alignment vertical="center" wrapText="1"/>
    </xf>
    <xf numFmtId="43" fontId="3" fillId="0" borderId="2" xfId="1" applyFont="1" applyBorder="1" applyAlignment="1">
      <alignment horizontal="center" vertical="center" wrapText="1"/>
    </xf>
    <xf numFmtId="43" fontId="3" fillId="7" borderId="14" xfId="1" applyFont="1" applyFill="1" applyBorder="1" applyAlignment="1">
      <alignment horizontal="center" vertical="center" wrapText="1"/>
    </xf>
    <xf numFmtId="43" fontId="3" fillId="7" borderId="7" xfId="1" applyFont="1" applyFill="1" applyBorder="1" applyAlignment="1">
      <alignment horizontal="center" vertical="center" wrapText="1"/>
    </xf>
    <xf numFmtId="0" fontId="9" fillId="12" borderId="9" xfId="0" applyFont="1" applyFill="1" applyBorder="1" applyAlignment="1">
      <alignment horizontal="left" vertical="center"/>
    </xf>
    <xf numFmtId="0" fontId="9" fillId="12" borderId="9" xfId="0" applyFont="1" applyFill="1" applyBorder="1" applyAlignment="1">
      <alignment horizontal="justify" vertical="center"/>
    </xf>
    <xf numFmtId="0" fontId="10" fillId="7" borderId="0" xfId="0" applyFont="1" applyFill="1" applyBorder="1" applyAlignment="1">
      <alignment vertical="center" wrapText="1"/>
    </xf>
    <xf numFmtId="178" fontId="10" fillId="7" borderId="6" xfId="0" applyNumberFormat="1" applyFont="1" applyFill="1" applyBorder="1" applyAlignment="1">
      <alignment vertical="center" wrapText="1"/>
    </xf>
    <xf numFmtId="43" fontId="10" fillId="0" borderId="6" xfId="1" applyFont="1" applyFill="1" applyBorder="1" applyAlignment="1">
      <alignment horizontal="center" vertical="center" wrapText="1"/>
    </xf>
    <xf numFmtId="178" fontId="10" fillId="7" borderId="13" xfId="0" applyNumberFormat="1" applyFont="1" applyFill="1" applyBorder="1" applyAlignment="1">
      <alignment vertical="center" wrapText="1"/>
    </xf>
    <xf numFmtId="43" fontId="3" fillId="7" borderId="3" xfId="1" applyFont="1" applyFill="1" applyBorder="1" applyAlignment="1">
      <alignment horizontal="center" vertical="center" wrapText="1"/>
    </xf>
    <xf numFmtId="43" fontId="10" fillId="0" borderId="1" xfId="1" applyFont="1" applyFill="1" applyBorder="1" applyAlignment="1">
      <alignment horizontal="center" vertical="center" wrapText="1"/>
    </xf>
    <xf numFmtId="43" fontId="10" fillId="0" borderId="18" xfId="1" applyFont="1" applyFill="1" applyBorder="1" applyAlignment="1">
      <alignment horizontal="center" vertical="center" wrapText="1"/>
    </xf>
    <xf numFmtId="0" fontId="10" fillId="7" borderId="1" xfId="0" applyFont="1" applyFill="1" applyBorder="1" applyAlignment="1">
      <alignment horizontal="justify" vertical="center" wrapText="1"/>
    </xf>
    <xf numFmtId="0" fontId="3" fillId="7" borderId="7" xfId="0" applyFont="1" applyFill="1" applyBorder="1" applyAlignment="1">
      <alignment horizontal="justify" vertical="center" wrapText="1"/>
    </xf>
    <xf numFmtId="0" fontId="10" fillId="7" borderId="14" xfId="0" applyFont="1" applyFill="1" applyBorder="1" applyAlignment="1">
      <alignment vertical="center" wrapText="1"/>
    </xf>
    <xf numFmtId="0" fontId="10" fillId="7" borderId="2" xfId="0" applyFont="1" applyFill="1" applyBorder="1" applyAlignment="1">
      <alignment vertical="center" wrapText="1"/>
    </xf>
    <xf numFmtId="178" fontId="10" fillId="7" borderId="18" xfId="0" applyNumberFormat="1" applyFont="1" applyFill="1" applyBorder="1" applyAlignment="1">
      <alignment vertical="center" wrapText="1"/>
    </xf>
    <xf numFmtId="0" fontId="3" fillId="7" borderId="3" xfId="0" applyFont="1" applyFill="1" applyBorder="1" applyAlignment="1">
      <alignment horizontal="justify" vertical="center" wrapText="1"/>
    </xf>
    <xf numFmtId="0" fontId="10" fillId="0" borderId="0" xfId="0" applyFont="1" applyBorder="1" applyAlignment="1">
      <alignment wrapText="1"/>
    </xf>
    <xf numFmtId="0" fontId="9" fillId="12" borderId="13" xfId="0" applyFont="1" applyFill="1" applyBorder="1" applyAlignment="1">
      <alignment horizontal="center" vertical="center" wrapText="1"/>
    </xf>
    <xf numFmtId="2" fontId="9" fillId="12" borderId="4" xfId="0" applyNumberFormat="1" applyFont="1" applyFill="1" applyBorder="1" applyAlignment="1">
      <alignment horizontal="left" vertical="center"/>
    </xf>
    <xf numFmtId="43" fontId="9" fillId="12" borderId="1" xfId="1" applyFont="1" applyFill="1" applyBorder="1" applyAlignment="1">
      <alignment horizontal="center" vertical="center"/>
    </xf>
    <xf numFmtId="0" fontId="2" fillId="11" borderId="1" xfId="0" applyFont="1" applyFill="1" applyBorder="1" applyAlignment="1">
      <alignment horizontal="center" vertical="center" wrapText="1"/>
    </xf>
    <xf numFmtId="0" fontId="2" fillId="11" borderId="3" xfId="0" applyFont="1" applyFill="1" applyBorder="1" applyAlignment="1">
      <alignment vertical="center"/>
    </xf>
    <xf numFmtId="0" fontId="2" fillId="11" borderId="0" xfId="0" applyFont="1" applyFill="1" applyAlignment="1">
      <alignment vertical="center"/>
    </xf>
    <xf numFmtId="0" fontId="2" fillId="11" borderId="0" xfId="0" applyFont="1" applyFill="1" applyAlignment="1">
      <alignment horizontal="justify" vertical="center"/>
    </xf>
    <xf numFmtId="169" fontId="2" fillId="11" borderId="0" xfId="0" applyNumberFormat="1" applyFont="1" applyFill="1" applyAlignment="1">
      <alignment vertical="center"/>
    </xf>
    <xf numFmtId="43" fontId="2" fillId="11" borderId="0" xfId="1" applyFont="1" applyFill="1" applyAlignment="1">
      <alignment vertical="center"/>
    </xf>
    <xf numFmtId="43" fontId="2" fillId="11" borderId="0" xfId="1" applyFont="1" applyFill="1" applyAlignment="1">
      <alignment horizontal="center" vertical="center"/>
    </xf>
    <xf numFmtId="0" fontId="2" fillId="11" borderId="0" xfId="0" applyFont="1" applyFill="1" applyAlignment="1">
      <alignment horizontal="center" vertical="center"/>
    </xf>
    <xf numFmtId="0" fontId="2" fillId="11" borderId="55" xfId="0" applyFont="1" applyFill="1" applyBorder="1" applyAlignment="1">
      <alignment horizontal="justify" vertical="center"/>
    </xf>
    <xf numFmtId="0" fontId="2" fillId="12" borderId="3" xfId="0" applyFont="1" applyFill="1" applyBorder="1" applyAlignment="1">
      <alignment horizontal="left" vertical="center"/>
    </xf>
    <xf numFmtId="0" fontId="2" fillId="12" borderId="4" xfId="0" applyFont="1" applyFill="1" applyBorder="1" applyAlignment="1">
      <alignment horizontal="left" vertical="center"/>
    </xf>
    <xf numFmtId="0" fontId="2" fillId="12" borderId="4" xfId="0" applyFont="1" applyFill="1" applyBorder="1" applyAlignment="1">
      <alignment horizontal="justify" vertical="center" wrapText="1"/>
    </xf>
    <xf numFmtId="169" fontId="2" fillId="12" borderId="4" xfId="0" applyNumberFormat="1" applyFont="1" applyFill="1" applyBorder="1" applyAlignment="1">
      <alignment horizontal="left" vertical="center"/>
    </xf>
    <xf numFmtId="43" fontId="2" fillId="12" borderId="4" xfId="1" applyFont="1" applyFill="1" applyBorder="1" applyAlignment="1">
      <alignment horizontal="left" vertical="center"/>
    </xf>
    <xf numFmtId="0" fontId="3" fillId="7" borderId="7" xfId="0" applyFont="1" applyFill="1" applyBorder="1" applyAlignment="1">
      <alignment vertical="center" wrapText="1"/>
    </xf>
    <xf numFmtId="0" fontId="3" fillId="7" borderId="17" xfId="0" applyFont="1" applyFill="1" applyBorder="1" applyAlignment="1">
      <alignment vertical="center" wrapText="1"/>
    </xf>
    <xf numFmtId="0" fontId="3" fillId="7" borderId="16" xfId="0" applyFont="1" applyFill="1" applyBorder="1" applyAlignment="1">
      <alignment vertical="center" wrapText="1"/>
    </xf>
    <xf numFmtId="43" fontId="3" fillId="0" borderId="3" xfId="1" applyFont="1" applyBorder="1" applyAlignment="1">
      <alignment horizontal="center" vertical="center" wrapText="1"/>
    </xf>
    <xf numFmtId="43" fontId="3" fillId="0" borderId="14" xfId="1" applyFont="1" applyBorder="1" applyAlignment="1">
      <alignment horizontal="center" vertical="center" wrapText="1"/>
    </xf>
    <xf numFmtId="43" fontId="3" fillId="0" borderId="7" xfId="1" applyFont="1" applyBorder="1" applyAlignment="1">
      <alignment horizontal="center" vertical="center" wrapText="1"/>
    </xf>
    <xf numFmtId="0" fontId="2" fillId="12" borderId="9" xfId="0" applyFont="1" applyFill="1" applyBorder="1" applyAlignment="1">
      <alignment horizontal="center" vertical="center"/>
    </xf>
    <xf numFmtId="0" fontId="2" fillId="12" borderId="9" xfId="0" applyFont="1" applyFill="1" applyBorder="1" applyAlignment="1">
      <alignment horizontal="left" vertical="center"/>
    </xf>
    <xf numFmtId="0" fontId="3" fillId="7" borderId="8" xfId="0" applyFont="1" applyFill="1" applyBorder="1" applyAlignment="1">
      <alignment vertical="center" wrapText="1"/>
    </xf>
    <xf numFmtId="0" fontId="3" fillId="7" borderId="1" xfId="20" applyFont="1" applyFill="1" applyBorder="1" applyAlignment="1">
      <alignment horizontal="justify" vertical="center" wrapText="1"/>
    </xf>
    <xf numFmtId="43" fontId="3" fillId="7" borderId="3" xfId="1" applyFont="1" applyFill="1" applyBorder="1" applyAlignment="1">
      <alignment horizontal="center" vertical="center"/>
    </xf>
    <xf numFmtId="0" fontId="3" fillId="0" borderId="1" xfId="20" applyFont="1" applyBorder="1" applyAlignment="1">
      <alignment horizontal="justify" vertical="center" wrapText="1"/>
    </xf>
    <xf numFmtId="43" fontId="3" fillId="0" borderId="3" xfId="1" applyFont="1" applyBorder="1" applyAlignment="1">
      <alignment horizontal="center" vertical="center"/>
    </xf>
    <xf numFmtId="0" fontId="3" fillId="0" borderId="1" xfId="20" applyFont="1" applyFill="1" applyBorder="1" applyAlignment="1">
      <alignment horizontal="justify" vertical="center" wrapText="1"/>
    </xf>
    <xf numFmtId="0" fontId="10" fillId="0" borderId="0" xfId="0" applyFont="1" applyBorder="1"/>
    <xf numFmtId="0" fontId="2" fillId="11" borderId="1" xfId="0" applyFont="1" applyFill="1" applyBorder="1" applyAlignment="1">
      <alignment horizontal="left" vertical="center"/>
    </xf>
    <xf numFmtId="0" fontId="2" fillId="11" borderId="4" xfId="0" applyFont="1" applyFill="1" applyBorder="1" applyAlignment="1">
      <alignment vertical="center" wrapText="1"/>
    </xf>
    <xf numFmtId="0" fontId="2" fillId="11" borderId="3" xfId="0" applyFont="1" applyFill="1" applyBorder="1" applyAlignment="1">
      <alignment vertical="center" wrapText="1"/>
    </xf>
    <xf numFmtId="169" fontId="2" fillId="11" borderId="4" xfId="0" applyNumberFormat="1" applyFont="1" applyFill="1" applyBorder="1" applyAlignment="1">
      <alignment vertical="center" wrapText="1"/>
    </xf>
    <xf numFmtId="43" fontId="2" fillId="11" borderId="4" xfId="1" applyFont="1" applyFill="1" applyBorder="1" applyAlignment="1">
      <alignment vertical="center" wrapText="1"/>
    </xf>
    <xf numFmtId="43" fontId="2" fillId="11" borderId="4" xfId="1"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5" xfId="0" applyFont="1" applyFill="1" applyBorder="1" applyAlignment="1">
      <alignment vertical="center" wrapText="1"/>
    </xf>
    <xf numFmtId="0" fontId="2" fillId="15" borderId="1" xfId="0" applyFont="1" applyFill="1" applyBorder="1" applyAlignment="1">
      <alignment horizontal="center" vertical="center" wrapText="1"/>
    </xf>
    <xf numFmtId="0" fontId="2" fillId="15" borderId="4" xfId="0" applyFont="1" applyFill="1" applyBorder="1" applyAlignment="1">
      <alignment vertical="center"/>
    </xf>
    <xf numFmtId="0" fontId="2" fillId="15" borderId="5" xfId="0" applyFont="1" applyFill="1" applyBorder="1" applyAlignment="1">
      <alignment vertical="center" wrapText="1"/>
    </xf>
    <xf numFmtId="0" fontId="2" fillId="15" borderId="4" xfId="0" applyFont="1" applyFill="1" applyBorder="1" applyAlignment="1">
      <alignment vertical="center" wrapText="1"/>
    </xf>
    <xf numFmtId="169" fontId="2" fillId="15" borderId="4" xfId="0" applyNumberFormat="1" applyFont="1" applyFill="1" applyBorder="1" applyAlignment="1">
      <alignment vertical="center" wrapText="1"/>
    </xf>
    <xf numFmtId="43" fontId="2" fillId="15" borderId="4" xfId="1" applyFont="1" applyFill="1" applyBorder="1" applyAlignment="1">
      <alignment vertical="center" wrapText="1"/>
    </xf>
    <xf numFmtId="43" fontId="2" fillId="15" borderId="4" xfId="1" applyFont="1" applyFill="1" applyBorder="1" applyAlignment="1">
      <alignment horizontal="center" vertical="center" wrapText="1"/>
    </xf>
    <xf numFmtId="0" fontId="2" fillId="15" borderId="4" xfId="0" applyFont="1" applyFill="1" applyBorder="1" applyAlignment="1">
      <alignment horizontal="center" vertical="center" wrapText="1"/>
    </xf>
    <xf numFmtId="0" fontId="10" fillId="7" borderId="1" xfId="20" applyFont="1" applyFill="1" applyBorder="1" applyAlignment="1">
      <alignment horizontal="justify" vertical="center" wrapText="1"/>
    </xf>
    <xf numFmtId="43" fontId="3" fillId="0" borderId="1" xfId="1" applyFont="1" applyFill="1" applyBorder="1" applyAlignment="1">
      <alignment horizontal="center" vertical="center" wrapText="1"/>
    </xf>
    <xf numFmtId="0" fontId="10" fillId="0" borderId="1" xfId="0" applyFont="1" applyFill="1" applyBorder="1" applyAlignment="1">
      <alignment horizontal="justify" vertical="center" wrapText="1"/>
    </xf>
    <xf numFmtId="43" fontId="3" fillId="0" borderId="6" xfId="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justify" vertical="center" wrapText="1"/>
    </xf>
    <xf numFmtId="0" fontId="2" fillId="11" borderId="4" xfId="0" applyFont="1" applyFill="1" applyBorder="1" applyAlignment="1">
      <alignment horizontal="left" vertical="center"/>
    </xf>
    <xf numFmtId="0" fontId="3" fillId="11" borderId="4" xfId="0" applyFont="1" applyFill="1" applyBorder="1" applyAlignment="1">
      <alignment vertical="center" wrapText="1"/>
    </xf>
    <xf numFmtId="0" fontId="2" fillId="15" borderId="3" xfId="0" applyFont="1" applyFill="1" applyBorder="1" applyAlignment="1">
      <alignment horizontal="center" vertical="center" wrapText="1"/>
    </xf>
    <xf numFmtId="0" fontId="3" fillId="15" borderId="4" xfId="0" applyFont="1" applyFill="1" applyBorder="1" applyAlignment="1">
      <alignment vertical="center" wrapText="1"/>
    </xf>
    <xf numFmtId="0" fontId="2" fillId="11" borderId="6" xfId="0" applyFont="1" applyFill="1" applyBorder="1" applyAlignment="1">
      <alignment horizontal="center" vertical="center" wrapText="1"/>
    </xf>
    <xf numFmtId="0" fontId="2" fillId="11" borderId="1" xfId="0" applyFont="1" applyFill="1" applyBorder="1" applyAlignment="1">
      <alignment vertical="center" wrapText="1"/>
    </xf>
    <xf numFmtId="0" fontId="2" fillId="11" borderId="13" xfId="0" applyFont="1" applyFill="1" applyBorder="1" applyAlignment="1">
      <alignment horizontal="center" vertical="center" wrapText="1"/>
    </xf>
    <xf numFmtId="0" fontId="2" fillId="11" borderId="4" xfId="0" applyFont="1" applyFill="1" applyBorder="1" applyAlignment="1">
      <alignment vertical="center"/>
    </xf>
    <xf numFmtId="0" fontId="2" fillId="11" borderId="4" xfId="0" applyFont="1" applyFill="1" applyBorder="1" applyAlignment="1">
      <alignment horizontal="justify" vertical="center" wrapText="1"/>
    </xf>
    <xf numFmtId="0" fontId="2" fillId="11" borderId="4" xfId="0" applyFont="1" applyFill="1" applyBorder="1" applyAlignment="1">
      <alignment horizontal="justify" vertical="center"/>
    </xf>
    <xf numFmtId="169" fontId="2" fillId="11" borderId="4" xfId="0" applyNumberFormat="1" applyFont="1" applyFill="1" applyBorder="1" applyAlignment="1">
      <alignment vertical="center"/>
    </xf>
    <xf numFmtId="43" fontId="2" fillId="11" borderId="4" xfId="1" applyFont="1" applyFill="1" applyBorder="1" applyAlignment="1">
      <alignment vertical="center"/>
    </xf>
    <xf numFmtId="43" fontId="2" fillId="11" borderId="4" xfId="1" applyFont="1" applyFill="1" applyBorder="1" applyAlignment="1">
      <alignment horizontal="center" vertical="center"/>
    </xf>
    <xf numFmtId="0" fontId="2" fillId="11" borderId="4" xfId="0" applyFont="1" applyFill="1" applyBorder="1" applyAlignment="1">
      <alignment horizontal="center" vertical="center"/>
    </xf>
    <xf numFmtId="169" fontId="2" fillId="12" borderId="4" xfId="0" applyNumberFormat="1" applyFont="1" applyFill="1" applyBorder="1" applyAlignment="1">
      <alignment vertical="center"/>
    </xf>
    <xf numFmtId="43" fontId="3" fillId="0" borderId="3" xfId="1" applyFont="1" applyFill="1" applyBorder="1" applyAlignment="1">
      <alignment horizontal="center" vertical="center" wrapText="1"/>
    </xf>
    <xf numFmtId="0" fontId="3" fillId="7" borderId="46" xfId="0" applyFont="1" applyFill="1" applyBorder="1" applyAlignment="1">
      <alignment horizontal="center" vertical="center" wrapText="1"/>
    </xf>
    <xf numFmtId="0" fontId="3" fillId="0" borderId="13" xfId="0" applyFont="1" applyBorder="1" applyAlignment="1">
      <alignment horizontal="center"/>
    </xf>
    <xf numFmtId="0" fontId="3" fillId="7" borderId="57" xfId="0" applyFont="1" applyFill="1" applyBorder="1" applyAlignment="1">
      <alignment vertical="center" wrapText="1"/>
    </xf>
    <xf numFmtId="169" fontId="3" fillId="0" borderId="1" xfId="4" applyNumberFormat="1" applyFont="1" applyBorder="1" applyAlignment="1">
      <alignment horizontal="center" vertical="center"/>
    </xf>
    <xf numFmtId="164" fontId="3" fillId="7" borderId="16" xfId="0" applyNumberFormat="1" applyFont="1" applyFill="1" applyBorder="1" applyAlignment="1">
      <alignment horizontal="center" vertical="center" wrapText="1"/>
    </xf>
    <xf numFmtId="0" fontId="3" fillId="0" borderId="47" xfId="0" applyFont="1" applyBorder="1" applyAlignment="1">
      <alignment horizontal="center" vertical="center"/>
    </xf>
    <xf numFmtId="0" fontId="3" fillId="0" borderId="51" xfId="0" applyFont="1" applyBorder="1" applyAlignment="1">
      <alignment horizontal="center" vertical="center" wrapText="1"/>
    </xf>
    <xf numFmtId="164" fontId="3" fillId="7" borderId="14" xfId="0" applyNumberFormat="1" applyFont="1" applyFill="1" applyBorder="1" applyAlignment="1">
      <alignment horizontal="center" vertical="center" wrapText="1"/>
    </xf>
    <xf numFmtId="0" fontId="3" fillId="0" borderId="45" xfId="0" applyFont="1" applyBorder="1" applyAlignment="1">
      <alignment horizontal="center" vertical="center" wrapText="1"/>
    </xf>
    <xf numFmtId="164" fontId="3" fillId="7" borderId="7" xfId="0" applyNumberFormat="1" applyFont="1" applyFill="1" applyBorder="1" applyAlignment="1">
      <alignment horizontal="center" vertical="center" wrapText="1"/>
    </xf>
    <xf numFmtId="0" fontId="3" fillId="0" borderId="6" xfId="0" applyFont="1" applyBorder="1" applyAlignment="1">
      <alignment horizontal="center" vertical="center" wrapText="1"/>
    </xf>
    <xf numFmtId="0" fontId="10" fillId="0" borderId="20" xfId="0" applyFont="1" applyBorder="1"/>
    <xf numFmtId="0" fontId="10" fillId="0" borderId="21" xfId="0" applyFont="1" applyBorder="1"/>
    <xf numFmtId="0" fontId="10" fillId="0" borderId="21" xfId="0" applyFont="1" applyBorder="1" applyAlignment="1">
      <alignment horizontal="center"/>
    </xf>
    <xf numFmtId="0" fontId="10" fillId="0" borderId="21" xfId="0" applyFont="1" applyBorder="1" applyAlignment="1">
      <alignment horizontal="justify"/>
    </xf>
    <xf numFmtId="171" fontId="10" fillId="0" borderId="21" xfId="0" applyNumberFormat="1" applyFont="1" applyBorder="1"/>
    <xf numFmtId="0" fontId="10" fillId="0" borderId="23" xfId="0" applyFont="1" applyBorder="1" applyAlignment="1">
      <alignment horizontal="justify" vertical="center"/>
    </xf>
    <xf numFmtId="43" fontId="9" fillId="0" borderId="25" xfId="1" applyFont="1" applyBorder="1" applyAlignment="1">
      <alignment horizontal="center" vertical="center"/>
    </xf>
    <xf numFmtId="0" fontId="10" fillId="0" borderId="20" xfId="0" applyFont="1" applyBorder="1" applyAlignment="1">
      <alignment horizontal="center"/>
    </xf>
    <xf numFmtId="0" fontId="10" fillId="0" borderId="21" xfId="0" applyFont="1" applyBorder="1" applyAlignment="1">
      <alignment horizontal="center" vertical="center"/>
    </xf>
    <xf numFmtId="0" fontId="10" fillId="0" borderId="23" xfId="0" applyFont="1" applyBorder="1"/>
    <xf numFmtId="0" fontId="10" fillId="0" borderId="23" xfId="0" applyFont="1" applyBorder="1" applyAlignment="1">
      <alignment horizontal="justify"/>
    </xf>
    <xf numFmtId="0" fontId="10" fillId="0" borderId="0" xfId="0" applyFont="1" applyAlignment="1">
      <alignment horizontal="center"/>
    </xf>
    <xf numFmtId="0" fontId="10" fillId="0" borderId="0" xfId="0" applyFont="1" applyAlignment="1">
      <alignment horizontal="justify"/>
    </xf>
    <xf numFmtId="171" fontId="10" fillId="0" borderId="0" xfId="0" applyNumberFormat="1" applyFont="1"/>
    <xf numFmtId="171" fontId="10" fillId="0" borderId="0" xfId="0" applyNumberFormat="1" applyFont="1" applyAlignment="1">
      <alignment horizontal="center"/>
    </xf>
    <xf numFmtId="0" fontId="10" fillId="0" borderId="0" xfId="0" applyFont="1" applyAlignment="1">
      <alignment horizontal="center" vertical="center"/>
    </xf>
    <xf numFmtId="3" fontId="10" fillId="0" borderId="0" xfId="0" applyNumberFormat="1" applyFont="1"/>
    <xf numFmtId="0" fontId="12" fillId="0" borderId="32" xfId="0" applyFont="1" applyBorder="1" applyAlignment="1" applyProtection="1">
      <alignment horizontal="center" vertical="center" wrapText="1"/>
    </xf>
    <xf numFmtId="170" fontId="10" fillId="0" borderId="0" xfId="0" applyNumberFormat="1" applyFont="1" applyAlignment="1" applyProtection="1">
      <alignment horizontal="center"/>
    </xf>
    <xf numFmtId="0" fontId="5" fillId="0" borderId="29" xfId="0" applyFont="1" applyBorder="1" applyAlignment="1" applyProtection="1">
      <alignment vertical="center"/>
    </xf>
    <xf numFmtId="0" fontId="5" fillId="0" borderId="34" xfId="0" applyFont="1" applyBorder="1" applyAlignment="1" applyProtection="1">
      <alignment vertical="center"/>
    </xf>
    <xf numFmtId="0" fontId="13" fillId="0" borderId="0" xfId="0" applyFont="1" applyProtection="1"/>
    <xf numFmtId="0" fontId="12" fillId="0" borderId="0" xfId="0" applyFont="1" applyAlignment="1" applyProtection="1">
      <alignment horizontal="center" vertical="center" wrapText="1"/>
    </xf>
    <xf numFmtId="0" fontId="5" fillId="0" borderId="1" xfId="0" applyFont="1" applyBorder="1" applyAlignment="1" applyProtection="1">
      <alignment horizontal="left" vertical="center"/>
    </xf>
    <xf numFmtId="0" fontId="5" fillId="0" borderId="36" xfId="0" applyFont="1" applyBorder="1" applyAlignment="1" applyProtection="1">
      <alignment vertical="center"/>
    </xf>
    <xf numFmtId="0" fontId="5" fillId="0" borderId="1" xfId="0" applyFont="1" applyBorder="1" applyAlignment="1" applyProtection="1">
      <alignment vertical="center"/>
    </xf>
    <xf numFmtId="0" fontId="5" fillId="0" borderId="36" xfId="0" applyFont="1" applyBorder="1" applyAlignment="1" applyProtection="1">
      <alignment vertical="center" wrapText="1"/>
    </xf>
    <xf numFmtId="0" fontId="12" fillId="0" borderId="2" xfId="0" applyFont="1" applyBorder="1" applyAlignment="1" applyProtection="1">
      <alignment horizontal="center" vertical="center" wrapText="1"/>
    </xf>
    <xf numFmtId="3" fontId="5" fillId="0" borderId="36" xfId="0" applyNumberFormat="1" applyFont="1" applyBorder="1" applyAlignment="1" applyProtection="1">
      <alignment horizontal="left" vertical="center" wrapText="1"/>
    </xf>
    <xf numFmtId="0" fontId="9" fillId="0" borderId="9"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14" xfId="0" applyFont="1" applyBorder="1" applyAlignment="1" applyProtection="1">
      <alignment horizontal="justify" vertical="center"/>
    </xf>
    <xf numFmtId="0" fontId="9" fillId="0" borderId="2" xfId="0" applyFont="1" applyBorder="1" applyAlignment="1" applyProtection="1">
      <alignment horizontal="justify" vertical="center"/>
    </xf>
    <xf numFmtId="183" fontId="9" fillId="0" borderId="2" xfId="21" applyNumberFormat="1" applyFont="1" applyBorder="1" applyAlignment="1" applyProtection="1">
      <alignment horizontal="justify" vertical="center"/>
    </xf>
    <xf numFmtId="183" fontId="9" fillId="0" borderId="2" xfId="21" applyNumberFormat="1" applyFont="1" applyBorder="1" applyAlignment="1" applyProtection="1">
      <alignment horizontal="right" vertical="center"/>
    </xf>
    <xf numFmtId="0" fontId="9" fillId="0" borderId="0" xfId="0" applyFont="1" applyBorder="1" applyAlignment="1" applyProtection="1">
      <alignment horizontal="center" vertical="center"/>
    </xf>
    <xf numFmtId="0" fontId="9" fillId="0" borderId="0" xfId="0" applyFont="1" applyAlignment="1" applyProtection="1">
      <alignment vertical="center"/>
    </xf>
    <xf numFmtId="0" fontId="9" fillId="0" borderId="53" xfId="0" applyFont="1" applyBorder="1" applyAlignment="1" applyProtection="1">
      <alignment vertical="center"/>
    </xf>
    <xf numFmtId="1" fontId="9" fillId="3" borderId="1" xfId="0" applyNumberFormat="1" applyFont="1" applyFill="1" applyBorder="1" applyAlignment="1" applyProtection="1">
      <alignment horizontal="center" vertical="center" wrapText="1"/>
    </xf>
    <xf numFmtId="3" fontId="9" fillId="4" borderId="4" xfId="0" applyNumberFormat="1" applyFont="1" applyFill="1" applyBorder="1" applyAlignment="1" applyProtection="1">
      <alignment horizontal="center" vertical="center" wrapText="1"/>
    </xf>
    <xf numFmtId="0" fontId="9" fillId="4" borderId="4" xfId="0" applyFont="1" applyFill="1" applyBorder="1" applyAlignment="1" applyProtection="1">
      <alignment horizontal="center" vertical="center" wrapText="1"/>
    </xf>
    <xf numFmtId="0" fontId="9" fillId="4" borderId="4" xfId="0" applyFont="1" applyFill="1" applyBorder="1" applyAlignment="1" applyProtection="1">
      <alignment horizontal="center" vertical="center"/>
    </xf>
    <xf numFmtId="0" fontId="9" fillId="4" borderId="9" xfId="0" applyFont="1" applyFill="1" applyBorder="1" applyAlignment="1" applyProtection="1">
      <alignment horizontal="center" vertical="center" wrapText="1"/>
    </xf>
    <xf numFmtId="1" fontId="5" fillId="3" borderId="1" xfId="0" applyNumberFormat="1" applyFont="1" applyFill="1" applyBorder="1" applyAlignment="1" applyProtection="1">
      <alignment horizontal="center" vertical="center" wrapText="1"/>
    </xf>
    <xf numFmtId="170" fontId="9" fillId="3" borderId="1" xfId="0" applyNumberFormat="1" applyFont="1" applyFill="1" applyBorder="1" applyAlignment="1" applyProtection="1">
      <alignment horizontal="center" vertical="center" wrapText="1"/>
    </xf>
    <xf numFmtId="0" fontId="8" fillId="7" borderId="0" xfId="0" applyFont="1" applyFill="1" applyProtection="1"/>
    <xf numFmtId="0" fontId="21" fillId="0" borderId="0" xfId="0" applyFont="1" applyProtection="1"/>
    <xf numFmtId="0" fontId="9" fillId="3" borderId="0" xfId="0" applyFont="1" applyFill="1" applyBorder="1" applyAlignment="1" applyProtection="1">
      <alignment horizontal="center" vertical="center" wrapText="1"/>
    </xf>
    <xf numFmtId="172" fontId="9" fillId="3" borderId="0" xfId="0" applyNumberFormat="1" applyFont="1" applyFill="1" applyBorder="1" applyAlignment="1" applyProtection="1">
      <alignment horizontal="center" vertical="center" wrapText="1"/>
    </xf>
    <xf numFmtId="183" fontId="9" fillId="3" borderId="0" xfId="21" applyNumberFormat="1"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1" fontId="5" fillId="3" borderId="0"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wrapText="1"/>
    </xf>
    <xf numFmtId="1" fontId="9" fillId="10" borderId="61" xfId="0" applyNumberFormat="1" applyFont="1" applyFill="1" applyBorder="1" applyAlignment="1" applyProtection="1">
      <alignment horizontal="left" vertical="center" wrapText="1"/>
    </xf>
    <xf numFmtId="0" fontId="9" fillId="10" borderId="4" xfId="0" applyFont="1" applyFill="1" applyBorder="1" applyAlignment="1" applyProtection="1">
      <alignment vertical="center"/>
    </xf>
    <xf numFmtId="0" fontId="9" fillId="10" borderId="4" xfId="0" applyFont="1" applyFill="1" applyBorder="1" applyAlignment="1" applyProtection="1">
      <alignment horizontal="left" vertical="center"/>
    </xf>
    <xf numFmtId="0" fontId="9" fillId="10" borderId="4" xfId="0" applyFont="1" applyFill="1" applyBorder="1" applyAlignment="1" applyProtection="1">
      <alignment horizontal="justify" vertical="center"/>
    </xf>
    <xf numFmtId="0" fontId="9" fillId="10" borderId="4" xfId="0" applyFont="1" applyFill="1" applyBorder="1" applyAlignment="1" applyProtection="1">
      <alignment horizontal="center" vertical="center"/>
    </xf>
    <xf numFmtId="172" fontId="9" fillId="10" borderId="4" xfId="0" applyNumberFormat="1" applyFont="1" applyFill="1" applyBorder="1" applyAlignment="1" applyProtection="1">
      <alignment horizontal="center" vertical="center"/>
    </xf>
    <xf numFmtId="183" fontId="9" fillId="10" borderId="4" xfId="21" applyNumberFormat="1" applyFont="1" applyFill="1" applyBorder="1" applyAlignment="1" applyProtection="1">
      <alignment horizontal="justify" vertical="center"/>
    </xf>
    <xf numFmtId="183" fontId="9" fillId="10" borderId="4" xfId="21" applyNumberFormat="1" applyFont="1" applyFill="1" applyBorder="1" applyAlignment="1" applyProtection="1">
      <alignment horizontal="right" vertical="center"/>
    </xf>
    <xf numFmtId="1" fontId="9" fillId="10" borderId="4" xfId="0" applyNumberFormat="1" applyFont="1" applyFill="1" applyBorder="1" applyAlignment="1" applyProtection="1">
      <alignment horizontal="center" vertical="center"/>
    </xf>
    <xf numFmtId="0" fontId="9" fillId="10" borderId="2" xfId="0" applyFont="1" applyFill="1" applyBorder="1" applyAlignment="1" applyProtection="1">
      <alignment vertical="center"/>
    </xf>
    <xf numFmtId="170" fontId="9" fillId="10" borderId="2" xfId="0" applyNumberFormat="1" applyFont="1" applyFill="1" applyBorder="1" applyAlignment="1" applyProtection="1">
      <alignment vertical="center"/>
    </xf>
    <xf numFmtId="0" fontId="9" fillId="10" borderId="39" xfId="0" applyFont="1" applyFill="1" applyBorder="1" applyAlignment="1" applyProtection="1">
      <alignment horizontal="justify" vertical="center"/>
    </xf>
    <xf numFmtId="1" fontId="9" fillId="7" borderId="35" xfId="0" applyNumberFormat="1" applyFont="1" applyFill="1" applyBorder="1" applyAlignment="1" applyProtection="1">
      <alignment horizontal="center" vertical="center" wrapText="1"/>
    </xf>
    <xf numFmtId="0" fontId="9" fillId="7" borderId="0" xfId="0" applyFont="1" applyFill="1" applyAlignment="1" applyProtection="1">
      <alignment horizontal="center" vertical="center" wrapText="1"/>
    </xf>
    <xf numFmtId="1" fontId="9" fillId="11" borderId="14" xfId="0" applyNumberFormat="1" applyFont="1" applyFill="1" applyBorder="1" applyAlignment="1" applyProtection="1">
      <alignment horizontal="center" vertical="center"/>
    </xf>
    <xf numFmtId="0" fontId="9" fillId="11" borderId="2" xfId="0" applyFont="1" applyFill="1" applyBorder="1" applyAlignment="1" applyProtection="1">
      <alignment vertical="center"/>
    </xf>
    <xf numFmtId="0" fontId="9" fillId="11" borderId="2" xfId="0" applyFont="1" applyFill="1" applyBorder="1" applyAlignment="1" applyProtection="1">
      <alignment horizontal="justify" vertical="center"/>
    </xf>
    <xf numFmtId="0" fontId="9" fillId="11" borderId="0" xfId="0" applyFont="1" applyFill="1" applyBorder="1" applyAlignment="1" applyProtection="1">
      <alignment horizontal="center" vertical="center"/>
    </xf>
    <xf numFmtId="172" fontId="9" fillId="11" borderId="2" xfId="0" applyNumberFormat="1" applyFont="1" applyFill="1" applyBorder="1" applyAlignment="1" applyProtection="1">
      <alignment horizontal="center" vertical="center"/>
    </xf>
    <xf numFmtId="183" fontId="9" fillId="11" borderId="2" xfId="21" applyNumberFormat="1" applyFont="1" applyFill="1" applyBorder="1" applyAlignment="1" applyProtection="1">
      <alignment horizontal="justify" vertical="center"/>
    </xf>
    <xf numFmtId="183" fontId="9" fillId="11" borderId="2" xfId="21" applyNumberFormat="1" applyFont="1" applyFill="1" applyBorder="1" applyAlignment="1" applyProtection="1">
      <alignment horizontal="right" vertical="center"/>
    </xf>
    <xf numFmtId="170" fontId="9" fillId="11" borderId="2" xfId="0" applyNumberFormat="1" applyFont="1" applyFill="1" applyBorder="1" applyAlignment="1" applyProtection="1">
      <alignment vertical="center"/>
    </xf>
    <xf numFmtId="0" fontId="9" fillId="11" borderId="53" xfId="0" applyFont="1" applyFill="1" applyBorder="1" applyAlignment="1" applyProtection="1">
      <alignment horizontal="justify" vertical="center"/>
    </xf>
    <xf numFmtId="0" fontId="9" fillId="7" borderId="7" xfId="0" applyFont="1" applyFill="1" applyBorder="1" applyAlignment="1" applyProtection="1">
      <alignment horizontal="center" vertical="center" wrapText="1"/>
    </xf>
    <xf numFmtId="0" fontId="9" fillId="12" borderId="1" xfId="0" applyFont="1" applyFill="1" applyBorder="1" applyAlignment="1" applyProtection="1">
      <alignment horizontal="center" vertical="center" wrapText="1"/>
    </xf>
    <xf numFmtId="0" fontId="9" fillId="12" borderId="6" xfId="0" applyFont="1" applyFill="1" applyBorder="1" applyAlignment="1" applyProtection="1">
      <alignment horizontal="justify" vertical="center"/>
    </xf>
    <xf numFmtId="172" fontId="9" fillId="12" borderId="9" xfId="0" applyNumberFormat="1" applyFont="1" applyFill="1" applyBorder="1" applyAlignment="1" applyProtection="1">
      <alignment horizontal="center" vertical="center"/>
    </xf>
    <xf numFmtId="183" fontId="9" fillId="12" borderId="9" xfId="21" applyNumberFormat="1" applyFont="1" applyFill="1" applyBorder="1" applyAlignment="1" applyProtection="1">
      <alignment horizontal="justify" vertical="center"/>
    </xf>
    <xf numFmtId="183" fontId="9" fillId="12" borderId="9" xfId="21" applyNumberFormat="1" applyFont="1" applyFill="1" applyBorder="1" applyAlignment="1" applyProtection="1">
      <alignment horizontal="right" vertical="center"/>
    </xf>
    <xf numFmtId="1" fontId="9" fillId="12" borderId="9" xfId="0" applyNumberFormat="1" applyFont="1" applyFill="1" applyBorder="1" applyAlignment="1" applyProtection="1">
      <alignment horizontal="center" vertical="center"/>
    </xf>
    <xf numFmtId="170" fontId="9" fillId="12" borderId="9" xfId="0" applyNumberFormat="1" applyFont="1" applyFill="1" applyBorder="1" applyAlignment="1" applyProtection="1">
      <alignment vertical="center"/>
    </xf>
    <xf numFmtId="0" fontId="9" fillId="12" borderId="62" xfId="0" applyFont="1" applyFill="1" applyBorder="1" applyAlignment="1" applyProtection="1">
      <alignment horizontal="justify" vertical="center"/>
    </xf>
    <xf numFmtId="1" fontId="10" fillId="7" borderId="35" xfId="0" applyNumberFormat="1" applyFont="1" applyFill="1" applyBorder="1" applyAlignment="1" applyProtection="1">
      <alignment horizontal="center" vertical="center" wrapText="1"/>
    </xf>
    <xf numFmtId="0" fontId="10" fillId="7" borderId="0" xfId="0" applyFont="1" applyFill="1" applyAlignment="1" applyProtection="1">
      <alignment horizontal="center" vertical="center" wrapText="1"/>
    </xf>
    <xf numFmtId="0" fontId="10" fillId="7" borderId="1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xf>
    <xf numFmtId="43" fontId="10" fillId="7" borderId="1" xfId="1" applyFont="1" applyFill="1" applyBorder="1" applyAlignment="1" applyProtection="1">
      <alignment horizontal="right" vertical="center" wrapText="1"/>
    </xf>
    <xf numFmtId="1" fontId="10" fillId="0" borderId="51" xfId="22" applyNumberFormat="1" applyFont="1" applyBorder="1" applyAlignment="1" applyProtection="1">
      <alignment horizontal="center" vertical="center" wrapText="1"/>
    </xf>
    <xf numFmtId="43" fontId="10" fillId="0" borderId="1" xfId="1" applyFont="1" applyBorder="1" applyAlignment="1" applyProtection="1">
      <alignment horizontal="right" vertical="center" wrapText="1"/>
    </xf>
    <xf numFmtId="43" fontId="10" fillId="0" borderId="1" xfId="1" applyFont="1" applyBorder="1" applyAlignment="1" applyProtection="1">
      <alignment vertical="center" wrapText="1"/>
    </xf>
    <xf numFmtId="0" fontId="10" fillId="0" borderId="3" xfId="0" applyFont="1" applyBorder="1" applyAlignment="1" applyProtection="1">
      <alignment horizontal="center" vertical="center" wrapText="1"/>
    </xf>
    <xf numFmtId="9" fontId="10" fillId="0" borderId="1" xfId="4" applyFont="1" applyBorder="1" applyAlignment="1" applyProtection="1">
      <alignment horizontal="center" vertical="center" wrapText="1"/>
    </xf>
    <xf numFmtId="43" fontId="10" fillId="0" borderId="6" xfId="1" applyFont="1" applyBorder="1" applyAlignment="1" applyProtection="1">
      <alignment horizontal="right" vertical="center" wrapText="1"/>
    </xf>
    <xf numFmtId="1" fontId="10" fillId="0" borderId="65" xfId="22" applyNumberFormat="1" applyFont="1" applyBorder="1" applyAlignment="1" applyProtection="1">
      <alignment horizontal="center" vertical="center" wrapText="1"/>
    </xf>
    <xf numFmtId="0" fontId="10" fillId="0" borderId="45" xfId="0" applyFont="1" applyBorder="1" applyAlignment="1" applyProtection="1">
      <alignment horizontal="center" vertical="center" wrapText="1"/>
    </xf>
    <xf numFmtId="1" fontId="10" fillId="0" borderId="20" xfId="0" applyNumberFormat="1" applyFont="1" applyBorder="1" applyAlignment="1" applyProtection="1">
      <alignment vertical="center"/>
    </xf>
    <xf numFmtId="0" fontId="10" fillId="0" borderId="21" xfId="0" applyFont="1" applyBorder="1" applyAlignment="1" applyProtection="1">
      <alignment vertical="center"/>
    </xf>
    <xf numFmtId="0" fontId="10" fillId="0" borderId="21" xfId="0" applyFont="1" applyBorder="1" applyAlignment="1" applyProtection="1">
      <alignment vertical="center" wrapText="1"/>
    </xf>
    <xf numFmtId="0" fontId="10" fillId="0" borderId="21" xfId="0" applyFont="1" applyBorder="1" applyAlignment="1" applyProtection="1">
      <alignment horizontal="justify" vertical="center"/>
    </xf>
    <xf numFmtId="0" fontId="10" fillId="0" borderId="21" xfId="0" applyFont="1" applyBorder="1" applyAlignment="1" applyProtection="1">
      <alignment horizontal="center" vertical="center"/>
    </xf>
    <xf numFmtId="172" fontId="10" fillId="0" borderId="23" xfId="0" applyNumberFormat="1" applyFont="1" applyBorder="1" applyAlignment="1" applyProtection="1">
      <alignment horizontal="center" vertical="center"/>
    </xf>
    <xf numFmtId="43" fontId="9" fillId="0" borderId="25" xfId="1" applyFont="1" applyBorder="1" applyAlignment="1" applyProtection="1">
      <alignment horizontal="justify" vertical="center"/>
    </xf>
    <xf numFmtId="0" fontId="10" fillId="0" borderId="20" xfId="0" applyFont="1" applyBorder="1" applyAlignment="1" applyProtection="1">
      <alignment horizontal="justify" vertical="center"/>
    </xf>
    <xf numFmtId="0" fontId="10" fillId="0" borderId="23" xfId="0" applyFont="1" applyBorder="1" applyAlignment="1" applyProtection="1">
      <alignment horizontal="justify" vertical="center"/>
    </xf>
    <xf numFmtId="43" fontId="9" fillId="0" borderId="25" xfId="1" applyFont="1" applyBorder="1" applyAlignment="1" applyProtection="1">
      <alignment horizontal="right" vertical="center"/>
    </xf>
    <xf numFmtId="1" fontId="10" fillId="7" borderId="20" xfId="0" applyNumberFormat="1" applyFont="1" applyFill="1" applyBorder="1" applyAlignment="1" applyProtection="1">
      <alignment horizontal="center" vertical="center"/>
    </xf>
    <xf numFmtId="0" fontId="10" fillId="7" borderId="21" xfId="0" applyFont="1" applyFill="1" applyBorder="1" applyAlignment="1" applyProtection="1">
      <alignment horizontal="justify" vertical="center"/>
    </xf>
    <xf numFmtId="0" fontId="10" fillId="0" borderId="23" xfId="0" applyFont="1" applyBorder="1" applyAlignment="1" applyProtection="1">
      <alignment vertical="center"/>
    </xf>
    <xf numFmtId="3" fontId="9" fillId="0" borderId="25" xfId="0" applyNumberFormat="1" applyFont="1" applyBorder="1" applyAlignment="1" applyProtection="1">
      <alignment vertical="center"/>
    </xf>
    <xf numFmtId="3" fontId="9" fillId="0" borderId="21" xfId="0" applyNumberFormat="1" applyFont="1" applyBorder="1" applyAlignment="1" applyProtection="1">
      <alignment vertical="center"/>
    </xf>
    <xf numFmtId="9" fontId="9" fillId="0" borderId="25" xfId="4" applyFont="1" applyBorder="1" applyAlignment="1" applyProtection="1">
      <alignment horizontal="center" vertical="center"/>
    </xf>
    <xf numFmtId="170" fontId="10" fillId="0" borderId="21" xfId="0" applyNumberFormat="1" applyFont="1" applyBorder="1" applyAlignment="1" applyProtection="1">
      <alignment horizontal="right" vertical="center"/>
    </xf>
    <xf numFmtId="170" fontId="10" fillId="0" borderId="21" xfId="0" applyNumberFormat="1" applyFont="1" applyBorder="1" applyAlignment="1" applyProtection="1">
      <alignment horizontal="center" vertical="center"/>
    </xf>
    <xf numFmtId="0" fontId="10" fillId="0" borderId="0" xfId="0" applyFont="1" applyAlignment="1" applyProtection="1">
      <alignment vertical="center"/>
    </xf>
    <xf numFmtId="183" fontId="9" fillId="0" borderId="0" xfId="21" applyNumberFormat="1" applyFont="1" applyAlignment="1" applyProtection="1">
      <alignment horizontal="justify" vertical="center"/>
    </xf>
    <xf numFmtId="183" fontId="9" fillId="0" borderId="0" xfId="21" applyNumberFormat="1" applyFont="1" applyAlignment="1" applyProtection="1">
      <alignment horizontal="right" vertical="center"/>
    </xf>
    <xf numFmtId="171" fontId="9" fillId="7" borderId="0" xfId="0" applyNumberFormat="1" applyFont="1" applyFill="1" applyAlignment="1" applyProtection="1">
      <alignment horizontal="center" vertical="center"/>
    </xf>
    <xf numFmtId="175" fontId="9" fillId="7" borderId="0" xfId="0" applyNumberFormat="1" applyFont="1" applyFill="1" applyAlignment="1" applyProtection="1">
      <alignment horizontal="right" vertical="center"/>
    </xf>
    <xf numFmtId="174" fontId="10" fillId="7" borderId="0" xfId="0" applyNumberFormat="1" applyFont="1" applyFill="1" applyAlignment="1" applyProtection="1">
      <alignment vertical="center"/>
    </xf>
    <xf numFmtId="0" fontId="9" fillId="0" borderId="0" xfId="0" applyFont="1" applyAlignment="1" applyProtection="1">
      <alignment horizontal="center" vertical="center"/>
    </xf>
    <xf numFmtId="171" fontId="9" fillId="0" borderId="0" xfId="0" applyNumberFormat="1" applyFont="1" applyAlignment="1" applyProtection="1">
      <alignment horizontal="justify" vertical="center"/>
    </xf>
    <xf numFmtId="1" fontId="10" fillId="7" borderId="0" xfId="0" applyNumberFormat="1" applyFont="1" applyFill="1" applyProtection="1"/>
    <xf numFmtId="0" fontId="10" fillId="0" borderId="0" xfId="0" applyFont="1" applyAlignment="1" applyProtection="1">
      <alignment vertical="center" wrapText="1"/>
    </xf>
    <xf numFmtId="183" fontId="10" fillId="0" borderId="0" xfId="21" applyNumberFormat="1" applyFont="1" applyAlignment="1" applyProtection="1">
      <alignment horizontal="justify"/>
    </xf>
    <xf numFmtId="183" fontId="10" fillId="0" borderId="0" xfId="21" applyNumberFormat="1" applyFont="1" applyAlignment="1" applyProtection="1">
      <alignment horizontal="right" vertical="center"/>
    </xf>
    <xf numFmtId="1" fontId="10" fillId="7" borderId="0" xfId="0" applyNumberFormat="1" applyFont="1" applyFill="1" applyAlignment="1" applyProtection="1">
      <alignment horizontal="center" vertical="center"/>
    </xf>
    <xf numFmtId="170" fontId="10" fillId="0" borderId="0" xfId="0" applyNumberFormat="1" applyFont="1" applyAlignment="1" applyProtection="1">
      <alignment horizontal="right" vertical="center"/>
    </xf>
    <xf numFmtId="172" fontId="10" fillId="7" borderId="0" xfId="0" applyNumberFormat="1" applyFont="1" applyFill="1" applyAlignment="1" applyProtection="1">
      <alignment horizontal="center" vertical="center"/>
    </xf>
    <xf numFmtId="183" fontId="10" fillId="7" borderId="0" xfId="21" applyNumberFormat="1" applyFont="1" applyFill="1" applyAlignment="1" applyProtection="1">
      <alignment horizontal="justify" vertical="center"/>
    </xf>
    <xf numFmtId="183" fontId="10" fillId="7" borderId="0" xfId="21" applyNumberFormat="1" applyFont="1" applyFill="1" applyAlignment="1" applyProtection="1">
      <alignment horizontal="right" vertical="center"/>
    </xf>
    <xf numFmtId="3" fontId="2" fillId="2" borderId="1" xfId="0" applyNumberFormat="1" applyFont="1" applyFill="1" applyBorder="1" applyAlignment="1">
      <alignment horizontal="left" vertical="center" wrapText="1"/>
    </xf>
    <xf numFmtId="0" fontId="3" fillId="0" borderId="0" xfId="0" applyFont="1" applyAlignment="1">
      <alignment wrapText="1"/>
    </xf>
    <xf numFmtId="0" fontId="2" fillId="0" borderId="3"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0" borderId="0" xfId="0" applyFont="1"/>
    <xf numFmtId="0" fontId="8" fillId="0" borderId="0" xfId="0" applyFont="1"/>
    <xf numFmtId="0" fontId="2" fillId="3" borderId="16" xfId="0" applyFont="1" applyFill="1" applyBorder="1" applyAlignment="1">
      <alignment vertical="center" wrapText="1"/>
    </xf>
    <xf numFmtId="0" fontId="2" fillId="3" borderId="17" xfId="0" applyFont="1" applyFill="1" applyBorder="1" applyAlignment="1">
      <alignment vertical="center" wrapText="1"/>
    </xf>
    <xf numFmtId="0" fontId="2" fillId="3" borderId="1" xfId="0" applyFont="1" applyFill="1" applyBorder="1" applyAlignment="1">
      <alignment vertical="center" wrapText="1"/>
    </xf>
    <xf numFmtId="166" fontId="2" fillId="3" borderId="1" xfId="0" applyNumberFormat="1" applyFont="1" applyFill="1" applyBorder="1" applyAlignment="1">
      <alignment horizontal="center" vertical="center" wrapText="1"/>
    </xf>
    <xf numFmtId="166" fontId="2" fillId="3" borderId="1" xfId="0" applyNumberFormat="1" applyFont="1" applyFill="1" applyBorder="1" applyAlignment="1">
      <alignment vertical="center" wrapText="1"/>
    </xf>
    <xf numFmtId="0" fontId="2" fillId="3" borderId="14" xfId="0" applyFont="1" applyFill="1" applyBorder="1" applyAlignment="1">
      <alignment vertical="center" wrapText="1"/>
    </xf>
    <xf numFmtId="0" fontId="2" fillId="3" borderId="15" xfId="0" applyFont="1" applyFill="1" applyBorder="1" applyAlignment="1">
      <alignment vertical="center" wrapText="1"/>
    </xf>
    <xf numFmtId="0" fontId="2" fillId="10" borderId="1" xfId="0" applyFont="1" applyFill="1" applyBorder="1" applyAlignment="1">
      <alignment horizontal="center" vertical="center" wrapText="1"/>
    </xf>
    <xf numFmtId="0" fontId="2" fillId="10" borderId="3" xfId="0" applyFont="1" applyFill="1" applyBorder="1" applyAlignment="1">
      <alignment horizontal="left" vertical="center"/>
    </xf>
    <xf numFmtId="0" fontId="2" fillId="10" borderId="4" xfId="0" applyFont="1" applyFill="1" applyBorder="1" applyAlignment="1">
      <alignment horizontal="left" vertical="center"/>
    </xf>
    <xf numFmtId="0" fontId="2" fillId="10" borderId="4" xfId="0" applyFont="1" applyFill="1" applyBorder="1" applyAlignment="1">
      <alignment vertical="center" wrapText="1"/>
    </xf>
    <xf numFmtId="0" fontId="2" fillId="10" borderId="5" xfId="0" applyFont="1" applyFill="1" applyBorder="1" applyAlignment="1">
      <alignment vertical="center" wrapText="1"/>
    </xf>
    <xf numFmtId="0" fontId="2" fillId="11" borderId="3" xfId="0" applyFont="1" applyFill="1" applyBorder="1" applyAlignment="1">
      <alignment horizontal="center" vertical="center" wrapText="1"/>
    </xf>
    <xf numFmtId="43" fontId="3" fillId="0" borderId="1" xfId="1" applyFont="1" applyBorder="1" applyAlignment="1">
      <alignment vertical="center"/>
    </xf>
    <xf numFmtId="43" fontId="3" fillId="0" borderId="1" xfId="1" applyFont="1" applyBorder="1" applyAlignment="1">
      <alignment horizontal="center" vertical="center" wrapText="1"/>
    </xf>
    <xf numFmtId="0" fontId="10" fillId="0" borderId="18" xfId="0" applyFont="1" applyFill="1" applyBorder="1" applyAlignment="1" applyProtection="1">
      <alignment horizontal="center" vertical="center" wrapText="1"/>
    </xf>
    <xf numFmtId="0" fontId="10" fillId="0" borderId="18" xfId="0" applyFont="1" applyFill="1" applyBorder="1" applyAlignment="1" applyProtection="1">
      <alignment vertical="center" wrapText="1"/>
    </xf>
    <xf numFmtId="43" fontId="3" fillId="0" borderId="1" xfId="1" applyFont="1" applyBorder="1" applyAlignment="1">
      <alignment vertical="center" wrapText="1"/>
    </xf>
    <xf numFmtId="0" fontId="2" fillId="0" borderId="20" xfId="0" applyFont="1" applyBorder="1" applyAlignment="1">
      <alignment vertical="center"/>
    </xf>
    <xf numFmtId="0" fontId="2" fillId="0" borderId="21" xfId="0" applyFont="1" applyBorder="1" applyAlignment="1">
      <alignment vertical="center"/>
    </xf>
    <xf numFmtId="0" fontId="2" fillId="0" borderId="23" xfId="0" applyFont="1" applyBorder="1" applyAlignment="1">
      <alignment vertical="center"/>
    </xf>
    <xf numFmtId="0" fontId="2" fillId="0" borderId="0" xfId="0" applyFont="1" applyAlignment="1">
      <alignment vertical="center"/>
    </xf>
    <xf numFmtId="171" fontId="2" fillId="0" borderId="1" xfId="0" applyNumberFormat="1" applyFont="1" applyBorder="1" applyAlignment="1">
      <alignment vertical="center"/>
    </xf>
    <xf numFmtId="43" fontId="2" fillId="0" borderId="66" xfId="1" applyFont="1" applyBorder="1" applyAlignment="1">
      <alignment vertical="center"/>
    </xf>
    <xf numFmtId="43" fontId="2" fillId="0" borderId="67" xfId="1" applyFont="1" applyBorder="1" applyAlignment="1">
      <alignment vertical="center"/>
    </xf>
    <xf numFmtId="171" fontId="2" fillId="0" borderId="68" xfId="0" applyNumberFormat="1" applyFont="1" applyBorder="1" applyAlignment="1">
      <alignment vertical="center"/>
    </xf>
    <xf numFmtId="0" fontId="2" fillId="7" borderId="69" xfId="0" applyFont="1" applyFill="1" applyBorder="1" applyAlignment="1">
      <alignment horizontal="justify" vertical="center"/>
    </xf>
    <xf numFmtId="0" fontId="2" fillId="0" borderId="69" xfId="0" applyFont="1" applyBorder="1" applyAlignment="1">
      <alignment vertical="center"/>
    </xf>
    <xf numFmtId="0" fontId="2" fillId="0" borderId="68" xfId="0" applyFont="1" applyBorder="1" applyAlignment="1">
      <alignment vertical="center"/>
    </xf>
    <xf numFmtId="0" fontId="2" fillId="0" borderId="69" xfId="0" applyFont="1" applyBorder="1" applyAlignment="1">
      <alignment horizontal="right" vertical="center"/>
    </xf>
    <xf numFmtId="166" fontId="2" fillId="0" borderId="69" xfId="0" applyNumberFormat="1" applyFont="1" applyBorder="1" applyAlignment="1">
      <alignment horizontal="center" vertical="center"/>
    </xf>
    <xf numFmtId="0" fontId="2" fillId="0" borderId="66" xfId="0" applyFont="1" applyBorder="1" applyAlignment="1">
      <alignment horizontal="left" vertical="center"/>
    </xf>
    <xf numFmtId="3" fontId="3" fillId="0" borderId="0" xfId="0" applyNumberFormat="1" applyFont="1"/>
    <xf numFmtId="171" fontId="3" fillId="0" borderId="0" xfId="0" applyNumberFormat="1" applyFont="1"/>
    <xf numFmtId="0" fontId="13" fillId="0" borderId="0" xfId="0" applyFont="1"/>
    <xf numFmtId="43" fontId="3" fillId="0" borderId="0" xfId="0" applyNumberFormat="1" applyFont="1"/>
    <xf numFmtId="3" fontId="2" fillId="7" borderId="9" xfId="0" applyNumberFormat="1" applyFont="1" applyFill="1" applyBorder="1" applyAlignment="1">
      <alignment vertical="center"/>
    </xf>
    <xf numFmtId="0" fontId="2" fillId="0" borderId="9" xfId="0" applyFont="1" applyBorder="1"/>
    <xf numFmtId="0" fontId="2" fillId="0" borderId="0" xfId="0" applyFont="1"/>
    <xf numFmtId="0" fontId="2" fillId="0" borderId="29" xfId="0" applyFont="1" applyBorder="1" applyProtection="1"/>
    <xf numFmtId="0" fontId="2" fillId="0" borderId="34" xfId="0" applyFont="1" applyBorder="1" applyProtection="1"/>
    <xf numFmtId="164" fontId="2" fillId="0" borderId="36" xfId="0" applyNumberFormat="1" applyFont="1" applyBorder="1" applyAlignment="1" applyProtection="1">
      <alignment horizontal="left"/>
    </xf>
    <xf numFmtId="17" fontId="2" fillId="0" borderId="36" xfId="0" applyNumberFormat="1" applyFont="1" applyBorder="1" applyAlignment="1" applyProtection="1">
      <alignment horizontal="left"/>
    </xf>
    <xf numFmtId="3" fontId="2" fillId="2" borderId="36" xfId="0" applyNumberFormat="1" applyFont="1" applyFill="1" applyBorder="1" applyAlignment="1" applyProtection="1">
      <alignment horizontal="left" vertical="center" wrapText="1"/>
    </xf>
    <xf numFmtId="0" fontId="9" fillId="0" borderId="4" xfId="0" applyFont="1" applyBorder="1" applyAlignment="1" applyProtection="1">
      <alignment horizontal="center" vertical="center"/>
    </xf>
    <xf numFmtId="9" fontId="9" fillId="0" borderId="4" xfId="4" applyFont="1" applyBorder="1" applyAlignment="1" applyProtection="1">
      <alignment horizontal="center" vertical="center"/>
    </xf>
    <xf numFmtId="184" fontId="9" fillId="3" borderId="1" xfId="23" applyFont="1" applyFill="1" applyBorder="1" applyAlignment="1" applyProtection="1">
      <alignment horizontal="center" vertical="center" wrapText="1"/>
    </xf>
    <xf numFmtId="166" fontId="9" fillId="3" borderId="1" xfId="0" applyNumberFormat="1" applyFont="1" applyFill="1" applyBorder="1" applyAlignment="1" applyProtection="1">
      <alignment horizontal="center" vertical="center" wrapText="1"/>
    </xf>
    <xf numFmtId="1" fontId="2" fillId="16" borderId="3" xfId="0" applyNumberFormat="1" applyFont="1" applyFill="1" applyBorder="1" applyAlignment="1" applyProtection="1">
      <alignment horizontal="left" vertical="center" wrapText="1"/>
    </xf>
    <xf numFmtId="0" fontId="2" fillId="16" borderId="4" xfId="0" applyFont="1" applyFill="1" applyBorder="1" applyAlignment="1" applyProtection="1">
      <alignment vertical="center"/>
    </xf>
    <xf numFmtId="0" fontId="2" fillId="16" borderId="4" xfId="0" applyFont="1" applyFill="1" applyBorder="1" applyAlignment="1" applyProtection="1">
      <alignment horizontal="justify" vertical="center"/>
    </xf>
    <xf numFmtId="0" fontId="2" fillId="16" borderId="4" xfId="0" applyFont="1" applyFill="1" applyBorder="1" applyAlignment="1" applyProtection="1">
      <alignment horizontal="center" vertical="center"/>
    </xf>
    <xf numFmtId="172" fontId="2" fillId="16" borderId="4" xfId="0" applyNumberFormat="1" applyFont="1" applyFill="1" applyBorder="1" applyAlignment="1" applyProtection="1">
      <alignment horizontal="center" vertical="center"/>
    </xf>
    <xf numFmtId="171" fontId="2" fillId="16" borderId="4" xfId="0" applyNumberFormat="1" applyFont="1" applyFill="1" applyBorder="1" applyAlignment="1" applyProtection="1">
      <alignment vertical="center"/>
    </xf>
    <xf numFmtId="184" fontId="2" fillId="16" borderId="4" xfId="23" applyFont="1" applyFill="1" applyBorder="1" applyAlignment="1" applyProtection="1">
      <alignment horizontal="center" vertical="center"/>
    </xf>
    <xf numFmtId="184" fontId="2" fillId="16" borderId="4" xfId="23" applyFont="1" applyFill="1" applyBorder="1" applyAlignment="1" applyProtection="1">
      <alignment horizontal="justify" vertical="center"/>
    </xf>
    <xf numFmtId="1" fontId="2" fillId="16" borderId="4" xfId="0" applyNumberFormat="1" applyFont="1" applyFill="1" applyBorder="1" applyAlignment="1" applyProtection="1">
      <alignment horizontal="center" vertical="center"/>
    </xf>
    <xf numFmtId="170" fontId="5" fillId="16" borderId="4" xfId="0" applyNumberFormat="1" applyFont="1" applyFill="1" applyBorder="1" applyAlignment="1" applyProtection="1">
      <alignment horizontal="left" vertical="center"/>
    </xf>
    <xf numFmtId="9" fontId="5" fillId="16" borderId="1" xfId="4" applyFont="1" applyFill="1" applyBorder="1" applyAlignment="1" applyProtection="1">
      <alignment horizontal="left" vertical="center"/>
    </xf>
    <xf numFmtId="170" fontId="2" fillId="16" borderId="4" xfId="0" applyNumberFormat="1" applyFont="1" applyFill="1" applyBorder="1" applyAlignment="1" applyProtection="1">
      <alignment vertical="center"/>
    </xf>
    <xf numFmtId="0" fontId="2" fillId="16" borderId="5" xfId="0" applyFont="1" applyFill="1" applyBorder="1" applyAlignment="1" applyProtection="1">
      <alignment horizontal="justify" vertical="center"/>
    </xf>
    <xf numFmtId="0" fontId="3" fillId="7" borderId="0" xfId="0" applyFont="1" applyFill="1" applyProtection="1"/>
    <xf numFmtId="0" fontId="3" fillId="7" borderId="7" xfId="0" applyFont="1" applyFill="1" applyBorder="1" applyAlignment="1" applyProtection="1">
      <alignment vertical="center" wrapText="1"/>
    </xf>
    <xf numFmtId="0" fontId="3" fillId="7" borderId="9" xfId="0" applyFont="1" applyFill="1" applyBorder="1" applyAlignment="1" applyProtection="1">
      <alignment vertical="center" wrapText="1"/>
    </xf>
    <xf numFmtId="0" fontId="3" fillId="7" borderId="8" xfId="0" applyFont="1" applyFill="1" applyBorder="1" applyAlignment="1" applyProtection="1">
      <alignment vertical="center" wrapText="1"/>
    </xf>
    <xf numFmtId="1" fontId="2" fillId="17" borderId="14" xfId="0" applyNumberFormat="1" applyFont="1" applyFill="1" applyBorder="1" applyAlignment="1" applyProtection="1">
      <alignment horizontal="center" vertical="center"/>
    </xf>
    <xf numFmtId="0" fontId="2" fillId="17" borderId="2" xfId="0" applyFont="1" applyFill="1" applyBorder="1" applyAlignment="1" applyProtection="1">
      <alignment vertical="center"/>
    </xf>
    <xf numFmtId="0" fontId="2" fillId="17" borderId="2" xfId="0" applyFont="1" applyFill="1" applyBorder="1" applyAlignment="1" applyProtection="1">
      <alignment horizontal="justify" vertical="center"/>
    </xf>
    <xf numFmtId="0" fontId="2" fillId="17" borderId="2" xfId="0" applyFont="1" applyFill="1" applyBorder="1" applyAlignment="1" applyProtection="1">
      <alignment horizontal="center" vertical="center"/>
    </xf>
    <xf numFmtId="172" fontId="2" fillId="17" borderId="2" xfId="0" applyNumberFormat="1" applyFont="1" applyFill="1" applyBorder="1" applyAlignment="1" applyProtection="1">
      <alignment horizontal="center" vertical="center"/>
    </xf>
    <xf numFmtId="171" fontId="2" fillId="17" borderId="2" xfId="0" applyNumberFormat="1" applyFont="1" applyFill="1" applyBorder="1" applyAlignment="1" applyProtection="1">
      <alignment vertical="center"/>
    </xf>
    <xf numFmtId="184" fontId="2" fillId="17" borderId="2" xfId="23" applyFont="1" applyFill="1" applyBorder="1" applyAlignment="1" applyProtection="1">
      <alignment horizontal="center" vertical="center"/>
    </xf>
    <xf numFmtId="1" fontId="2" fillId="17" borderId="2" xfId="0" applyNumberFormat="1" applyFont="1" applyFill="1" applyBorder="1" applyAlignment="1" applyProtection="1">
      <alignment horizontal="center" vertical="center"/>
    </xf>
    <xf numFmtId="170" fontId="5" fillId="17" borderId="2" xfId="0" applyNumberFormat="1" applyFont="1" applyFill="1" applyBorder="1" applyAlignment="1" applyProtection="1">
      <alignment horizontal="left" vertical="center"/>
    </xf>
    <xf numFmtId="9" fontId="5" fillId="17" borderId="2" xfId="4" applyFont="1" applyFill="1" applyBorder="1" applyAlignment="1" applyProtection="1">
      <alignment horizontal="left" vertical="center"/>
    </xf>
    <xf numFmtId="170" fontId="5" fillId="17" borderId="1" xfId="0" applyNumberFormat="1" applyFont="1" applyFill="1" applyBorder="1" applyAlignment="1" applyProtection="1">
      <alignment horizontal="left" vertical="center"/>
    </xf>
    <xf numFmtId="170" fontId="2" fillId="17" borderId="2" xfId="0" applyNumberFormat="1" applyFont="1" applyFill="1" applyBorder="1" applyAlignment="1" applyProtection="1">
      <alignment vertical="center"/>
    </xf>
    <xf numFmtId="0" fontId="2" fillId="17" borderId="15" xfId="0" applyFont="1" applyFill="1" applyBorder="1" applyAlignment="1" applyProtection="1">
      <alignment horizontal="justify" vertical="center"/>
    </xf>
    <xf numFmtId="0" fontId="3" fillId="7" borderId="16" xfId="0" applyFont="1" applyFill="1" applyBorder="1" applyAlignment="1" applyProtection="1">
      <alignment vertical="center" wrapText="1"/>
    </xf>
    <xf numFmtId="0" fontId="3" fillId="7" borderId="0" xfId="0" applyFont="1" applyFill="1" applyAlignment="1" applyProtection="1">
      <alignment vertical="center" wrapText="1"/>
    </xf>
    <xf numFmtId="0" fontId="3" fillId="7" borderId="17" xfId="0" applyFont="1" applyFill="1" applyBorder="1" applyAlignment="1" applyProtection="1">
      <alignment vertical="center" wrapText="1"/>
    </xf>
    <xf numFmtId="0" fontId="2" fillId="7" borderId="7" xfId="0" applyFont="1" applyFill="1" applyBorder="1" applyAlignment="1" applyProtection="1">
      <alignment horizontal="center" vertical="center" wrapText="1"/>
    </xf>
    <xf numFmtId="0" fontId="2" fillId="7" borderId="0" xfId="0" applyFont="1" applyFill="1" applyAlignment="1" applyProtection="1">
      <alignment horizontal="center" vertical="center" wrapText="1"/>
    </xf>
    <xf numFmtId="1" fontId="2" fillId="18" borderId="3" xfId="0" applyNumberFormat="1" applyFont="1" applyFill="1" applyBorder="1" applyAlignment="1" applyProtection="1">
      <alignment horizontal="left" vertical="center" wrapText="1" indent="1"/>
    </xf>
    <xf numFmtId="0" fontId="2" fillId="18" borderId="4" xfId="0" applyFont="1" applyFill="1" applyBorder="1" applyAlignment="1" applyProtection="1">
      <alignment vertical="center"/>
    </xf>
    <xf numFmtId="0" fontId="2" fillId="18" borderId="4" xfId="0" applyFont="1" applyFill="1" applyBorder="1" applyAlignment="1" applyProtection="1">
      <alignment horizontal="justify" vertical="center"/>
    </xf>
    <xf numFmtId="0" fontId="2" fillId="18" borderId="4" xfId="0" applyFont="1" applyFill="1" applyBorder="1" applyAlignment="1" applyProtection="1">
      <alignment horizontal="center" vertical="center"/>
    </xf>
    <xf numFmtId="172" fontId="2" fillId="18" borderId="4" xfId="0" applyNumberFormat="1" applyFont="1" applyFill="1" applyBorder="1" applyAlignment="1" applyProtection="1">
      <alignment horizontal="center" vertical="center"/>
    </xf>
    <xf numFmtId="171" fontId="2" fillId="18" borderId="4" xfId="0" applyNumberFormat="1" applyFont="1" applyFill="1" applyBorder="1" applyAlignment="1" applyProtection="1">
      <alignment vertical="center"/>
    </xf>
    <xf numFmtId="184" fontId="2" fillId="18" borderId="4" xfId="23" applyFont="1" applyFill="1" applyBorder="1" applyAlignment="1" applyProtection="1">
      <alignment horizontal="center" vertical="center"/>
    </xf>
    <xf numFmtId="1" fontId="2" fillId="18" borderId="4" xfId="0" applyNumberFormat="1" applyFont="1" applyFill="1" applyBorder="1" applyAlignment="1" applyProtection="1">
      <alignment horizontal="center" vertical="center"/>
    </xf>
    <xf numFmtId="170" fontId="5" fillId="18" borderId="4" xfId="0" applyNumberFormat="1" applyFont="1" applyFill="1" applyBorder="1" applyAlignment="1" applyProtection="1">
      <alignment horizontal="left" vertical="center"/>
    </xf>
    <xf numFmtId="9" fontId="5" fillId="18" borderId="4" xfId="4" applyFont="1" applyFill="1" applyBorder="1" applyAlignment="1" applyProtection="1">
      <alignment horizontal="left" vertical="center"/>
    </xf>
    <xf numFmtId="170" fontId="5" fillId="18" borderId="1" xfId="0" applyNumberFormat="1" applyFont="1" applyFill="1" applyBorder="1" applyAlignment="1" applyProtection="1">
      <alignment horizontal="left" vertical="center"/>
    </xf>
    <xf numFmtId="170" fontId="2" fillId="18" borderId="4" xfId="0" applyNumberFormat="1" applyFont="1" applyFill="1" applyBorder="1" applyAlignment="1" applyProtection="1">
      <alignment vertical="center"/>
    </xf>
    <xf numFmtId="0" fontId="2" fillId="18" borderId="5" xfId="0" applyFont="1" applyFill="1" applyBorder="1" applyAlignment="1" applyProtection="1">
      <alignment horizontal="justify" vertical="center"/>
    </xf>
    <xf numFmtId="0" fontId="3" fillId="7" borderId="16" xfId="0" applyFont="1" applyFill="1" applyBorder="1" applyAlignment="1" applyProtection="1">
      <alignment horizontal="center" vertical="center" wrapText="1"/>
    </xf>
    <xf numFmtId="0" fontId="3" fillId="7" borderId="0" xfId="0" applyFont="1" applyFill="1" applyAlignment="1" applyProtection="1">
      <alignment horizontal="center" vertical="center" wrapText="1"/>
    </xf>
    <xf numFmtId="0" fontId="3" fillId="7" borderId="7" xfId="0" applyFont="1" applyFill="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9" fontId="3" fillId="7" borderId="1" xfId="0" applyNumberFormat="1" applyFont="1" applyFill="1" applyBorder="1" applyAlignment="1" applyProtection="1">
      <alignment horizontal="center" vertical="center" wrapText="1"/>
    </xf>
    <xf numFmtId="43" fontId="3" fillId="7" borderId="18" xfId="1" applyFont="1" applyFill="1" applyBorder="1" applyAlignment="1" applyProtection="1">
      <alignment horizontal="center" vertical="center" wrapText="1"/>
    </xf>
    <xf numFmtId="43" fontId="3" fillId="0" borderId="1" xfId="1" applyFont="1" applyFill="1" applyBorder="1" applyAlignment="1" applyProtection="1">
      <alignment vertical="center" wrapText="1"/>
    </xf>
    <xf numFmtId="1" fontId="3" fillId="7" borderId="18" xfId="0" applyNumberFormat="1" applyFont="1" applyFill="1" applyBorder="1" applyAlignment="1" applyProtection="1">
      <alignment horizontal="center" vertical="center" wrapText="1"/>
    </xf>
    <xf numFmtId="0" fontId="17" fillId="7" borderId="18" xfId="0" applyFont="1" applyFill="1" applyBorder="1" applyAlignment="1" applyProtection="1">
      <alignment horizontal="center" vertical="center" wrapText="1"/>
    </xf>
    <xf numFmtId="0" fontId="3" fillId="7" borderId="0" xfId="0" applyFont="1" applyFill="1" applyBorder="1" applyAlignment="1" applyProtection="1">
      <alignment horizontal="center" vertical="center"/>
    </xf>
    <xf numFmtId="43" fontId="3" fillId="7" borderId="1" xfId="1" applyFont="1" applyFill="1" applyBorder="1" applyAlignment="1" applyProtection="1">
      <alignment horizontal="center" vertical="center"/>
    </xf>
    <xf numFmtId="0" fontId="17" fillId="7" borderId="1" xfId="0" applyFont="1" applyFill="1" applyBorder="1" applyAlignment="1" applyProtection="1">
      <alignment horizontal="center" vertical="center"/>
    </xf>
    <xf numFmtId="43" fontId="3" fillId="7" borderId="1" xfId="1" applyFont="1" applyFill="1" applyBorder="1" applyAlignment="1" applyProtection="1">
      <alignment horizontal="center" vertical="center" wrapText="1"/>
    </xf>
    <xf numFmtId="0" fontId="17" fillId="7" borderId="1" xfId="0" applyFont="1" applyFill="1" applyBorder="1" applyAlignment="1" applyProtection="1">
      <alignment horizontal="center" vertical="center" wrapText="1"/>
    </xf>
    <xf numFmtId="0" fontId="3" fillId="7" borderId="1" xfId="0" applyFont="1" applyFill="1" applyBorder="1" applyAlignment="1" applyProtection="1">
      <alignment horizontal="justify" vertical="center" wrapText="1"/>
    </xf>
    <xf numFmtId="0" fontId="3" fillId="7" borderId="14" xfId="0" applyFont="1" applyFill="1" applyBorder="1" applyAlignment="1" applyProtection="1">
      <alignment horizontal="justify" vertical="center" wrapText="1"/>
    </xf>
    <xf numFmtId="43" fontId="3" fillId="0" borderId="1" xfId="1" applyFont="1" applyFill="1" applyBorder="1" applyAlignment="1" applyProtection="1">
      <alignment horizontal="center" vertical="center" wrapText="1"/>
    </xf>
    <xf numFmtId="43" fontId="2" fillId="18" borderId="4" xfId="1" applyFont="1" applyFill="1" applyBorder="1" applyAlignment="1" applyProtection="1">
      <alignment vertical="center"/>
    </xf>
    <xf numFmtId="43" fontId="2" fillId="18" borderId="4" xfId="1" applyFont="1" applyFill="1" applyBorder="1" applyAlignment="1" applyProtection="1">
      <alignment horizontal="center" vertical="center"/>
    </xf>
    <xf numFmtId="0" fontId="3" fillId="18" borderId="4" xfId="0" applyFont="1" applyFill="1" applyBorder="1" applyAlignment="1" applyProtection="1">
      <alignment vertical="center"/>
    </xf>
    <xf numFmtId="9" fontId="3" fillId="18" borderId="4" xfId="4" applyFont="1" applyFill="1" applyBorder="1" applyAlignment="1" applyProtection="1">
      <alignment vertical="center"/>
    </xf>
    <xf numFmtId="0" fontId="3" fillId="18" borderId="5" xfId="0" applyFont="1" applyFill="1" applyBorder="1" applyAlignment="1" applyProtection="1">
      <alignment horizontal="justify" vertical="center"/>
    </xf>
    <xf numFmtId="43" fontId="8" fillId="0" borderId="1" xfId="1" applyFont="1" applyFill="1" applyBorder="1" applyAlignment="1" applyProtection="1">
      <alignment horizontal="center" vertical="center" wrapText="1"/>
    </xf>
    <xf numFmtId="0" fontId="3" fillId="7" borderId="6" xfId="0" applyFont="1" applyFill="1" applyBorder="1" applyAlignment="1" applyProtection="1">
      <alignment horizontal="center" vertical="center" wrapText="1"/>
    </xf>
    <xf numFmtId="0" fontId="3" fillId="0" borderId="6" xfId="0" applyFont="1" applyBorder="1" applyAlignment="1" applyProtection="1">
      <alignment horizontal="justify" vertical="center" wrapText="1"/>
    </xf>
    <xf numFmtId="0" fontId="3" fillId="7" borderId="6" xfId="0" applyFont="1" applyFill="1" applyBorder="1" applyAlignment="1" applyProtection="1">
      <alignment horizontal="justify" vertical="center"/>
    </xf>
    <xf numFmtId="0" fontId="3" fillId="7" borderId="6" xfId="0" applyFont="1" applyFill="1" applyBorder="1" applyAlignment="1" applyProtection="1">
      <alignment horizontal="justify" vertical="center" wrapText="1"/>
    </xf>
    <xf numFmtId="1" fontId="3" fillId="7" borderId="1" xfId="0" applyNumberFormat="1" applyFont="1" applyFill="1" applyBorder="1" applyAlignment="1" applyProtection="1">
      <alignment horizontal="center" vertical="center" wrapText="1"/>
    </xf>
    <xf numFmtId="43" fontId="2" fillId="17" borderId="2" xfId="1" applyFont="1" applyFill="1" applyBorder="1" applyAlignment="1" applyProtection="1">
      <alignment vertical="center"/>
    </xf>
    <xf numFmtId="43" fontId="2" fillId="17" borderId="2" xfId="1" applyFont="1" applyFill="1" applyBorder="1" applyAlignment="1" applyProtection="1">
      <alignment horizontal="center" vertical="center"/>
    </xf>
    <xf numFmtId="43" fontId="3" fillId="0" borderId="1" xfId="1" applyFont="1" applyBorder="1" applyAlignment="1" applyProtection="1">
      <alignment horizontal="center" vertical="center"/>
    </xf>
    <xf numFmtId="0" fontId="17" fillId="0" borderId="1" xfId="0" applyFont="1" applyBorder="1" applyAlignment="1" applyProtection="1">
      <alignment horizontal="center" vertical="center" wrapText="1"/>
    </xf>
    <xf numFmtId="0" fontId="3" fillId="7" borderId="14" xfId="0" applyFont="1" applyFill="1" applyBorder="1" applyAlignment="1" applyProtection="1">
      <alignment vertical="center" wrapText="1"/>
    </xf>
    <xf numFmtId="0" fontId="3" fillId="7" borderId="2" xfId="0" applyFont="1" applyFill="1" applyBorder="1" applyAlignment="1" applyProtection="1">
      <alignment vertical="center" wrapText="1"/>
    </xf>
    <xf numFmtId="0" fontId="3" fillId="7" borderId="15" xfId="0" applyFont="1" applyFill="1" applyBorder="1" applyAlignment="1" applyProtection="1">
      <alignment vertical="center" wrapText="1"/>
    </xf>
    <xf numFmtId="0" fontId="3" fillId="7" borderId="14" xfId="0" applyFont="1" applyFill="1" applyBorder="1" applyAlignment="1" applyProtection="1">
      <alignment horizontal="center" vertical="center" wrapText="1"/>
    </xf>
    <xf numFmtId="1" fontId="2" fillId="0" borderId="3" xfId="0" applyNumberFormat="1" applyFont="1" applyBorder="1" applyProtection="1"/>
    <xf numFmtId="0" fontId="2" fillId="0" borderId="4" xfId="0" applyFont="1" applyBorder="1" applyProtection="1"/>
    <xf numFmtId="0" fontId="2" fillId="7" borderId="4" xfId="0" applyFont="1" applyFill="1" applyBorder="1" applyAlignment="1" applyProtection="1">
      <alignment horizontal="justify" vertical="center"/>
    </xf>
    <xf numFmtId="0" fontId="2" fillId="7" borderId="4" xfId="0" applyFont="1" applyFill="1" applyBorder="1" applyProtection="1"/>
    <xf numFmtId="0" fontId="2" fillId="7" borderId="4" xfId="0" applyFont="1" applyFill="1" applyBorder="1" applyAlignment="1" applyProtection="1">
      <alignment horizontal="center"/>
    </xf>
    <xf numFmtId="172" fontId="2" fillId="7" borderId="4" xfId="0" applyNumberFormat="1" applyFont="1" applyFill="1" applyBorder="1" applyAlignment="1" applyProtection="1">
      <alignment horizontal="center" vertical="center"/>
    </xf>
    <xf numFmtId="43" fontId="2" fillId="7" borderId="4" xfId="1" applyFont="1" applyFill="1" applyBorder="1" applyAlignment="1" applyProtection="1">
      <alignment horizontal="center" vertical="center"/>
    </xf>
    <xf numFmtId="0" fontId="2" fillId="7" borderId="5" xfId="0" applyFont="1" applyFill="1" applyBorder="1" applyAlignment="1" applyProtection="1">
      <alignment horizontal="justify" vertical="center"/>
    </xf>
    <xf numFmtId="43" fontId="2" fillId="7" borderId="3" xfId="1" applyFont="1" applyFill="1" applyBorder="1" applyAlignment="1" applyProtection="1">
      <alignment horizontal="center" vertical="center"/>
    </xf>
    <xf numFmtId="1" fontId="2" fillId="7" borderId="3" xfId="0" applyNumberFormat="1" applyFont="1" applyFill="1" applyBorder="1" applyAlignment="1" applyProtection="1">
      <alignment horizontal="center" vertical="center"/>
    </xf>
    <xf numFmtId="0" fontId="2" fillId="7" borderId="4" xfId="0" applyFont="1" applyFill="1" applyBorder="1" applyAlignment="1" applyProtection="1">
      <alignment horizontal="center" vertical="center"/>
    </xf>
    <xf numFmtId="0" fontId="5" fillId="0" borderId="4" xfId="0" applyFont="1" applyBorder="1" applyProtection="1"/>
    <xf numFmtId="0" fontId="5" fillId="0" borderId="5" xfId="0" applyFont="1" applyBorder="1" applyProtection="1"/>
    <xf numFmtId="3" fontId="5" fillId="0" borderId="1" xfId="0" applyNumberFormat="1" applyFont="1" applyBorder="1" applyProtection="1"/>
    <xf numFmtId="9" fontId="5" fillId="0" borderId="3" xfId="4" applyFont="1" applyBorder="1" applyProtection="1"/>
    <xf numFmtId="170" fontId="2" fillId="0" borderId="4" xfId="0" applyNumberFormat="1" applyFont="1" applyBorder="1" applyAlignment="1" applyProtection="1">
      <alignment horizontal="right" vertical="center"/>
    </xf>
    <xf numFmtId="170" fontId="2" fillId="0" borderId="4" xfId="0" applyNumberFormat="1" applyFont="1" applyBorder="1" applyAlignment="1" applyProtection="1">
      <alignment horizontal="center"/>
    </xf>
    <xf numFmtId="0" fontId="2" fillId="0" borderId="4" xfId="0" applyFont="1" applyBorder="1" applyAlignment="1" applyProtection="1">
      <alignment horizontal="justify" vertical="center"/>
    </xf>
    <xf numFmtId="0" fontId="2" fillId="0" borderId="5" xfId="0" applyFont="1" applyBorder="1" applyProtection="1"/>
    <xf numFmtId="0" fontId="2" fillId="0" borderId="0" xfId="0" applyFont="1" applyProtection="1"/>
    <xf numFmtId="171" fontId="22" fillId="7" borderId="0" xfId="0" applyNumberFormat="1" applyFont="1" applyFill="1" applyAlignment="1" applyProtection="1">
      <alignment vertical="center"/>
    </xf>
    <xf numFmtId="184" fontId="20" fillId="7" borderId="0" xfId="23" applyFont="1" applyFill="1" applyAlignment="1" applyProtection="1">
      <alignment horizontal="center" vertical="center"/>
    </xf>
    <xf numFmtId="184" fontId="20" fillId="7" borderId="0" xfId="23" applyFont="1" applyFill="1" applyAlignment="1" applyProtection="1">
      <alignment vertical="center"/>
    </xf>
    <xf numFmtId="1" fontId="3" fillId="7" borderId="0" xfId="0" applyNumberFormat="1" applyFont="1" applyFill="1" applyAlignment="1" applyProtection="1">
      <alignment horizontal="center" vertical="center"/>
    </xf>
    <xf numFmtId="1" fontId="3" fillId="0" borderId="0" xfId="0" applyNumberFormat="1" applyFont="1" applyProtection="1"/>
    <xf numFmtId="0" fontId="3" fillId="7" borderId="0" xfId="0" applyFont="1" applyFill="1" applyAlignment="1" applyProtection="1">
      <alignment horizontal="justify" vertical="center"/>
    </xf>
    <xf numFmtId="0" fontId="3" fillId="7" borderId="0" xfId="0" applyFont="1" applyFill="1" applyAlignment="1" applyProtection="1">
      <alignment horizontal="center"/>
    </xf>
    <xf numFmtId="172" fontId="3" fillId="7" borderId="0" xfId="0" applyNumberFormat="1" applyFont="1" applyFill="1" applyAlignment="1" applyProtection="1">
      <alignment horizontal="center" vertical="center"/>
    </xf>
    <xf numFmtId="171" fontId="3" fillId="7" borderId="0" xfId="0" applyNumberFormat="1" applyFont="1" applyFill="1" applyAlignment="1" applyProtection="1">
      <alignment vertical="center"/>
    </xf>
    <xf numFmtId="184" fontId="3" fillId="7" borderId="0" xfId="23" applyFont="1" applyFill="1" applyAlignment="1" applyProtection="1">
      <alignment horizontal="center" vertical="center"/>
    </xf>
    <xf numFmtId="0" fontId="3" fillId="7" borderId="0" xfId="0" applyFont="1" applyFill="1" applyAlignment="1" applyProtection="1">
      <alignment horizontal="center" vertical="center"/>
    </xf>
    <xf numFmtId="9" fontId="8" fillId="0" borderId="0" xfId="4" applyFont="1" applyProtection="1"/>
    <xf numFmtId="170" fontId="3" fillId="0" borderId="0" xfId="0" applyNumberFormat="1" applyFont="1" applyAlignment="1" applyProtection="1">
      <alignment horizontal="right" vertical="center"/>
    </xf>
    <xf numFmtId="170" fontId="3" fillId="0" borderId="0" xfId="0" applyNumberFormat="1" applyFont="1" applyAlignment="1" applyProtection="1">
      <alignment horizontal="center"/>
    </xf>
    <xf numFmtId="0" fontId="2" fillId="0" borderId="5" xfId="0" applyFont="1" applyBorder="1" applyAlignment="1">
      <alignment horizontal="left"/>
    </xf>
    <xf numFmtId="0" fontId="2" fillId="0" borderId="5" xfId="0" applyFont="1" applyBorder="1"/>
    <xf numFmtId="0" fontId="2" fillId="0" borderId="5" xfId="0" applyFont="1" applyBorder="1" applyAlignment="1">
      <alignment vertical="center"/>
    </xf>
    <xf numFmtId="0" fontId="2" fillId="0" borderId="4" xfId="0" applyFont="1" applyBorder="1" applyAlignment="1">
      <alignment vertical="center"/>
    </xf>
    <xf numFmtId="3" fontId="4" fillId="4" borderId="14" xfId="0" applyNumberFormat="1" applyFont="1" applyFill="1" applyBorder="1" applyAlignment="1">
      <alignment horizontal="center" vertical="center" wrapText="1"/>
    </xf>
    <xf numFmtId="3" fontId="4" fillId="4" borderId="2" xfId="0" applyNumberFormat="1" applyFont="1" applyFill="1" applyBorder="1" applyAlignment="1">
      <alignment horizontal="center" vertical="center" wrapText="1"/>
    </xf>
    <xf numFmtId="3" fontId="4" fillId="4" borderId="15" xfId="0" applyNumberFormat="1"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15" xfId="0" applyFont="1" applyFill="1" applyBorder="1" applyAlignment="1">
      <alignment horizontal="center" vertical="center"/>
    </xf>
    <xf numFmtId="0" fontId="4" fillId="3" borderId="3" xfId="0" applyFont="1" applyFill="1" applyBorder="1" applyAlignment="1">
      <alignment horizontal="center" vertical="center" textRotation="90" wrapText="1"/>
    </xf>
    <xf numFmtId="0" fontId="4" fillId="3" borderId="5" xfId="0" applyFont="1" applyFill="1" applyBorder="1" applyAlignment="1">
      <alignment horizontal="center" vertical="center" textRotation="90" wrapText="1"/>
    </xf>
    <xf numFmtId="49" fontId="4" fillId="3" borderId="1" xfId="0" applyNumberFormat="1" applyFont="1" applyFill="1" applyBorder="1" applyAlignment="1">
      <alignment horizontal="center" vertical="center" textRotation="90" wrapText="1"/>
    </xf>
    <xf numFmtId="0" fontId="4" fillId="3" borderId="1" xfId="0" applyFont="1" applyFill="1" applyBorder="1" applyAlignment="1">
      <alignment horizontal="center" vertical="center" textRotation="90" wrapText="1"/>
    </xf>
    <xf numFmtId="0" fontId="4" fillId="3" borderId="1" xfId="0" applyFont="1" applyFill="1" applyBorder="1" applyAlignment="1">
      <alignment vertical="center" textRotation="90" wrapText="1"/>
    </xf>
    <xf numFmtId="0" fontId="5" fillId="3" borderId="6" xfId="0" applyFont="1" applyFill="1" applyBorder="1" applyAlignment="1">
      <alignment horizontal="center" vertical="center" wrapText="1"/>
    </xf>
    <xf numFmtId="0" fontId="2" fillId="10" borderId="4" xfId="0" applyFont="1" applyFill="1" applyBorder="1" applyAlignment="1">
      <alignment horizontal="center" vertical="center"/>
    </xf>
    <xf numFmtId="0" fontId="2" fillId="10" borderId="4"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11" borderId="1" xfId="0" applyFont="1" applyFill="1" applyBorder="1" applyAlignment="1">
      <alignment vertical="center"/>
    </xf>
    <xf numFmtId="0" fontId="3" fillId="7" borderId="16"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2" fillId="15" borderId="1" xfId="0" applyFont="1" applyFill="1" applyBorder="1" applyAlignment="1">
      <alignment vertical="center" wrapText="1"/>
    </xf>
    <xf numFmtId="43" fontId="10" fillId="7" borderId="1" xfId="1" applyFont="1" applyFill="1" applyBorder="1" applyAlignment="1">
      <alignment vertical="center" wrapText="1"/>
    </xf>
    <xf numFmtId="49" fontId="10" fillId="7" borderId="1" xfId="0" applyNumberFormat="1" applyFont="1" applyFill="1" applyBorder="1" applyAlignment="1">
      <alignment horizontal="center" vertical="center" wrapText="1"/>
    </xf>
    <xf numFmtId="0" fontId="10" fillId="7" borderId="1" xfId="0" applyFont="1" applyFill="1" applyBorder="1" applyAlignment="1">
      <alignment horizontal="center" vertical="center" wrapText="1"/>
    </xf>
    <xf numFmtId="1" fontId="10" fillId="7" borderId="1" xfId="0" applyNumberFormat="1" applyFont="1" applyFill="1" applyBorder="1" applyAlignment="1">
      <alignment horizontal="center" vertical="center" wrapText="1"/>
    </xf>
    <xf numFmtId="3" fontId="10" fillId="7" borderId="1" xfId="0" applyNumberFormat="1" applyFont="1" applyFill="1" applyBorder="1" applyAlignment="1">
      <alignment horizontal="justify" vertical="center" wrapText="1"/>
    </xf>
    <xf numFmtId="1" fontId="10" fillId="7" borderId="6" xfId="0" applyNumberFormat="1" applyFont="1" applyFill="1" applyBorder="1" applyAlignment="1">
      <alignment horizontal="center" vertical="center" wrapText="1"/>
    </xf>
    <xf numFmtId="9" fontId="10" fillId="7" borderId="1" xfId="4" applyFont="1" applyFill="1" applyBorder="1" applyAlignment="1">
      <alignment horizontal="center" vertical="center" wrapText="1"/>
    </xf>
    <xf numFmtId="3" fontId="8" fillId="0" borderId="6" xfId="0" applyNumberFormat="1" applyFont="1" applyBorder="1" applyAlignment="1">
      <alignment vertical="center"/>
    </xf>
    <xf numFmtId="3" fontId="8" fillId="0" borderId="1" xfId="0" applyNumberFormat="1" applyFont="1" applyBorder="1" applyAlignment="1">
      <alignment horizontal="center" vertical="center"/>
    </xf>
    <xf numFmtId="166" fontId="3" fillId="0" borderId="1" xfId="0" applyNumberFormat="1" applyFont="1" applyBorder="1" applyAlignment="1">
      <alignment horizontal="center" vertical="center" wrapText="1"/>
    </xf>
    <xf numFmtId="0" fontId="10" fillId="7" borderId="1" xfId="0" applyFont="1" applyFill="1" applyBorder="1" applyAlignment="1">
      <alignment vertical="center" wrapText="1"/>
    </xf>
    <xf numFmtId="0" fontId="3" fillId="7" borderId="14"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15" xfId="0" applyFont="1" applyFill="1" applyBorder="1" applyAlignment="1">
      <alignment horizontal="center" vertical="center" wrapText="1"/>
    </xf>
    <xf numFmtId="43" fontId="10" fillId="7" borderId="1" xfId="1" applyFont="1" applyFill="1" applyBorder="1" applyAlignment="1">
      <alignment horizontal="center" vertical="center"/>
    </xf>
    <xf numFmtId="0" fontId="9" fillId="10" borderId="35" xfId="0" applyFont="1" applyFill="1" applyBorder="1" applyAlignment="1">
      <alignment vertical="center"/>
    </xf>
    <xf numFmtId="0" fontId="9" fillId="10" borderId="9" xfId="0" applyFont="1" applyFill="1" applyBorder="1" applyAlignment="1">
      <alignment vertical="center"/>
    </xf>
    <xf numFmtId="0" fontId="9" fillId="10" borderId="0" xfId="0" applyFont="1" applyFill="1" applyAlignment="1">
      <alignment vertical="center"/>
    </xf>
    <xf numFmtId="0" fontId="9" fillId="10" borderId="2" xfId="0" applyFont="1" applyFill="1" applyBorder="1" applyAlignment="1">
      <alignment vertical="center"/>
    </xf>
    <xf numFmtId="0" fontId="9" fillId="10" borderId="2" xfId="0" applyFont="1" applyFill="1" applyBorder="1" applyAlignment="1">
      <alignment horizontal="justify" vertical="center"/>
    </xf>
    <xf numFmtId="0" fontId="9" fillId="10" borderId="4" xfId="0" applyFont="1" applyFill="1" applyBorder="1" applyAlignment="1">
      <alignment horizontal="justify" vertical="center"/>
    </xf>
    <xf numFmtId="0" fontId="9" fillId="10" borderId="4" xfId="0" applyFont="1" applyFill="1" applyBorder="1" applyAlignment="1">
      <alignment horizontal="center" vertical="center"/>
    </xf>
    <xf numFmtId="171" fontId="9" fillId="10" borderId="4" xfId="0" applyNumberFormat="1" applyFont="1" applyFill="1" applyBorder="1" applyAlignment="1">
      <alignment horizontal="center" vertical="center"/>
    </xf>
    <xf numFmtId="44" fontId="9" fillId="10" borderId="2" xfId="3" applyFont="1" applyFill="1" applyBorder="1" applyAlignment="1">
      <alignment horizontal="center" vertical="center"/>
    </xf>
    <xf numFmtId="43" fontId="9" fillId="10" borderId="2" xfId="1" applyFont="1" applyFill="1" applyBorder="1" applyAlignment="1">
      <alignment horizontal="center" vertical="center"/>
    </xf>
    <xf numFmtId="43" fontId="10" fillId="10" borderId="2" xfId="1" applyFont="1" applyFill="1" applyBorder="1" applyAlignment="1">
      <alignment horizontal="left" vertical="center"/>
    </xf>
    <xf numFmtId="0" fontId="9" fillId="10" borderId="4" xfId="0" applyFont="1" applyFill="1" applyBorder="1" applyAlignment="1">
      <alignment vertical="center"/>
    </xf>
    <xf numFmtId="170" fontId="9" fillId="10" borderId="2" xfId="0" applyNumberFormat="1" applyFont="1" applyFill="1" applyBorder="1" applyAlignment="1">
      <alignment vertical="center"/>
    </xf>
    <xf numFmtId="0" fontId="10" fillId="10" borderId="9" xfId="0" applyFont="1" applyFill="1" applyBorder="1" applyAlignment="1">
      <alignment vertical="center"/>
    </xf>
    <xf numFmtId="0" fontId="10" fillId="10" borderId="4" xfId="0" applyFont="1" applyFill="1" applyBorder="1" applyAlignment="1">
      <alignment vertical="center"/>
    </xf>
    <xf numFmtId="0" fontId="10" fillId="10" borderId="5" xfId="0" applyFont="1" applyFill="1" applyBorder="1" applyAlignment="1">
      <alignment vertical="center"/>
    </xf>
    <xf numFmtId="0" fontId="9" fillId="11" borderId="4" xfId="0" applyFont="1" applyFill="1" applyBorder="1" applyAlignment="1">
      <alignment vertical="center"/>
    </xf>
    <xf numFmtId="0" fontId="9" fillId="11" borderId="2" xfId="0" applyFont="1" applyFill="1" applyBorder="1" applyAlignment="1">
      <alignment horizontal="center" vertical="center"/>
    </xf>
    <xf numFmtId="0" fontId="9" fillId="11" borderId="2" xfId="0" applyFont="1" applyFill="1" applyBorder="1" applyAlignment="1">
      <alignment horizontal="justify" vertical="center"/>
    </xf>
    <xf numFmtId="171" fontId="9" fillId="11" borderId="2" xfId="0" applyNumberFormat="1" applyFont="1" applyFill="1" applyBorder="1" applyAlignment="1">
      <alignment horizontal="center" vertical="center"/>
    </xf>
    <xf numFmtId="44" fontId="9" fillId="11" borderId="2" xfId="3" applyFont="1" applyFill="1" applyBorder="1" applyAlignment="1">
      <alignment horizontal="center" vertical="center"/>
    </xf>
    <xf numFmtId="43" fontId="9" fillId="11" borderId="2" xfId="1" applyFont="1" applyFill="1" applyBorder="1" applyAlignment="1">
      <alignment horizontal="center" vertical="center"/>
    </xf>
    <xf numFmtId="43" fontId="10" fillId="11" borderId="2" xfId="1" applyFont="1" applyFill="1" applyBorder="1" applyAlignment="1">
      <alignment horizontal="left" vertical="center"/>
    </xf>
    <xf numFmtId="0" fontId="9" fillId="11" borderId="2" xfId="0" applyFont="1" applyFill="1" applyBorder="1" applyAlignment="1">
      <alignment vertical="center"/>
    </xf>
    <xf numFmtId="170" fontId="9" fillId="11" borderId="2" xfId="0" applyNumberFormat="1" applyFont="1" applyFill="1" applyBorder="1" applyAlignment="1">
      <alignment vertical="center"/>
    </xf>
    <xf numFmtId="0" fontId="10" fillId="11" borderId="9" xfId="0" applyFont="1" applyFill="1" applyBorder="1" applyAlignment="1">
      <alignment vertical="center"/>
    </xf>
    <xf numFmtId="0" fontId="10" fillId="11" borderId="4" xfId="0" applyFont="1" applyFill="1" applyBorder="1" applyAlignment="1">
      <alignment vertical="center"/>
    </xf>
    <xf numFmtId="0" fontId="10" fillId="11" borderId="5" xfId="0" applyFont="1" applyFill="1" applyBorder="1" applyAlignment="1">
      <alignment vertical="center"/>
    </xf>
    <xf numFmtId="0" fontId="9" fillId="12" borderId="4" xfId="0" applyFont="1" applyFill="1" applyBorder="1" applyAlignment="1">
      <alignment vertical="center"/>
    </xf>
    <xf numFmtId="0" fontId="9" fillId="12" borderId="9" xfId="0" applyFont="1" applyFill="1" applyBorder="1" applyAlignment="1">
      <alignment horizontal="center" vertical="center"/>
    </xf>
    <xf numFmtId="171" fontId="9" fillId="12" borderId="4" xfId="0" applyNumberFormat="1" applyFont="1" applyFill="1" applyBorder="1" applyAlignment="1">
      <alignment horizontal="center" vertical="center"/>
    </xf>
    <xf numFmtId="44" fontId="9" fillId="12" borderId="9" xfId="3" applyFont="1" applyFill="1" applyBorder="1" applyAlignment="1">
      <alignment horizontal="center" vertical="center"/>
    </xf>
    <xf numFmtId="43" fontId="9" fillId="12" borderId="9" xfId="1" applyFont="1" applyFill="1" applyBorder="1" applyAlignment="1">
      <alignment horizontal="center" vertical="center"/>
    </xf>
    <xf numFmtId="43" fontId="10" fillId="12" borderId="9" xfId="1" applyFont="1" applyFill="1" applyBorder="1" applyAlignment="1">
      <alignment horizontal="left" vertical="center"/>
    </xf>
    <xf numFmtId="170" fontId="9" fillId="12" borderId="4" xfId="0" applyNumberFormat="1" applyFont="1" applyFill="1" applyBorder="1" applyAlignment="1">
      <alignment vertical="center"/>
    </xf>
    <xf numFmtId="0" fontId="10" fillId="12" borderId="9" xfId="0" applyFont="1" applyFill="1" applyBorder="1" applyAlignment="1">
      <alignment vertical="center"/>
    </xf>
    <xf numFmtId="0" fontId="10" fillId="12" borderId="4" xfId="0" applyFont="1" applyFill="1" applyBorder="1" applyAlignment="1">
      <alignment vertical="center"/>
    </xf>
    <xf numFmtId="0" fontId="10" fillId="12" borderId="5" xfId="0" applyFont="1" applyFill="1" applyBorder="1" applyAlignment="1">
      <alignment vertical="center"/>
    </xf>
    <xf numFmtId="0" fontId="10" fillId="7" borderId="7"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70" xfId="0" applyFont="1" applyBorder="1" applyAlignment="1">
      <alignment horizontal="left" vertical="center" wrapText="1"/>
    </xf>
    <xf numFmtId="43" fontId="10" fillId="7" borderId="29" xfId="1" applyFont="1" applyFill="1" applyBorder="1" applyAlignment="1">
      <alignment horizontal="center" vertical="center" wrapText="1"/>
    </xf>
    <xf numFmtId="0" fontId="10" fillId="7" borderId="29" xfId="3" applyNumberFormat="1" applyFont="1" applyFill="1" applyBorder="1" applyAlignment="1">
      <alignment horizontal="center" vertical="center" wrapText="1"/>
    </xf>
    <xf numFmtId="174" fontId="3" fillId="7" borderId="10" xfId="0" applyNumberFormat="1" applyFont="1" applyFill="1" applyBorder="1" applyAlignment="1">
      <alignment horizontal="center" vertical="center" wrapText="1"/>
    </xf>
    <xf numFmtId="0" fontId="10" fillId="7" borderId="16" xfId="0" applyFont="1" applyFill="1" applyBorder="1" applyAlignment="1">
      <alignment horizontal="center" vertical="center" wrapText="1"/>
    </xf>
    <xf numFmtId="1" fontId="10" fillId="7" borderId="13" xfId="0" applyNumberFormat="1"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38" xfId="0" applyFont="1" applyBorder="1" applyAlignment="1">
      <alignment horizontal="left" vertical="center" wrapText="1"/>
    </xf>
    <xf numFmtId="0" fontId="10" fillId="7" borderId="1" xfId="3" applyNumberFormat="1" applyFont="1" applyFill="1" applyBorder="1" applyAlignment="1">
      <alignment horizontal="center" vertical="center" wrapText="1"/>
    </xf>
    <xf numFmtId="174" fontId="3" fillId="7" borderId="3" xfId="0" applyNumberFormat="1" applyFont="1" applyFill="1" applyBorder="1" applyAlignment="1">
      <alignment horizontal="center" vertical="center" wrapText="1"/>
    </xf>
    <xf numFmtId="0" fontId="10" fillId="0" borderId="18" xfId="0" applyFont="1" applyBorder="1" applyAlignment="1">
      <alignment horizontal="center" vertical="center" wrapText="1"/>
    </xf>
    <xf numFmtId="0" fontId="10" fillId="0" borderId="40" xfId="0" applyFont="1" applyBorder="1" applyAlignment="1">
      <alignment horizontal="left" vertical="center" wrapText="1"/>
    </xf>
    <xf numFmtId="43" fontId="10" fillId="7" borderId="6" xfId="1" applyFont="1" applyFill="1" applyBorder="1" applyAlignment="1">
      <alignment horizontal="center" vertical="center" wrapText="1"/>
    </xf>
    <xf numFmtId="0" fontId="10" fillId="7" borderId="6" xfId="3" applyNumberFormat="1" applyFont="1" applyFill="1" applyBorder="1" applyAlignment="1">
      <alignment horizontal="center" vertical="center" wrapText="1"/>
    </xf>
    <xf numFmtId="174" fontId="3" fillId="7" borderId="7" xfId="0" applyNumberFormat="1" applyFont="1" applyFill="1" applyBorder="1" applyAlignment="1">
      <alignment horizontal="center" vertical="center" wrapText="1"/>
    </xf>
    <xf numFmtId="0" fontId="3" fillId="7" borderId="13" xfId="0" applyFont="1" applyFill="1" applyBorder="1" applyAlignment="1">
      <alignment horizontal="center"/>
    </xf>
    <xf numFmtId="0" fontId="3" fillId="7" borderId="13" xfId="0" applyFont="1" applyFill="1" applyBorder="1" applyAlignment="1">
      <alignment horizontal="center" vertical="center"/>
    </xf>
    <xf numFmtId="0" fontId="10" fillId="0" borderId="72" xfId="0" applyFont="1" applyBorder="1" applyAlignment="1">
      <alignment horizontal="left" vertical="center" wrapText="1"/>
    </xf>
    <xf numFmtId="43" fontId="10" fillId="7" borderId="30" xfId="1" applyFont="1" applyFill="1" applyBorder="1" applyAlignment="1">
      <alignment horizontal="center" vertical="center" wrapText="1"/>
    </xf>
    <xf numFmtId="0" fontId="10" fillId="7" borderId="30" xfId="3" applyNumberFormat="1" applyFont="1" applyFill="1" applyBorder="1" applyAlignment="1">
      <alignment horizontal="center" vertical="center" wrapText="1"/>
    </xf>
    <xf numFmtId="174" fontId="3" fillId="7" borderId="73" xfId="0" applyNumberFormat="1" applyFont="1" applyFill="1" applyBorder="1" applyAlignment="1">
      <alignment horizontal="center" vertical="center" wrapText="1"/>
    </xf>
    <xf numFmtId="0" fontId="9" fillId="12" borderId="1" xfId="0" applyFont="1" applyFill="1" applyBorder="1" applyAlignment="1">
      <alignment horizontal="left" vertical="center"/>
    </xf>
    <xf numFmtId="0" fontId="9" fillId="12" borderId="3" xfId="0" applyFont="1" applyFill="1" applyBorder="1" applyAlignment="1">
      <alignment vertical="center"/>
    </xf>
    <xf numFmtId="0" fontId="9" fillId="12" borderId="0" xfId="0" applyFont="1" applyFill="1" applyBorder="1" applyAlignment="1">
      <alignment vertical="center"/>
    </xf>
    <xf numFmtId="43" fontId="9" fillId="12" borderId="0" xfId="1" applyFont="1" applyFill="1" applyBorder="1" applyAlignment="1">
      <alignment vertical="center"/>
    </xf>
    <xf numFmtId="0" fontId="9" fillId="12" borderId="0" xfId="0" applyFont="1" applyFill="1" applyAlignment="1">
      <alignment vertical="center"/>
    </xf>
    <xf numFmtId="10" fontId="10" fillId="7" borderId="6" xfId="4" applyNumberFormat="1" applyFont="1" applyFill="1" applyBorder="1" applyAlignment="1">
      <alignment horizontal="center" vertical="center" wrapText="1"/>
    </xf>
    <xf numFmtId="0" fontId="10" fillId="7" borderId="70" xfId="0" applyFont="1" applyFill="1" applyBorder="1" applyAlignment="1">
      <alignment horizontal="justify" vertical="center" wrapText="1"/>
    </xf>
    <xf numFmtId="43" fontId="10" fillId="7" borderId="29" xfId="1" applyFont="1" applyFill="1" applyBorder="1" applyAlignment="1">
      <alignment vertical="center" wrapText="1"/>
    </xf>
    <xf numFmtId="49" fontId="10" fillId="7" borderId="29" xfId="0" applyNumberFormat="1" applyFont="1" applyFill="1" applyBorder="1" applyAlignment="1">
      <alignment horizontal="center" vertical="center" wrapText="1"/>
    </xf>
    <xf numFmtId="3" fontId="10" fillId="7" borderId="34" xfId="0" applyNumberFormat="1" applyFont="1" applyFill="1" applyBorder="1" applyAlignment="1">
      <alignment horizontal="center" vertical="center" wrapText="1"/>
    </xf>
    <xf numFmtId="10" fontId="10" fillId="7" borderId="13" xfId="4" applyNumberFormat="1" applyFont="1" applyFill="1" applyBorder="1" applyAlignment="1">
      <alignment horizontal="center" vertical="center" wrapText="1"/>
    </xf>
    <xf numFmtId="0" fontId="10" fillId="7" borderId="38" xfId="0" applyFont="1" applyFill="1" applyBorder="1" applyAlignment="1">
      <alignment horizontal="justify" vertical="center" wrapText="1"/>
    </xf>
    <xf numFmtId="3" fontId="10" fillId="7" borderId="36" xfId="0" applyNumberFormat="1" applyFont="1" applyFill="1" applyBorder="1" applyAlignment="1">
      <alignment horizontal="center" vertical="center" wrapText="1"/>
    </xf>
    <xf numFmtId="0" fontId="10" fillId="7" borderId="72" xfId="0" applyFont="1" applyFill="1" applyBorder="1" applyAlignment="1">
      <alignment horizontal="justify" vertical="center" wrapText="1"/>
    </xf>
    <xf numFmtId="43" fontId="10" fillId="7" borderId="30" xfId="1" applyFont="1" applyFill="1" applyBorder="1" applyAlignment="1">
      <alignment vertical="center" wrapText="1"/>
    </xf>
    <xf numFmtId="49" fontId="10" fillId="7" borderId="30" xfId="0" applyNumberFormat="1" applyFont="1" applyFill="1" applyBorder="1" applyAlignment="1">
      <alignment horizontal="center" vertical="center" wrapText="1"/>
    </xf>
    <xf numFmtId="3" fontId="10" fillId="7" borderId="76" xfId="0" applyNumberFormat="1" applyFont="1" applyFill="1" applyBorder="1" applyAlignment="1">
      <alignment horizontal="center" vertical="center" wrapText="1"/>
    </xf>
    <xf numFmtId="0" fontId="10" fillId="0" borderId="70" xfId="0" applyFont="1" applyBorder="1" applyAlignment="1">
      <alignment horizontal="justify" vertical="center" wrapText="1"/>
    </xf>
    <xf numFmtId="43" fontId="10" fillId="0" borderId="29" xfId="1" applyFont="1" applyBorder="1" applyAlignment="1">
      <alignment vertical="center" wrapText="1"/>
    </xf>
    <xf numFmtId="0" fontId="10" fillId="0" borderId="29" xfId="3" applyNumberFormat="1" applyFont="1" applyBorder="1" applyAlignment="1">
      <alignment horizontal="center" vertical="center" wrapText="1"/>
    </xf>
    <xf numFmtId="3" fontId="10" fillId="0" borderId="34" xfId="0" applyNumberFormat="1" applyFont="1" applyBorder="1" applyAlignment="1">
      <alignment horizontal="center" vertical="center" wrapText="1"/>
    </xf>
    <xf numFmtId="0" fontId="10" fillId="0" borderId="72" xfId="0" applyFont="1" applyBorder="1" applyAlignment="1">
      <alignment horizontal="justify" vertical="center" wrapText="1"/>
    </xf>
    <xf numFmtId="43" fontId="10" fillId="0" borderId="30" xfId="1" applyFont="1" applyBorder="1" applyAlignment="1">
      <alignment vertical="center" wrapText="1"/>
    </xf>
    <xf numFmtId="0" fontId="10" fillId="0" borderId="30" xfId="3" applyNumberFormat="1" applyFont="1" applyBorder="1" applyAlignment="1">
      <alignment horizontal="center" vertical="center" wrapText="1"/>
    </xf>
    <xf numFmtId="3" fontId="10" fillId="0" borderId="76" xfId="0" applyNumberFormat="1" applyFont="1" applyBorder="1" applyAlignment="1">
      <alignment horizontal="center" vertical="center" wrapText="1"/>
    </xf>
    <xf numFmtId="49" fontId="10" fillId="0" borderId="29" xfId="0" applyNumberFormat="1" applyFont="1" applyBorder="1" applyAlignment="1">
      <alignment horizontal="center" vertical="center" wrapText="1"/>
    </xf>
    <xf numFmtId="3" fontId="3" fillId="0" borderId="34" xfId="0" applyNumberFormat="1" applyFont="1" applyBorder="1" applyAlignment="1">
      <alignment horizontal="center" vertical="center" wrapText="1"/>
    </xf>
    <xf numFmtId="43" fontId="10" fillId="0" borderId="1" xfId="1" applyFont="1" applyBorder="1" applyAlignment="1">
      <alignment vertical="center" wrapText="1"/>
    </xf>
    <xf numFmtId="49" fontId="10" fillId="0" borderId="1" xfId="0" applyNumberFormat="1" applyFont="1" applyBorder="1" applyAlignment="1">
      <alignment horizontal="center" vertical="center" wrapText="1"/>
    </xf>
    <xf numFmtId="3" fontId="10" fillId="0" borderId="36" xfId="0" applyNumberFormat="1" applyFont="1" applyBorder="1" applyAlignment="1">
      <alignment horizontal="center" vertical="center" wrapText="1"/>
    </xf>
    <xf numFmtId="0" fontId="10" fillId="0" borderId="1" xfId="3" applyNumberFormat="1" applyFont="1" applyBorder="1" applyAlignment="1">
      <alignment horizontal="center" vertical="center" wrapText="1"/>
    </xf>
    <xf numFmtId="43" fontId="10" fillId="0" borderId="30" xfId="1" applyFont="1" applyBorder="1" applyAlignment="1">
      <alignment horizontal="center" vertical="center" wrapText="1"/>
    </xf>
    <xf numFmtId="49" fontId="10" fillId="0" borderId="30" xfId="0" applyNumberFormat="1" applyFont="1" applyBorder="1" applyAlignment="1">
      <alignment horizontal="center" vertical="center" wrapText="1"/>
    </xf>
    <xf numFmtId="1" fontId="9" fillId="7" borderId="13" xfId="0" applyNumberFormat="1" applyFont="1" applyFill="1" applyBorder="1" applyAlignment="1">
      <alignment horizontal="center" vertical="center" wrapText="1"/>
    </xf>
    <xf numFmtId="43" fontId="10" fillId="0" borderId="29" xfId="1" applyFont="1" applyBorder="1" applyAlignment="1">
      <alignment horizontal="center" vertical="center" wrapText="1"/>
    </xf>
    <xf numFmtId="1" fontId="9" fillId="7" borderId="18" xfId="0" applyNumberFormat="1" applyFont="1" applyFill="1" applyBorder="1" applyAlignment="1">
      <alignment horizontal="center" vertical="center" wrapText="1"/>
    </xf>
    <xf numFmtId="0" fontId="9" fillId="7" borderId="6" xfId="0" applyFont="1" applyFill="1" applyBorder="1" applyAlignment="1">
      <alignment horizontal="center" vertical="center"/>
    </xf>
    <xf numFmtId="0" fontId="9" fillId="7" borderId="13" xfId="0" applyFont="1" applyFill="1" applyBorder="1" applyAlignment="1">
      <alignment horizontal="center" vertical="center"/>
    </xf>
    <xf numFmtId="0" fontId="9" fillId="7" borderId="1" xfId="0" applyFont="1" applyFill="1" applyBorder="1" applyAlignment="1">
      <alignment horizontal="center" vertical="center"/>
    </xf>
    <xf numFmtId="0" fontId="10" fillId="0" borderId="6" xfId="0" applyFont="1" applyBorder="1" applyAlignment="1">
      <alignment horizontal="justify" vertical="center" wrapText="1"/>
    </xf>
    <xf numFmtId="0" fontId="10" fillId="0" borderId="1" xfId="0" applyFont="1" applyBorder="1" applyAlignment="1">
      <alignment horizontal="center" vertical="center" wrapText="1"/>
    </xf>
    <xf numFmtId="0" fontId="10" fillId="0" borderId="26" xfId="0" applyFont="1" applyBorder="1" applyAlignment="1">
      <alignment horizontal="justify" vertical="center" wrapText="1"/>
    </xf>
    <xf numFmtId="43" fontId="10" fillId="0" borderId="22" xfId="1" applyFont="1" applyBorder="1" applyAlignment="1">
      <alignment horizontal="center" vertical="center" wrapText="1"/>
    </xf>
    <xf numFmtId="0" fontId="10" fillId="0" borderId="22" xfId="3" applyNumberFormat="1" applyFont="1" applyBorder="1" applyAlignment="1">
      <alignment horizontal="center" vertical="center" wrapText="1"/>
    </xf>
    <xf numFmtId="3" fontId="10" fillId="0" borderId="27" xfId="0" applyNumberFormat="1" applyFont="1" applyBorder="1" applyAlignment="1">
      <alignment horizontal="center" vertical="center" wrapText="1"/>
    </xf>
    <xf numFmtId="0" fontId="10" fillId="7" borderId="26" xfId="0" applyFont="1" applyFill="1" applyBorder="1" applyAlignment="1">
      <alignment horizontal="justify" vertical="center" wrapText="1"/>
    </xf>
    <xf numFmtId="43" fontId="10" fillId="7" borderId="22" xfId="1" applyFont="1" applyFill="1" applyBorder="1" applyAlignment="1">
      <alignment horizontal="center" vertical="center" wrapText="1"/>
    </xf>
    <xf numFmtId="0" fontId="10" fillId="7" borderId="22" xfId="3" applyNumberFormat="1" applyFont="1" applyFill="1" applyBorder="1" applyAlignment="1">
      <alignment horizontal="center" vertical="center" wrapText="1"/>
    </xf>
    <xf numFmtId="3" fontId="10" fillId="7" borderId="27" xfId="0" applyNumberFormat="1" applyFont="1" applyFill="1" applyBorder="1" applyAlignment="1">
      <alignment horizontal="center" vertical="center" wrapText="1"/>
    </xf>
    <xf numFmtId="0" fontId="10" fillId="7" borderId="15" xfId="0" applyFont="1" applyFill="1" applyBorder="1" applyAlignment="1">
      <alignment vertical="center" wrapText="1"/>
    </xf>
    <xf numFmtId="1" fontId="9" fillId="7" borderId="6" xfId="0" applyNumberFormat="1" applyFont="1" applyFill="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justify" vertical="center" wrapText="1"/>
    </xf>
    <xf numFmtId="10" fontId="10" fillId="7" borderId="9" xfId="4" applyNumberFormat="1" applyFont="1" applyFill="1" applyBorder="1" applyAlignment="1">
      <alignment horizontal="center" vertical="center" wrapText="1"/>
    </xf>
    <xf numFmtId="3" fontId="10" fillId="7" borderId="1" xfId="0" applyNumberFormat="1" applyFont="1" applyFill="1" applyBorder="1" applyAlignment="1">
      <alignment horizontal="center" vertical="center" wrapText="1"/>
    </xf>
    <xf numFmtId="0" fontId="10" fillId="0" borderId="3" xfId="0" applyFont="1" applyBorder="1" applyAlignment="1">
      <alignment horizontal="justify" vertical="center" wrapText="1"/>
    </xf>
    <xf numFmtId="0" fontId="10" fillId="0" borderId="22" xfId="0" applyFont="1" applyBorder="1" applyAlignment="1">
      <alignment horizontal="center" vertical="center" wrapText="1"/>
    </xf>
    <xf numFmtId="44" fontId="9" fillId="0" borderId="1" xfId="3" applyFont="1" applyBorder="1" applyAlignment="1">
      <alignment horizontal="center" vertical="center"/>
    </xf>
    <xf numFmtId="43" fontId="9" fillId="0" borderId="18" xfId="1" applyFont="1" applyBorder="1" applyAlignment="1">
      <alignment horizontal="center" vertical="center"/>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18" xfId="0" applyFont="1" applyBorder="1" applyAlignment="1">
      <alignment vertical="center" wrapText="1"/>
    </xf>
    <xf numFmtId="174" fontId="9" fillId="0" borderId="18" xfId="0" applyNumberFormat="1" applyFont="1" applyBorder="1" applyAlignment="1">
      <alignment horizontal="center" vertical="center"/>
    </xf>
    <xf numFmtId="0" fontId="9" fillId="0" borderId="14" xfId="0" applyFont="1" applyBorder="1" applyAlignment="1">
      <alignment horizontal="center" vertical="center"/>
    </xf>
    <xf numFmtId="174" fontId="9" fillId="0" borderId="26" xfId="0" applyNumberFormat="1" applyFont="1" applyBorder="1" applyAlignment="1">
      <alignment vertical="center"/>
    </xf>
    <xf numFmtId="174" fontId="9" fillId="0" borderId="22" xfId="0" applyNumberFormat="1" applyFont="1" applyBorder="1" applyAlignment="1">
      <alignment vertical="center"/>
    </xf>
    <xf numFmtId="174" fontId="9" fillId="0" borderId="24" xfId="0" applyNumberFormat="1" applyFont="1" applyBorder="1" applyAlignment="1">
      <alignment vertical="center"/>
    </xf>
    <xf numFmtId="173" fontId="9" fillId="0" borderId="25" xfId="1" applyNumberFormat="1" applyFont="1" applyBorder="1" applyAlignment="1">
      <alignment horizontal="center" vertical="center"/>
    </xf>
    <xf numFmtId="9" fontId="9" fillId="0" borderId="25" xfId="4" applyFont="1" applyBorder="1" applyAlignment="1">
      <alignment horizontal="center" vertical="center"/>
    </xf>
    <xf numFmtId="174" fontId="9" fillId="0" borderId="28" xfId="0" applyNumberFormat="1" applyFont="1" applyBorder="1" applyAlignment="1">
      <alignment vertical="center"/>
    </xf>
    <xf numFmtId="174" fontId="9" fillId="0" borderId="27" xfId="0" applyNumberFormat="1" applyFont="1" applyBorder="1" applyAlignment="1">
      <alignment vertical="center"/>
    </xf>
    <xf numFmtId="0" fontId="9" fillId="0" borderId="0" xfId="0" applyFont="1" applyBorder="1" applyAlignment="1">
      <alignment horizontal="center" vertical="center" wrapText="1"/>
    </xf>
    <xf numFmtId="44" fontId="9" fillId="0" borderId="0" xfId="3" applyFont="1" applyBorder="1" applyAlignment="1">
      <alignment horizontal="center" vertical="center"/>
    </xf>
    <xf numFmtId="0" fontId="13" fillId="0" borderId="0" xfId="0" applyFont="1" applyBorder="1" applyAlignment="1">
      <alignment vertical="center" wrapText="1"/>
    </xf>
    <xf numFmtId="174"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3" fillId="7" borderId="0" xfId="0" applyFont="1" applyFill="1"/>
    <xf numFmtId="0" fontId="2" fillId="0" borderId="0" xfId="0" applyFont="1" applyAlignment="1">
      <alignment horizontal="center"/>
    </xf>
    <xf numFmtId="0" fontId="12" fillId="0" borderId="32" xfId="0" applyFont="1" applyBorder="1" applyAlignment="1">
      <alignment horizontal="center" vertical="center" wrapText="1"/>
    </xf>
    <xf numFmtId="0" fontId="2" fillId="0" borderId="29" xfId="0" applyFont="1" applyBorder="1" applyAlignment="1">
      <alignment vertical="center"/>
    </xf>
    <xf numFmtId="0" fontId="12" fillId="0" borderId="0" xfId="0" applyFont="1" applyBorder="1" applyAlignment="1">
      <alignment horizontal="center" vertical="center" wrapText="1"/>
    </xf>
    <xf numFmtId="0" fontId="12" fillId="0" borderId="2" xfId="0" applyFont="1" applyBorder="1" applyAlignment="1">
      <alignment horizontal="center" vertical="center" wrapText="1"/>
    </xf>
    <xf numFmtId="0" fontId="9" fillId="0" borderId="9" xfId="0" applyFont="1" applyBorder="1" applyAlignment="1">
      <alignment horizontal="center" vertical="center"/>
    </xf>
    <xf numFmtId="0" fontId="9" fillId="0" borderId="2" xfId="0" applyFont="1" applyBorder="1" applyAlignment="1">
      <alignment horizontal="center" vertical="center"/>
    </xf>
    <xf numFmtId="0" fontId="10" fillId="0" borderId="14" xfId="0" applyFont="1" applyBorder="1" applyAlignment="1">
      <alignment horizontal="justify" vertical="center"/>
    </xf>
    <xf numFmtId="0" fontId="10" fillId="0" borderId="2" xfId="0" applyFont="1" applyBorder="1" applyAlignment="1">
      <alignment vertical="center"/>
    </xf>
    <xf numFmtId="0" fontId="9" fillId="0" borderId="2" xfId="0" applyFont="1" applyBorder="1" applyAlignment="1">
      <alignment horizontal="justify" vertical="center"/>
    </xf>
    <xf numFmtId="0" fontId="9" fillId="0" borderId="2" xfId="0" applyFont="1" applyBorder="1" applyAlignment="1">
      <alignment vertical="center"/>
    </xf>
    <xf numFmtId="0" fontId="9" fillId="0" borderId="2" xfId="0" applyFont="1" applyBorder="1" applyAlignment="1">
      <alignment horizontal="justify" vertical="center" wrapText="1"/>
    </xf>
    <xf numFmtId="41" fontId="9" fillId="0" borderId="2" xfId="0" applyNumberFormat="1" applyFont="1" applyBorder="1" applyAlignment="1">
      <alignment vertical="center"/>
    </xf>
    <xf numFmtId="0" fontId="9" fillId="0" borderId="53" xfId="0" applyFont="1" applyBorder="1" applyAlignment="1">
      <alignment horizontal="justify" vertical="center" wrapText="1"/>
    </xf>
    <xf numFmtId="0" fontId="9" fillId="0" borderId="37" xfId="0" applyFont="1" applyBorder="1" applyAlignment="1">
      <alignment horizontal="center" vertical="center"/>
    </xf>
    <xf numFmtId="0" fontId="9" fillId="7" borderId="0" xfId="0" applyFont="1" applyFill="1"/>
    <xf numFmtId="0" fontId="9" fillId="3" borderId="1" xfId="0" applyFont="1" applyFill="1" applyBorder="1" applyAlignment="1">
      <alignment horizontal="center" vertical="center" wrapText="1"/>
    </xf>
    <xf numFmtId="41" fontId="9" fillId="3" borderId="18" xfId="0" applyNumberFormat="1" applyFont="1" applyFill="1" applyBorder="1" applyAlignment="1">
      <alignment horizontal="center" vertical="center" wrapText="1"/>
    </xf>
    <xf numFmtId="0" fontId="19" fillId="5" borderId="14" xfId="0" applyFont="1" applyFill="1" applyBorder="1" applyAlignment="1">
      <alignment horizontal="center" vertical="center" wrapText="1"/>
    </xf>
    <xf numFmtId="1" fontId="2" fillId="10" borderId="3" xfId="0" applyNumberFormat="1" applyFont="1" applyFill="1" applyBorder="1" applyAlignment="1">
      <alignment horizontal="left" vertical="center" wrapText="1"/>
    </xf>
    <xf numFmtId="0" fontId="2" fillId="10" borderId="9" xfId="0" applyFont="1" applyFill="1" applyBorder="1" applyAlignment="1">
      <alignment horizontal="justify" vertical="center" wrapText="1"/>
    </xf>
    <xf numFmtId="0" fontId="2" fillId="10" borderId="9" xfId="0" applyFont="1" applyFill="1" applyBorder="1" applyAlignment="1">
      <alignment horizontal="justify" vertical="center"/>
    </xf>
    <xf numFmtId="172" fontId="3" fillId="10" borderId="9" xfId="0" applyNumberFormat="1" applyFont="1" applyFill="1" applyBorder="1" applyAlignment="1">
      <alignment horizontal="center" vertical="center"/>
    </xf>
    <xf numFmtId="171" fontId="2" fillId="10" borderId="9" xfId="0" applyNumberFormat="1" applyFont="1" applyFill="1" applyBorder="1" applyAlignment="1">
      <alignment vertical="center"/>
    </xf>
    <xf numFmtId="170" fontId="2" fillId="10" borderId="9" xfId="0" applyNumberFormat="1" applyFont="1" applyFill="1" applyBorder="1" applyAlignment="1">
      <alignment vertical="center"/>
    </xf>
    <xf numFmtId="0" fontId="2" fillId="10" borderId="8" xfId="0" applyFont="1" applyFill="1" applyBorder="1" applyAlignment="1">
      <alignment horizontal="justify" vertical="center"/>
    </xf>
    <xf numFmtId="0" fontId="3" fillId="0" borderId="0" xfId="0" applyFont="1" applyBorder="1"/>
    <xf numFmtId="1" fontId="2" fillId="11" borderId="4" xfId="0" applyNumberFormat="1" applyFont="1" applyFill="1" applyBorder="1" applyAlignment="1">
      <alignment horizontal="center" vertical="center"/>
    </xf>
    <xf numFmtId="0" fontId="2" fillId="11" borderId="9" xfId="0" applyFont="1" applyFill="1" applyBorder="1" applyAlignment="1">
      <alignment vertical="center"/>
    </xf>
    <xf numFmtId="0" fontId="3" fillId="11" borderId="9" xfId="0" applyFont="1" applyFill="1" applyBorder="1" applyAlignment="1">
      <alignment vertical="center"/>
    </xf>
    <xf numFmtId="0" fontId="2" fillId="11" borderId="9" xfId="0" applyFont="1" applyFill="1" applyBorder="1" applyAlignment="1">
      <alignment horizontal="justify" vertical="center" wrapText="1"/>
    </xf>
    <xf numFmtId="0" fontId="2" fillId="11" borderId="9" xfId="0" applyFont="1" applyFill="1" applyBorder="1" applyAlignment="1">
      <alignment horizontal="justify" vertical="center"/>
    </xf>
    <xf numFmtId="0" fontId="3" fillId="11" borderId="9" xfId="0" applyFont="1" applyFill="1" applyBorder="1" applyAlignment="1">
      <alignment horizontal="justify" vertical="center"/>
    </xf>
    <xf numFmtId="172" fontId="3" fillId="11" borderId="9" xfId="0" applyNumberFormat="1" applyFont="1" applyFill="1" applyBorder="1" applyAlignment="1">
      <alignment horizontal="center" vertical="center"/>
    </xf>
    <xf numFmtId="171" fontId="2" fillId="11" borderId="9" xfId="0" applyNumberFormat="1" applyFont="1" applyFill="1" applyBorder="1" applyAlignment="1">
      <alignment vertical="center"/>
    </xf>
    <xf numFmtId="171" fontId="2" fillId="11" borderId="9" xfId="0" applyNumberFormat="1" applyFont="1" applyFill="1" applyBorder="1" applyAlignment="1">
      <alignment horizontal="center" vertical="center"/>
    </xf>
    <xf numFmtId="0" fontId="2" fillId="11" borderId="9" xfId="0" applyFont="1" applyFill="1" applyBorder="1" applyAlignment="1">
      <alignment horizontal="center" vertical="center"/>
    </xf>
    <xf numFmtId="170" fontId="2" fillId="11" borderId="9" xfId="0" applyNumberFormat="1" applyFont="1" applyFill="1" applyBorder="1" applyAlignment="1">
      <alignment vertical="center"/>
    </xf>
    <xf numFmtId="0" fontId="2" fillId="11" borderId="8" xfId="0" applyFont="1" applyFill="1" applyBorder="1" applyAlignment="1">
      <alignment horizontal="justify" vertical="center"/>
    </xf>
    <xf numFmtId="1" fontId="2" fillId="12" borderId="4" xfId="0" applyNumberFormat="1" applyFont="1" applyFill="1" applyBorder="1" applyAlignment="1">
      <alignment horizontal="left" vertical="center" wrapText="1" indent="1"/>
    </xf>
    <xf numFmtId="0" fontId="3" fillId="12" borderId="9" xfId="0" applyFont="1" applyFill="1" applyBorder="1" applyAlignment="1">
      <alignment vertical="center"/>
    </xf>
    <xf numFmtId="0" fontId="2" fillId="12" borderId="9" xfId="0" applyFont="1" applyFill="1" applyBorder="1" applyAlignment="1">
      <alignment horizontal="justify" vertical="center" wrapText="1"/>
    </xf>
    <xf numFmtId="0" fontId="2" fillId="12" borderId="9" xfId="0" applyFont="1" applyFill="1" applyBorder="1" applyAlignment="1">
      <alignment horizontal="justify" vertical="center"/>
    </xf>
    <xf numFmtId="172" fontId="3" fillId="12" borderId="9" xfId="0" applyNumberFormat="1" applyFont="1" applyFill="1" applyBorder="1" applyAlignment="1">
      <alignment horizontal="center" vertical="center"/>
    </xf>
    <xf numFmtId="171" fontId="2" fillId="12" borderId="9" xfId="0" applyNumberFormat="1" applyFont="1" applyFill="1" applyBorder="1" applyAlignment="1">
      <alignment vertical="center"/>
    </xf>
    <xf numFmtId="171" fontId="2" fillId="12" borderId="9" xfId="0" applyNumberFormat="1" applyFont="1" applyFill="1" applyBorder="1" applyAlignment="1">
      <alignment horizontal="center" vertical="center"/>
    </xf>
    <xf numFmtId="170" fontId="2" fillId="12" borderId="9" xfId="0" applyNumberFormat="1" applyFont="1" applyFill="1" applyBorder="1" applyAlignment="1">
      <alignment vertical="center"/>
    </xf>
    <xf numFmtId="0" fontId="2" fillId="12" borderId="8" xfId="0" applyFont="1" applyFill="1" applyBorder="1" applyAlignment="1">
      <alignment horizontal="justify" vertical="center"/>
    </xf>
    <xf numFmtId="0" fontId="3" fillId="7" borderId="7" xfId="0" applyFont="1" applyFill="1" applyBorder="1"/>
    <xf numFmtId="0" fontId="3" fillId="7" borderId="8" xfId="0" applyFont="1" applyFill="1" applyBorder="1"/>
    <xf numFmtId="43" fontId="3" fillId="7" borderId="1" xfId="1" applyFont="1" applyFill="1" applyBorder="1" applyAlignment="1">
      <alignment vertical="center" wrapText="1"/>
    </xf>
    <xf numFmtId="43" fontId="3" fillId="0" borderId="1" xfId="1" applyFont="1" applyFill="1" applyBorder="1" applyAlignment="1">
      <alignment vertical="center" wrapText="1"/>
    </xf>
    <xf numFmtId="3" fontId="26" fillId="0" borderId="1" xfId="17" applyNumberFormat="1" applyFont="1" applyFill="1" applyBorder="1" applyAlignment="1">
      <alignment horizontal="center" vertical="center" wrapText="1"/>
    </xf>
    <xf numFmtId="3" fontId="26" fillId="7" borderId="1" xfId="17" applyNumberFormat="1" applyFont="1" applyFill="1" applyBorder="1" applyAlignment="1">
      <alignment horizontal="center" vertical="center" wrapText="1"/>
    </xf>
    <xf numFmtId="3" fontId="13" fillId="0" borderId="6" xfId="0" applyNumberFormat="1" applyFont="1" applyBorder="1" applyAlignment="1">
      <alignment horizontal="justify" vertical="center"/>
    </xf>
    <xf numFmtId="3" fontId="3" fillId="0" borderId="6" xfId="0" applyNumberFormat="1" applyFont="1" applyBorder="1" applyAlignment="1">
      <alignment horizontal="justify" vertical="center"/>
    </xf>
    <xf numFmtId="3" fontId="3" fillId="0" borderId="6" xfId="0" applyNumberFormat="1" applyFont="1" applyBorder="1" applyAlignment="1">
      <alignment horizontal="center" vertical="center"/>
    </xf>
    <xf numFmtId="0" fontId="3" fillId="7" borderId="16" xfId="0" applyFont="1" applyFill="1" applyBorder="1"/>
    <xf numFmtId="0" fontId="3" fillId="7" borderId="17" xfId="0" applyFont="1" applyFill="1" applyBorder="1"/>
    <xf numFmtId="3" fontId="13" fillId="0" borderId="13" xfId="0" applyNumberFormat="1" applyFont="1" applyBorder="1" applyAlignment="1">
      <alignment horizontal="justify" vertical="center"/>
    </xf>
    <xf numFmtId="3" fontId="3" fillId="0" borderId="13" xfId="0" applyNumberFormat="1" applyFont="1" applyBorder="1" applyAlignment="1">
      <alignment horizontal="justify" vertical="center"/>
    </xf>
    <xf numFmtId="3" fontId="3" fillId="0" borderId="13" xfId="0" applyNumberFormat="1" applyFont="1" applyBorder="1" applyAlignment="1">
      <alignment horizontal="center" vertical="center"/>
    </xf>
    <xf numFmtId="3" fontId="3" fillId="7" borderId="1" xfId="17" applyNumberFormat="1" applyFont="1" applyFill="1" applyBorder="1" applyAlignment="1">
      <alignment horizontal="center" vertical="center" wrapText="1"/>
    </xf>
    <xf numFmtId="165" fontId="3" fillId="7" borderId="1" xfId="17" applyFont="1" applyFill="1" applyBorder="1" applyAlignment="1">
      <alignment horizontal="justify" vertical="center" wrapText="1"/>
    </xf>
    <xf numFmtId="165" fontId="3" fillId="0" borderId="1" xfId="17" applyFont="1" applyFill="1" applyBorder="1" applyAlignment="1">
      <alignment horizontal="justify" vertical="center" wrapText="1"/>
    </xf>
    <xf numFmtId="3" fontId="3" fillId="7" borderId="1" xfId="17" applyNumberFormat="1" applyFont="1" applyFill="1" applyBorder="1" applyAlignment="1">
      <alignment horizontal="center" vertical="center"/>
    </xf>
    <xf numFmtId="4" fontId="3" fillId="7" borderId="1" xfId="17" applyNumberFormat="1" applyFont="1" applyFill="1" applyBorder="1" applyAlignment="1">
      <alignment horizontal="center" vertical="center"/>
    </xf>
    <xf numFmtId="10" fontId="3" fillId="7" borderId="1" xfId="4" applyNumberFormat="1" applyFont="1" applyFill="1" applyBorder="1" applyAlignment="1">
      <alignment horizontal="center" vertical="center" wrapText="1"/>
    </xf>
    <xf numFmtId="165" fontId="3" fillId="7" borderId="3" xfId="17" applyFont="1" applyFill="1" applyBorder="1" applyAlignment="1">
      <alignment horizontal="justify" vertical="center" wrapText="1"/>
    </xf>
    <xf numFmtId="14" fontId="3" fillId="0" borderId="1" xfId="0" applyNumberFormat="1" applyFont="1" applyBorder="1" applyAlignment="1">
      <alignment vertical="center"/>
    </xf>
    <xf numFmtId="14" fontId="3" fillId="0" borderId="1" xfId="0" applyNumberFormat="1" applyFont="1" applyBorder="1" applyAlignment="1">
      <alignment horizontal="center" vertical="center"/>
    </xf>
    <xf numFmtId="43" fontId="3" fillId="0" borderId="1" xfId="1" applyFont="1" applyBorder="1" applyAlignment="1">
      <alignment horizontal="center" vertical="center"/>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43" fontId="3" fillId="7" borderId="1" xfId="1" applyFont="1" applyFill="1" applyBorder="1" applyAlignment="1">
      <alignment horizontal="center" vertical="center"/>
    </xf>
    <xf numFmtId="0" fontId="26" fillId="7" borderId="1" xfId="0" applyFont="1" applyFill="1" applyBorder="1" applyAlignment="1">
      <alignment horizontal="center" vertical="center"/>
    </xf>
    <xf numFmtId="0" fontId="26" fillId="7" borderId="1" xfId="0" applyFont="1" applyFill="1" applyBorder="1" applyAlignment="1">
      <alignment horizontal="center" vertical="center" wrapText="1"/>
    </xf>
    <xf numFmtId="0" fontId="3" fillId="7" borderId="0" xfId="0" applyFont="1" applyFill="1" applyAlignment="1">
      <alignment horizontal="center" vertical="center" wrapText="1"/>
    </xf>
    <xf numFmtId="43" fontId="3" fillId="0" borderId="1" xfId="1" applyFont="1" applyBorder="1" applyAlignment="1">
      <alignment vertical="top" wrapText="1"/>
    </xf>
    <xf numFmtId="0" fontId="26" fillId="0" borderId="1" xfId="0" applyFont="1" applyBorder="1" applyAlignment="1">
      <alignment horizontal="center" vertical="top" wrapText="1"/>
    </xf>
    <xf numFmtId="165" fontId="3" fillId="7" borderId="0" xfId="17" applyFont="1" applyFill="1" applyBorder="1" applyAlignment="1">
      <alignment horizontal="justify" vertical="center" wrapText="1"/>
    </xf>
    <xf numFmtId="43" fontId="26" fillId="7" borderId="1" xfId="1" applyFont="1" applyFill="1" applyBorder="1" applyAlignment="1">
      <alignment horizontal="center" vertical="center" wrapText="1"/>
    </xf>
    <xf numFmtId="165" fontId="3" fillId="7" borderId="0" xfId="17" applyFont="1" applyFill="1" applyBorder="1" applyAlignment="1">
      <alignment horizontal="center" vertical="center" wrapText="1"/>
    </xf>
    <xf numFmtId="3" fontId="3" fillId="7" borderId="17" xfId="17" applyNumberFormat="1" applyFont="1" applyFill="1" applyBorder="1" applyAlignment="1">
      <alignment horizontal="center" vertical="center" wrapText="1"/>
    </xf>
    <xf numFmtId="3" fontId="3" fillId="0" borderId="13" xfId="0" applyNumberFormat="1" applyFont="1" applyBorder="1" applyAlignment="1">
      <alignment horizontal="center" vertical="center" wrapText="1"/>
    </xf>
    <xf numFmtId="165" fontId="3" fillId="7" borderId="0" xfId="17" applyFont="1" applyFill="1" applyBorder="1" applyAlignment="1">
      <alignment vertical="center" wrapText="1"/>
    </xf>
    <xf numFmtId="43" fontId="26" fillId="7" borderId="1" xfId="1" applyFont="1" applyFill="1" applyBorder="1" applyAlignment="1">
      <alignment horizontal="center" vertical="center"/>
    </xf>
    <xf numFmtId="3" fontId="26" fillId="0" borderId="18" xfId="17" applyNumberFormat="1" applyFont="1" applyFill="1" applyBorder="1" applyAlignment="1">
      <alignment horizontal="center" vertical="center" wrapText="1"/>
    </xf>
    <xf numFmtId="0" fontId="3" fillId="7" borderId="14" xfId="0" applyFont="1" applyFill="1" applyBorder="1"/>
    <xf numFmtId="0" fontId="3" fillId="7" borderId="15" xfId="0" applyFont="1" applyFill="1" applyBorder="1"/>
    <xf numFmtId="3" fontId="26" fillId="7" borderId="18" xfId="17" applyNumberFormat="1" applyFont="1" applyFill="1" applyBorder="1" applyAlignment="1">
      <alignment horizontal="center" vertical="center" wrapText="1"/>
    </xf>
    <xf numFmtId="3" fontId="13" fillId="0" borderId="18" xfId="0" applyNumberFormat="1" applyFont="1" applyBorder="1" applyAlignment="1">
      <alignment horizontal="justify" vertical="center"/>
    </xf>
    <xf numFmtId="3" fontId="3" fillId="0" borderId="18" xfId="0" applyNumberFormat="1" applyFont="1" applyBorder="1" applyAlignment="1">
      <alignment horizontal="center" vertical="center"/>
    </xf>
    <xf numFmtId="0" fontId="3" fillId="12" borderId="0" xfId="0" applyFont="1" applyFill="1" applyBorder="1" applyAlignment="1">
      <alignment vertical="center"/>
    </xf>
    <xf numFmtId="0" fontId="2" fillId="12" borderId="0" xfId="0" applyFont="1" applyFill="1" applyBorder="1" applyAlignment="1">
      <alignment horizontal="justify" vertical="center" wrapText="1"/>
    </xf>
    <xf numFmtId="0" fontId="2" fillId="12" borderId="0" xfId="0" applyFont="1" applyFill="1" applyBorder="1" applyAlignment="1">
      <alignment horizontal="justify" vertical="center"/>
    </xf>
    <xf numFmtId="172" fontId="3" fillId="12" borderId="0" xfId="0" applyNumberFormat="1" applyFont="1" applyFill="1" applyBorder="1" applyAlignment="1">
      <alignment horizontal="center" vertical="center"/>
    </xf>
    <xf numFmtId="43" fontId="2" fillId="12" borderId="0" xfId="1" applyFont="1" applyFill="1" applyBorder="1" applyAlignment="1">
      <alignment vertical="center"/>
    </xf>
    <xf numFmtId="43" fontId="2" fillId="12" borderId="1" xfId="1" applyFont="1" applyFill="1" applyBorder="1" applyAlignment="1">
      <alignment horizontal="center" vertical="center"/>
    </xf>
    <xf numFmtId="43" fontId="2" fillId="12" borderId="1" xfId="1" applyFont="1" applyFill="1" applyBorder="1" applyAlignment="1">
      <alignment horizontal="justify" vertical="center"/>
    </xf>
    <xf numFmtId="0" fontId="2" fillId="12" borderId="1" xfId="0" applyFont="1" applyFill="1" applyBorder="1" applyAlignment="1">
      <alignment horizontal="justify" vertical="center"/>
    </xf>
    <xf numFmtId="165" fontId="3" fillId="7" borderId="17" xfId="17" applyFont="1" applyFill="1" applyBorder="1" applyAlignment="1">
      <alignment horizontal="justify" vertical="center" wrapText="1"/>
    </xf>
    <xf numFmtId="43" fontId="26" fillId="0" borderId="1" xfId="1" applyFont="1" applyFill="1" applyBorder="1" applyAlignment="1">
      <alignment horizontal="center" vertical="center"/>
    </xf>
    <xf numFmtId="43" fontId="13" fillId="0" borderId="1" xfId="1" applyFont="1" applyFill="1" applyBorder="1" applyAlignment="1">
      <alignment vertical="center" wrapText="1"/>
    </xf>
    <xf numFmtId="0" fontId="0" fillId="0" borderId="6" xfId="0" applyFont="1" applyFill="1" applyBorder="1" applyAlignment="1">
      <alignment horizontal="center" vertical="center" wrapText="1"/>
    </xf>
    <xf numFmtId="165" fontId="26" fillId="7" borderId="6" xfId="17" applyFont="1" applyFill="1" applyBorder="1" applyAlignment="1">
      <alignment horizontal="justify" vertical="center" wrapText="1"/>
    </xf>
    <xf numFmtId="3" fontId="3" fillId="0" borderId="7" xfId="0" applyNumberFormat="1" applyFont="1" applyBorder="1" applyAlignment="1">
      <alignment horizontal="center" vertical="center" wrapText="1"/>
    </xf>
    <xf numFmtId="3" fontId="3" fillId="0" borderId="6" xfId="0" applyNumberFormat="1" applyFont="1" applyBorder="1" applyAlignment="1">
      <alignment vertical="center" wrapText="1"/>
    </xf>
    <xf numFmtId="165" fontId="3" fillId="7" borderId="13" xfId="17" applyFont="1" applyFill="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13" xfId="0" applyNumberFormat="1" applyFont="1" applyBorder="1" applyAlignment="1">
      <alignment vertical="center" wrapText="1"/>
    </xf>
    <xf numFmtId="0" fontId="0" fillId="0" borderId="1" xfId="0" applyFont="1" applyFill="1" applyBorder="1" applyAlignment="1">
      <alignment horizontal="center" vertical="center" wrapText="1"/>
    </xf>
    <xf numFmtId="165" fontId="26" fillId="7" borderId="1" xfId="17" applyFont="1" applyFill="1" applyBorder="1" applyAlignment="1">
      <alignment horizontal="justify" vertical="center" wrapText="1"/>
    </xf>
    <xf numFmtId="0" fontId="0" fillId="0" borderId="6" xfId="0" applyFont="1" applyFill="1" applyBorder="1" applyAlignment="1">
      <alignment horizontal="center" vertical="top" wrapText="1"/>
    </xf>
    <xf numFmtId="0" fontId="3" fillId="0" borderId="3" xfId="0" applyFont="1" applyFill="1" applyBorder="1" applyAlignment="1">
      <alignment horizontal="justify" vertical="center" wrapText="1"/>
    </xf>
    <xf numFmtId="43" fontId="3" fillId="0" borderId="1" xfId="1" applyFont="1" applyFill="1" applyBorder="1" applyAlignment="1">
      <alignment horizontal="center" vertical="center"/>
    </xf>
    <xf numFmtId="43" fontId="13" fillId="0" borderId="1" xfId="1" applyFont="1" applyFill="1" applyBorder="1" applyAlignment="1">
      <alignment horizontal="center" vertical="center" wrapText="1"/>
    </xf>
    <xf numFmtId="3" fontId="3" fillId="7" borderId="13" xfId="17" applyNumberFormat="1" applyFont="1" applyFill="1" applyBorder="1" applyAlignment="1">
      <alignment horizontal="center" vertical="center" wrapText="1"/>
    </xf>
    <xf numFmtId="170" fontId="3" fillId="0" borderId="1" xfId="0" applyNumberFormat="1" applyFont="1" applyFill="1" applyBorder="1" applyAlignment="1">
      <alignment vertical="center"/>
    </xf>
    <xf numFmtId="0" fontId="0" fillId="0" borderId="1" xfId="0" applyFont="1" applyBorder="1" applyAlignment="1">
      <alignment horizontal="center" vertical="center" wrapText="1"/>
    </xf>
    <xf numFmtId="3" fontId="13" fillId="0" borderId="16" xfId="0" applyNumberFormat="1" applyFont="1" applyBorder="1" applyAlignment="1">
      <alignment horizontal="center" vertical="center" wrapText="1"/>
    </xf>
    <xf numFmtId="0" fontId="0" fillId="0" borderId="6" xfId="0" applyFont="1" applyBorder="1" applyAlignment="1">
      <alignment horizontal="center" vertical="top" wrapText="1"/>
    </xf>
    <xf numFmtId="165" fontId="3" fillId="0" borderId="14" xfId="17" applyFont="1" applyFill="1" applyBorder="1" applyAlignment="1">
      <alignment horizontal="justify" vertical="center" wrapText="1"/>
    </xf>
    <xf numFmtId="43" fontId="13" fillId="7" borderId="1" xfId="1" applyFont="1" applyFill="1" applyBorder="1" applyAlignment="1">
      <alignment vertical="center" wrapText="1"/>
    </xf>
    <xf numFmtId="1" fontId="3" fillId="7" borderId="1" xfId="24" applyNumberFormat="1" applyFont="1" applyFill="1" applyBorder="1" applyAlignment="1">
      <alignment horizontal="center" vertical="center" wrapText="1"/>
    </xf>
    <xf numFmtId="165" fontId="3" fillId="0" borderId="1" xfId="17" applyFont="1" applyBorder="1" applyAlignment="1">
      <alignment horizontal="justify" vertical="center" wrapText="1"/>
    </xf>
    <xf numFmtId="1" fontId="3" fillId="0" borderId="1" xfId="17" applyNumberFormat="1" applyFont="1" applyBorder="1" applyAlignment="1">
      <alignment horizontal="center" vertical="center"/>
    </xf>
    <xf numFmtId="2" fontId="3" fillId="0" borderId="1" xfId="17" applyNumberFormat="1" applyFont="1" applyBorder="1" applyAlignment="1">
      <alignment horizontal="center" vertical="center"/>
    </xf>
    <xf numFmtId="165" fontId="3" fillId="7" borderId="18" xfId="17" applyFont="1" applyFill="1" applyBorder="1" applyAlignment="1">
      <alignment horizontal="center" vertical="center" wrapText="1"/>
    </xf>
    <xf numFmtId="165" fontId="3" fillId="0" borderId="3" xfId="17" applyFont="1" applyFill="1" applyBorder="1" applyAlignment="1">
      <alignment horizontal="justify" vertical="center" wrapText="1"/>
    </xf>
    <xf numFmtId="43" fontId="13" fillId="0" borderId="1" xfId="1" applyFont="1" applyBorder="1" applyAlignment="1">
      <alignment horizontal="center" vertical="center" wrapText="1"/>
    </xf>
    <xf numFmtId="3" fontId="13" fillId="0" borderId="14" xfId="0" applyNumberFormat="1" applyFont="1" applyBorder="1" applyAlignment="1">
      <alignment horizontal="center" vertical="center" wrapText="1"/>
    </xf>
    <xf numFmtId="3" fontId="3" fillId="0" borderId="18" xfId="0" applyNumberFormat="1" applyFont="1" applyBorder="1" applyAlignment="1">
      <alignment vertical="center" wrapText="1"/>
    </xf>
    <xf numFmtId="1" fontId="2" fillId="11" borderId="1" xfId="0" applyNumberFormat="1" applyFont="1" applyFill="1" applyBorder="1" applyAlignment="1">
      <alignment horizontal="center" vertical="center"/>
    </xf>
    <xf numFmtId="0" fontId="3" fillId="11" borderId="0" xfId="0" applyFont="1" applyFill="1" applyBorder="1" applyAlignment="1">
      <alignment vertical="center"/>
    </xf>
    <xf numFmtId="0" fontId="2" fillId="11" borderId="0" xfId="0" applyFont="1" applyFill="1" applyBorder="1" applyAlignment="1">
      <alignment horizontal="justify" vertical="center" wrapText="1"/>
    </xf>
    <xf numFmtId="0" fontId="2" fillId="11" borderId="0" xfId="0" applyFont="1" applyFill="1" applyBorder="1" applyAlignment="1">
      <alignment horizontal="justify" vertical="center"/>
    </xf>
    <xf numFmtId="0" fontId="2" fillId="11" borderId="0" xfId="0" applyFont="1" applyFill="1" applyBorder="1" applyAlignment="1">
      <alignment vertical="center"/>
    </xf>
    <xf numFmtId="172" fontId="3" fillId="11" borderId="0" xfId="0" applyNumberFormat="1" applyFont="1" applyFill="1" applyBorder="1" applyAlignment="1">
      <alignment horizontal="center" vertical="center"/>
    </xf>
    <xf numFmtId="43" fontId="2" fillId="11" borderId="0" xfId="1" applyFont="1" applyFill="1" applyBorder="1" applyAlignment="1">
      <alignment vertical="center"/>
    </xf>
    <xf numFmtId="43" fontId="2" fillId="11" borderId="1" xfId="1" applyFont="1" applyFill="1" applyBorder="1" applyAlignment="1">
      <alignment horizontal="center" vertical="center"/>
    </xf>
    <xf numFmtId="43" fontId="2" fillId="11" borderId="1" xfId="1" applyFont="1" applyFill="1" applyBorder="1" applyAlignment="1">
      <alignment horizontal="justify" vertical="center"/>
    </xf>
    <xf numFmtId="171" fontId="2" fillId="11" borderId="1" xfId="0" applyNumberFormat="1" applyFont="1" applyFill="1" applyBorder="1" applyAlignment="1">
      <alignment horizontal="justify" vertical="center"/>
    </xf>
    <xf numFmtId="43" fontId="2" fillId="11" borderId="9" xfId="1" applyFont="1" applyFill="1" applyBorder="1" applyAlignment="1">
      <alignment horizontal="justify" vertical="center"/>
    </xf>
    <xf numFmtId="43" fontId="2" fillId="12" borderId="9" xfId="1" applyFont="1" applyFill="1" applyBorder="1" applyAlignment="1">
      <alignment vertical="center"/>
    </xf>
    <xf numFmtId="171" fontId="2" fillId="12" borderId="1" xfId="0" applyNumberFormat="1" applyFont="1" applyFill="1" applyBorder="1" applyAlignment="1">
      <alignment horizontal="justify" vertical="center"/>
    </xf>
    <xf numFmtId="171" fontId="2" fillId="12" borderId="4" xfId="0" applyNumberFormat="1" applyFont="1" applyFill="1" applyBorder="1" applyAlignment="1">
      <alignment horizontal="center" vertical="center"/>
    </xf>
    <xf numFmtId="171" fontId="2" fillId="12" borderId="5" xfId="0" applyNumberFormat="1" applyFont="1" applyFill="1" applyBorder="1" applyAlignment="1">
      <alignment horizontal="center" vertical="center"/>
    </xf>
    <xf numFmtId="0" fontId="3" fillId="7" borderId="9" xfId="0" applyFont="1" applyFill="1" applyBorder="1" applyAlignment="1"/>
    <xf numFmtId="0" fontId="13" fillId="7" borderId="7" xfId="0" applyFont="1" applyFill="1" applyBorder="1" applyAlignment="1"/>
    <xf numFmtId="0" fontId="13" fillId="7" borderId="8" xfId="0" applyFont="1" applyFill="1" applyBorder="1" applyAlignment="1"/>
    <xf numFmtId="165" fontId="3" fillId="7" borderId="17" xfId="17" applyFont="1" applyFill="1" applyBorder="1" applyAlignment="1">
      <alignment vertical="center" wrapText="1"/>
    </xf>
    <xf numFmtId="3" fontId="26" fillId="0" borderId="6" xfId="17" applyNumberFormat="1" applyFont="1" applyFill="1" applyBorder="1" applyAlignment="1">
      <alignment horizontal="center" vertical="center" wrapText="1"/>
    </xf>
    <xf numFmtId="165" fontId="26" fillId="7" borderId="6" xfId="17" applyFont="1" applyFill="1" applyBorder="1" applyAlignment="1">
      <alignment horizontal="center" vertical="center"/>
    </xf>
    <xf numFmtId="3" fontId="3" fillId="0" borderId="7" xfId="0" applyNumberFormat="1" applyFont="1" applyBorder="1" applyAlignment="1">
      <alignment horizontal="center" vertical="center"/>
    </xf>
    <xf numFmtId="3" fontId="3" fillId="0" borderId="8" xfId="0" applyNumberFormat="1" applyFont="1" applyBorder="1" applyAlignment="1">
      <alignment vertical="center"/>
    </xf>
    <xf numFmtId="3" fontId="3" fillId="0" borderId="6" xfId="0" applyNumberFormat="1" applyFont="1" applyBorder="1" applyAlignment="1">
      <alignment vertical="center"/>
    </xf>
    <xf numFmtId="0" fontId="13" fillId="7" borderId="0" xfId="0" applyFont="1" applyFill="1" applyBorder="1" applyAlignment="1"/>
    <xf numFmtId="0" fontId="13" fillId="7" borderId="16" xfId="0" applyFont="1" applyFill="1" applyBorder="1" applyAlignment="1"/>
    <xf numFmtId="0" fontId="13" fillId="7" borderId="17" xfId="0" applyFont="1" applyFill="1" applyBorder="1" applyAlignment="1"/>
    <xf numFmtId="165" fontId="26" fillId="7" borderId="1" xfId="17" applyFont="1" applyFill="1" applyBorder="1" applyAlignment="1">
      <alignment horizontal="center" vertical="center"/>
    </xf>
    <xf numFmtId="3" fontId="13" fillId="0" borderId="16" xfId="0" applyNumberFormat="1" applyFont="1" applyBorder="1" applyAlignment="1">
      <alignment horizontal="center" vertical="center"/>
    </xf>
    <xf numFmtId="3" fontId="3" fillId="0" borderId="17" xfId="0" applyNumberFormat="1" applyFont="1" applyBorder="1" applyAlignment="1">
      <alignment vertical="center"/>
    </xf>
    <xf numFmtId="3" fontId="3" fillId="0" borderId="13" xfId="0" applyNumberFormat="1" applyFont="1" applyBorder="1" applyAlignment="1">
      <alignment vertical="center"/>
    </xf>
    <xf numFmtId="170" fontId="3" fillId="7" borderId="1" xfId="0" applyNumberFormat="1" applyFont="1" applyFill="1" applyBorder="1" applyAlignment="1">
      <alignment vertical="center"/>
    </xf>
    <xf numFmtId="43" fontId="26" fillId="0" borderId="3" xfId="1" applyFont="1" applyFill="1" applyBorder="1" applyAlignment="1">
      <alignment vertical="center" wrapText="1"/>
    </xf>
    <xf numFmtId="43" fontId="3" fillId="0" borderId="1" xfId="1" applyFont="1" applyFill="1" applyBorder="1" applyAlignment="1">
      <alignment vertical="center"/>
    </xf>
    <xf numFmtId="0" fontId="3" fillId="0" borderId="17" xfId="0" applyFont="1" applyBorder="1"/>
    <xf numFmtId="14" fontId="13" fillId="0" borderId="1" xfId="0" applyNumberFormat="1" applyFont="1" applyBorder="1" applyAlignment="1">
      <alignment vertical="center"/>
    </xf>
    <xf numFmtId="1" fontId="3" fillId="7" borderId="17" xfId="17" applyNumberFormat="1" applyFont="1" applyFill="1" applyBorder="1" applyAlignment="1">
      <alignment horizontal="center" vertical="center"/>
    </xf>
    <xf numFmtId="3" fontId="3" fillId="0" borderId="17" xfId="0" applyNumberFormat="1" applyFont="1" applyBorder="1" applyAlignment="1">
      <alignment horizontal="center" vertical="center" wrapText="1"/>
    </xf>
    <xf numFmtId="165" fontId="3" fillId="7" borderId="17" xfId="17" applyFont="1" applyFill="1" applyBorder="1" applyAlignment="1">
      <alignment horizontal="center" vertical="center" wrapText="1"/>
    </xf>
    <xf numFmtId="1" fontId="3" fillId="7" borderId="0" xfId="17" applyNumberFormat="1" applyFont="1" applyFill="1" applyBorder="1" applyAlignment="1">
      <alignment horizontal="center" vertical="center"/>
    </xf>
    <xf numFmtId="0" fontId="13" fillId="7" borderId="2" xfId="0" applyFont="1" applyFill="1" applyBorder="1" applyAlignment="1"/>
    <xf numFmtId="0" fontId="13" fillId="7" borderId="14" xfId="0" applyFont="1" applyFill="1" applyBorder="1" applyAlignment="1"/>
    <xf numFmtId="0" fontId="13" fillId="7" borderId="15" xfId="0" applyFont="1" applyFill="1" applyBorder="1" applyAlignment="1"/>
    <xf numFmtId="165" fontId="3" fillId="7" borderId="15" xfId="17" applyFont="1" applyFill="1" applyBorder="1" applyAlignment="1">
      <alignment vertical="center" wrapText="1"/>
    </xf>
    <xf numFmtId="3" fontId="13" fillId="0" borderId="14" xfId="0" applyNumberFormat="1" applyFont="1" applyBorder="1" applyAlignment="1">
      <alignment horizontal="center" vertical="center"/>
    </xf>
    <xf numFmtId="3" fontId="3" fillId="0" borderId="15" xfId="0" applyNumberFormat="1" applyFont="1" applyBorder="1" applyAlignment="1">
      <alignment vertical="center"/>
    </xf>
    <xf numFmtId="3" fontId="3" fillId="0" borderId="18" xfId="0" applyNumberFormat="1" applyFont="1" applyBorder="1" applyAlignment="1">
      <alignment vertical="center"/>
    </xf>
    <xf numFmtId="0" fontId="2" fillId="12" borderId="0" xfId="0" applyFont="1" applyFill="1" applyBorder="1" applyAlignment="1">
      <alignment vertical="center"/>
    </xf>
    <xf numFmtId="0" fontId="3" fillId="12" borderId="2" xfId="0" applyFont="1" applyFill="1" applyBorder="1" applyAlignment="1">
      <alignment vertical="center"/>
    </xf>
    <xf numFmtId="43" fontId="2" fillId="12" borderId="1" xfId="1" applyFont="1" applyFill="1" applyBorder="1" applyAlignment="1">
      <alignment horizontal="justify" vertical="center" wrapText="1"/>
    </xf>
    <xf numFmtId="165" fontId="3" fillId="7" borderId="17" xfId="17" applyFont="1" applyFill="1" applyBorder="1" applyAlignment="1">
      <alignment vertical="center"/>
    </xf>
    <xf numFmtId="43" fontId="3" fillId="7" borderId="1" xfId="1" applyFont="1" applyFill="1" applyBorder="1" applyAlignment="1">
      <alignment horizontal="justify" vertical="center"/>
    </xf>
    <xf numFmtId="165" fontId="26" fillId="7" borderId="1" xfId="17" applyFont="1" applyFill="1" applyBorder="1" applyAlignment="1">
      <alignment horizontal="center" vertical="center" wrapText="1"/>
    </xf>
    <xf numFmtId="165" fontId="3" fillId="7" borderId="17" xfId="17" applyFont="1" applyFill="1" applyBorder="1" applyAlignment="1">
      <alignment horizontal="center" vertical="center"/>
    </xf>
    <xf numFmtId="3" fontId="26" fillId="0" borderId="1" xfId="17" applyNumberFormat="1" applyFont="1" applyFill="1" applyBorder="1" applyAlignment="1">
      <alignment horizontal="center" vertical="center"/>
    </xf>
    <xf numFmtId="43" fontId="26" fillId="7" borderId="3" xfId="1" applyFont="1" applyFill="1" applyBorder="1" applyAlignment="1">
      <alignment horizontal="justify" vertical="center"/>
    </xf>
    <xf numFmtId="1" fontId="3" fillId="7" borderId="13" xfId="17" applyNumberFormat="1" applyFont="1" applyFill="1" applyBorder="1" applyAlignment="1">
      <alignment horizontal="center" vertical="center"/>
    </xf>
    <xf numFmtId="1" fontId="3" fillId="7" borderId="16" xfId="17" applyNumberFormat="1" applyFont="1" applyFill="1" applyBorder="1" applyAlignment="1">
      <alignment horizontal="center" vertical="center"/>
    </xf>
    <xf numFmtId="43" fontId="26" fillId="0" borderId="3" xfId="1" applyFont="1" applyFill="1" applyBorder="1" applyAlignment="1">
      <alignment horizontal="justify" vertical="center"/>
    </xf>
    <xf numFmtId="170" fontId="2" fillId="12" borderId="5" xfId="0" applyNumberFormat="1" applyFont="1" applyFill="1" applyBorder="1" applyAlignment="1">
      <alignment vertical="center"/>
    </xf>
    <xf numFmtId="43" fontId="3" fillId="0" borderId="1" xfId="1" applyFont="1" applyFill="1" applyBorder="1" applyAlignment="1">
      <alignment horizontal="justify" vertical="center"/>
    </xf>
    <xf numFmtId="1" fontId="26" fillId="0" borderId="6" xfId="17" applyNumberFormat="1" applyFont="1" applyFill="1" applyBorder="1" applyAlignment="1">
      <alignment horizontal="center" vertical="center" wrapText="1"/>
    </xf>
    <xf numFmtId="3" fontId="26" fillId="7" borderId="1" xfId="17" applyNumberFormat="1" applyFont="1" applyFill="1" applyBorder="1" applyAlignment="1">
      <alignment horizontal="center" vertical="center"/>
    </xf>
    <xf numFmtId="1" fontId="26" fillId="0" borderId="1" xfId="17" applyNumberFormat="1" applyFont="1" applyFill="1" applyBorder="1" applyAlignment="1">
      <alignment horizontal="center" vertical="center"/>
    </xf>
    <xf numFmtId="43" fontId="26" fillId="0" borderId="1" xfId="1" applyFont="1" applyFill="1" applyBorder="1" applyAlignment="1">
      <alignment horizontal="justify" vertical="center"/>
    </xf>
    <xf numFmtId="1" fontId="26" fillId="0" borderId="18" xfId="17" applyNumberFormat="1" applyFont="1" applyFill="1" applyBorder="1" applyAlignment="1">
      <alignment horizontal="center" vertical="center"/>
    </xf>
    <xf numFmtId="3" fontId="26" fillId="7" borderId="18" xfId="17" applyNumberFormat="1" applyFont="1" applyFill="1" applyBorder="1" applyAlignment="1">
      <alignment horizontal="center" vertical="center"/>
    </xf>
    <xf numFmtId="43" fontId="2" fillId="12" borderId="4" xfId="1" applyFont="1" applyFill="1" applyBorder="1" applyAlignment="1">
      <alignment horizontal="justify" vertical="center"/>
    </xf>
    <xf numFmtId="0" fontId="3" fillId="7" borderId="17" xfId="17" applyNumberFormat="1" applyFont="1" applyFill="1" applyBorder="1" applyAlignment="1">
      <alignment vertical="center" wrapText="1"/>
    </xf>
    <xf numFmtId="9" fontId="26" fillId="0" borderId="1" xfId="4" applyFont="1" applyFill="1" applyBorder="1" applyAlignment="1">
      <alignment horizontal="center" vertical="center"/>
    </xf>
    <xf numFmtId="1" fontId="26" fillId="0" borderId="1" xfId="17" applyNumberFormat="1" applyFont="1" applyFill="1" applyBorder="1" applyAlignment="1">
      <alignment horizontal="center" vertical="center" wrapText="1"/>
    </xf>
    <xf numFmtId="0" fontId="3" fillId="7" borderId="17" xfId="17" applyNumberFormat="1" applyFont="1" applyFill="1" applyBorder="1" applyAlignment="1">
      <alignment horizontal="center" vertical="center" wrapText="1"/>
    </xf>
    <xf numFmtId="3" fontId="3" fillId="0" borderId="1" xfId="17" applyNumberFormat="1" applyFont="1" applyBorder="1" applyAlignment="1">
      <alignment horizontal="center" vertical="center"/>
    </xf>
    <xf numFmtId="165" fontId="3" fillId="0" borderId="1" xfId="17" applyFont="1" applyBorder="1" applyAlignment="1">
      <alignment horizontal="left" vertical="center" wrapText="1"/>
    </xf>
    <xf numFmtId="4" fontId="3" fillId="0" borderId="1" xfId="17" applyNumberFormat="1" applyFont="1" applyBorder="1" applyAlignment="1">
      <alignment horizontal="center" vertical="center"/>
    </xf>
    <xf numFmtId="9" fontId="26" fillId="7" borderId="1" xfId="4" applyFont="1" applyFill="1" applyBorder="1" applyAlignment="1">
      <alignment horizontal="center" vertical="center"/>
    </xf>
    <xf numFmtId="0" fontId="3" fillId="0" borderId="1" xfId="0" applyFont="1" applyFill="1" applyBorder="1"/>
    <xf numFmtId="1" fontId="2" fillId="11" borderId="1" xfId="0" applyNumberFormat="1" applyFont="1" applyFill="1" applyBorder="1" applyAlignment="1">
      <alignment vertical="center"/>
    </xf>
    <xf numFmtId="1" fontId="2" fillId="11" borderId="9" xfId="0" applyNumberFormat="1" applyFont="1" applyFill="1" applyBorder="1" applyAlignment="1">
      <alignment vertical="center"/>
    </xf>
    <xf numFmtId="0" fontId="2" fillId="11" borderId="1" xfId="0" applyFont="1" applyFill="1" applyBorder="1" applyAlignment="1">
      <alignment horizontal="justify" vertical="center"/>
    </xf>
    <xf numFmtId="1" fontId="26" fillId="0" borderId="6" xfId="17" applyNumberFormat="1" applyFont="1" applyFill="1" applyBorder="1" applyAlignment="1">
      <alignment horizontal="center" vertical="center"/>
    </xf>
    <xf numFmtId="3" fontId="26" fillId="7" borderId="6" xfId="17" applyNumberFormat="1" applyFont="1" applyFill="1" applyBorder="1" applyAlignment="1">
      <alignment horizontal="center" vertical="center"/>
    </xf>
    <xf numFmtId="14" fontId="3" fillId="0" borderId="1" xfId="0" applyNumberFormat="1" applyFont="1" applyBorder="1" applyAlignment="1">
      <alignment horizontal="right" vertical="center"/>
    </xf>
    <xf numFmtId="165" fontId="3" fillId="7" borderId="7" xfId="17" applyFont="1" applyFill="1" applyBorder="1" applyAlignment="1">
      <alignment horizontal="justify" vertical="center" wrapText="1"/>
    </xf>
    <xf numFmtId="43" fontId="26" fillId="0" borderId="1" xfId="1" applyFont="1" applyFill="1" applyBorder="1" applyAlignment="1">
      <alignment vertical="center"/>
    </xf>
    <xf numFmtId="43" fontId="26" fillId="0" borderId="18" xfId="1" applyFont="1" applyFill="1" applyBorder="1" applyAlignment="1">
      <alignment vertical="center"/>
    </xf>
    <xf numFmtId="0" fontId="3" fillId="0" borderId="7" xfId="0" applyFont="1" applyFill="1" applyBorder="1" applyAlignment="1">
      <alignment horizontal="justify" vertical="center" wrapText="1"/>
    </xf>
    <xf numFmtId="0" fontId="3" fillId="7" borderId="3" xfId="0" applyFont="1" applyFill="1" applyBorder="1" applyAlignment="1">
      <alignment horizontal="justify" vertical="center" wrapText="1" readingOrder="2"/>
    </xf>
    <xf numFmtId="49" fontId="26" fillId="0" borderId="6" xfId="17" applyNumberFormat="1" applyFont="1" applyFill="1" applyBorder="1" applyAlignment="1">
      <alignment horizontal="center" vertical="center" wrapText="1"/>
    </xf>
    <xf numFmtId="3" fontId="26" fillId="7" borderId="6" xfId="17" applyNumberFormat="1" applyFont="1" applyFill="1" applyBorder="1" applyAlignment="1">
      <alignment horizontal="center" vertical="center" wrapText="1"/>
    </xf>
    <xf numFmtId="49" fontId="26" fillId="0" borderId="1" xfId="17" applyNumberFormat="1" applyFont="1" applyFill="1" applyBorder="1" applyAlignment="1">
      <alignment horizontal="center" vertical="center"/>
    </xf>
    <xf numFmtId="49" fontId="26" fillId="0" borderId="18" xfId="17" applyNumberFormat="1" applyFont="1" applyFill="1" applyBorder="1" applyAlignment="1">
      <alignment horizontal="center" vertical="center"/>
    </xf>
    <xf numFmtId="0" fontId="3" fillId="10" borderId="0" xfId="0" applyFont="1" applyFill="1" applyBorder="1" applyAlignment="1">
      <alignment vertical="center"/>
    </xf>
    <xf numFmtId="0" fontId="2" fillId="10" borderId="0" xfId="0" applyFont="1" applyFill="1" applyBorder="1" applyAlignment="1">
      <alignment horizontal="justify" vertical="center" wrapText="1"/>
    </xf>
    <xf numFmtId="0" fontId="2" fillId="10" borderId="0" xfId="0" applyFont="1" applyFill="1" applyBorder="1" applyAlignment="1">
      <alignment horizontal="justify" vertical="center"/>
    </xf>
    <xf numFmtId="0" fontId="2" fillId="10" borderId="0" xfId="0" applyFont="1" applyFill="1" applyBorder="1" applyAlignment="1">
      <alignment vertical="center"/>
    </xf>
    <xf numFmtId="172" fontId="3" fillId="10" borderId="0" xfId="0" applyNumberFormat="1" applyFont="1" applyFill="1" applyBorder="1" applyAlignment="1">
      <alignment horizontal="center" vertical="center"/>
    </xf>
    <xf numFmtId="43" fontId="2" fillId="10" borderId="0" xfId="1" applyFont="1" applyFill="1" applyBorder="1" applyAlignment="1">
      <alignment vertical="center"/>
    </xf>
    <xf numFmtId="43" fontId="2" fillId="10" borderId="1" xfId="1" applyFont="1" applyFill="1" applyBorder="1" applyAlignment="1">
      <alignment horizontal="center" vertical="center"/>
    </xf>
    <xf numFmtId="43" fontId="2" fillId="10" borderId="1" xfId="1" applyFont="1" applyFill="1" applyBorder="1" applyAlignment="1">
      <alignment horizontal="justify" vertical="center"/>
    </xf>
    <xf numFmtId="171" fontId="2" fillId="10" borderId="1" xfId="0" applyNumberFormat="1" applyFont="1" applyFill="1" applyBorder="1" applyAlignment="1">
      <alignment horizontal="justify" vertical="center"/>
    </xf>
    <xf numFmtId="171" fontId="2" fillId="10" borderId="9" xfId="0" applyNumberFormat="1" applyFont="1" applyFill="1" applyBorder="1" applyAlignment="1">
      <alignment horizontal="center" vertical="center"/>
    </xf>
    <xf numFmtId="43" fontId="2" fillId="10" borderId="9" xfId="1" applyFont="1" applyFill="1" applyBorder="1" applyAlignment="1">
      <alignment horizontal="center" vertical="center"/>
    </xf>
    <xf numFmtId="171" fontId="2" fillId="10" borderId="8" xfId="0" applyNumberFormat="1" applyFont="1" applyFill="1" applyBorder="1" applyAlignment="1">
      <alignment horizontal="center" vertical="center"/>
    </xf>
    <xf numFmtId="0" fontId="3" fillId="7" borderId="0" xfId="0" applyFont="1" applyFill="1" applyBorder="1"/>
    <xf numFmtId="43" fontId="2" fillId="11" borderId="9" xfId="1" applyFont="1" applyFill="1" applyBorder="1" applyAlignment="1">
      <alignment vertical="center"/>
    </xf>
    <xf numFmtId="1" fontId="2" fillId="12" borderId="9" xfId="0" applyNumberFormat="1" applyFont="1" applyFill="1" applyBorder="1" applyAlignment="1">
      <alignment horizontal="left" vertical="center" wrapText="1" indent="1"/>
    </xf>
    <xf numFmtId="172" fontId="3" fillId="12" borderId="4" xfId="0" applyNumberFormat="1" applyFont="1" applyFill="1" applyBorder="1" applyAlignment="1">
      <alignment horizontal="center" vertical="center"/>
    </xf>
    <xf numFmtId="0" fontId="3" fillId="7" borderId="8" xfId="0" applyFont="1" applyFill="1" applyBorder="1" applyAlignment="1"/>
    <xf numFmtId="0" fontId="13" fillId="7" borderId="9" xfId="0" applyFont="1" applyFill="1" applyBorder="1" applyAlignment="1"/>
    <xf numFmtId="170" fontId="3" fillId="0" borderId="1" xfId="0" applyNumberFormat="1" applyFont="1" applyFill="1" applyBorder="1" applyAlignment="1">
      <alignment horizontal="right" vertical="center"/>
    </xf>
    <xf numFmtId="1" fontId="9" fillId="7" borderId="3" xfId="17" applyNumberFormat="1" applyFont="1" applyFill="1" applyBorder="1" applyAlignment="1">
      <alignment horizontal="center" vertical="center" wrapText="1"/>
    </xf>
    <xf numFmtId="1" fontId="9" fillId="7" borderId="4" xfId="17" applyNumberFormat="1" applyFont="1" applyFill="1" applyBorder="1" applyAlignment="1">
      <alignment horizontal="center" vertical="center" wrapText="1"/>
    </xf>
    <xf numFmtId="0" fontId="2" fillId="0" borderId="4" xfId="0" applyFont="1" applyBorder="1" applyAlignment="1">
      <alignment horizontal="center"/>
    </xf>
    <xf numFmtId="0" fontId="27" fillId="7" borderId="4" xfId="0" applyFont="1" applyFill="1" applyBorder="1" applyAlignment="1"/>
    <xf numFmtId="3" fontId="2" fillId="0" borderId="4" xfId="17" applyNumberFormat="1" applyFont="1" applyBorder="1" applyAlignment="1">
      <alignment horizontal="center" vertical="center"/>
    </xf>
    <xf numFmtId="165" fontId="2" fillId="7" borderId="4" xfId="17" applyFont="1" applyFill="1" applyBorder="1" applyAlignment="1">
      <alignment horizontal="justify" vertical="center" wrapText="1"/>
    </xf>
    <xf numFmtId="3" fontId="2" fillId="7" borderId="4" xfId="17" applyNumberFormat="1" applyFont="1" applyFill="1" applyBorder="1" applyAlignment="1">
      <alignment horizontal="center" vertical="center"/>
    </xf>
    <xf numFmtId="165" fontId="2" fillId="7" borderId="4" xfId="17" applyFont="1" applyFill="1" applyBorder="1" applyAlignment="1">
      <alignment horizontal="justify" vertical="center"/>
    </xf>
    <xf numFmtId="49" fontId="2" fillId="0" borderId="4" xfId="17" applyNumberFormat="1" applyFont="1" applyFill="1" applyBorder="1" applyAlignment="1">
      <alignment horizontal="center" vertical="center" wrapText="1"/>
    </xf>
    <xf numFmtId="0" fontId="9" fillId="7" borderId="5" xfId="0" applyFont="1" applyFill="1" applyBorder="1" applyAlignment="1">
      <alignment horizontal="justify" vertical="center" wrapText="1"/>
    </xf>
    <xf numFmtId="3" fontId="2" fillId="7" borderId="3" xfId="17" applyNumberFormat="1" applyFont="1" applyFill="1" applyBorder="1" applyAlignment="1">
      <alignment horizontal="center" vertical="center"/>
    </xf>
    <xf numFmtId="0" fontId="27" fillId="0" borderId="4" xfId="0" applyFont="1" applyFill="1" applyBorder="1" applyAlignment="1">
      <alignment vertical="center"/>
    </xf>
    <xf numFmtId="0" fontId="27" fillId="0" borderId="4" xfId="0" applyFont="1" applyBorder="1" applyAlignment="1">
      <alignment vertical="center"/>
    </xf>
    <xf numFmtId="43" fontId="27" fillId="0" borderId="1" xfId="1" applyFont="1" applyBorder="1" applyAlignment="1">
      <alignment vertical="center"/>
    </xf>
    <xf numFmtId="43" fontId="27" fillId="0" borderId="5" xfId="1" applyFont="1" applyBorder="1" applyAlignment="1">
      <alignment vertical="center"/>
    </xf>
    <xf numFmtId="14" fontId="2" fillId="0" borderId="4" xfId="0" applyNumberFormat="1" applyFont="1" applyBorder="1" applyAlignment="1">
      <alignment vertical="center"/>
    </xf>
    <xf numFmtId="0" fontId="27" fillId="0" borderId="5" xfId="0" applyFont="1" applyBorder="1" applyAlignment="1">
      <alignment horizontal="left" vertical="center"/>
    </xf>
    <xf numFmtId="0" fontId="2" fillId="7" borderId="0" xfId="0" applyFont="1" applyFill="1"/>
    <xf numFmtId="1" fontId="10" fillId="0" borderId="0" xfId="0" applyNumberFormat="1" applyFont="1"/>
    <xf numFmtId="0" fontId="10" fillId="7" borderId="0" xfId="0" applyFont="1" applyFill="1" applyAlignment="1">
      <alignment horizontal="justify"/>
    </xf>
    <xf numFmtId="172" fontId="10" fillId="7" borderId="0" xfId="0" applyNumberFormat="1" applyFont="1" applyFill="1" applyAlignment="1">
      <alignment horizontal="center" vertical="center"/>
    </xf>
    <xf numFmtId="171" fontId="10" fillId="7" borderId="4" xfId="0" applyNumberFormat="1" applyFont="1" applyFill="1" applyBorder="1" applyAlignment="1">
      <alignment vertical="center"/>
    </xf>
    <xf numFmtId="0" fontId="10" fillId="7" borderId="4" xfId="0" applyFont="1" applyFill="1" applyBorder="1" applyAlignment="1">
      <alignment horizontal="justify" vertical="center"/>
    </xf>
    <xf numFmtId="41" fontId="10" fillId="7" borderId="0" xfId="0" applyNumberFormat="1" applyFont="1" applyFill="1" applyAlignment="1">
      <alignment horizontal="center" vertical="center"/>
    </xf>
    <xf numFmtId="170" fontId="10" fillId="0" borderId="0" xfId="0" applyNumberFormat="1" applyFont="1" applyAlignment="1">
      <alignment horizontal="right" vertical="center"/>
    </xf>
    <xf numFmtId="170" fontId="10" fillId="0" borderId="0" xfId="0" applyNumberFormat="1" applyFont="1" applyAlignment="1">
      <alignment horizontal="center"/>
    </xf>
    <xf numFmtId="0" fontId="9" fillId="0" borderId="0" xfId="0" applyFont="1" applyBorder="1"/>
    <xf numFmtId="171" fontId="10" fillId="7" borderId="0" xfId="0" applyNumberFormat="1" applyFont="1" applyFill="1" applyAlignment="1">
      <alignment vertical="center"/>
    </xf>
    <xf numFmtId="0" fontId="28" fillId="0" borderId="0" xfId="0" applyFont="1" applyAlignment="1" applyProtection="1">
      <alignment horizontal="center" vertical="center" wrapText="1"/>
    </xf>
    <xf numFmtId="170" fontId="29" fillId="0" borderId="0" xfId="0" applyNumberFormat="1" applyFont="1" applyAlignment="1" applyProtection="1">
      <alignment horizontal="center"/>
    </xf>
    <xf numFmtId="0" fontId="30" fillId="0" borderId="1" xfId="0" applyFont="1" applyBorder="1" applyAlignment="1" applyProtection="1">
      <alignment vertical="center"/>
    </xf>
    <xf numFmtId="0" fontId="29" fillId="7" borderId="0" xfId="0" applyFont="1" applyFill="1" applyProtection="1"/>
    <xf numFmtId="0" fontId="29" fillId="0" borderId="0" xfId="0" applyFont="1" applyProtection="1"/>
    <xf numFmtId="0" fontId="30" fillId="0" borderId="1" xfId="0" applyFont="1" applyBorder="1" applyAlignment="1" applyProtection="1">
      <alignment horizontal="left" vertical="center"/>
    </xf>
    <xf numFmtId="0" fontId="30" fillId="0" borderId="1" xfId="0" applyFont="1" applyBorder="1" applyAlignment="1" applyProtection="1">
      <alignment vertical="center" wrapText="1"/>
    </xf>
    <xf numFmtId="0" fontId="28" fillId="0" borderId="2" xfId="0" applyFont="1" applyBorder="1" applyAlignment="1" applyProtection="1">
      <alignment horizontal="center" vertical="center" wrapText="1"/>
    </xf>
    <xf numFmtId="3" fontId="31" fillId="0" borderId="1" xfId="0" applyNumberFormat="1" applyFont="1" applyBorder="1" applyAlignment="1" applyProtection="1">
      <alignment horizontal="left" vertical="center" wrapText="1"/>
    </xf>
    <xf numFmtId="0" fontId="32" fillId="0" borderId="9" xfId="0" applyFont="1" applyBorder="1" applyAlignment="1" applyProtection="1">
      <alignment horizontal="center" vertical="center"/>
    </xf>
    <xf numFmtId="0" fontId="9" fillId="4" borderId="9" xfId="0" applyFont="1" applyFill="1" applyBorder="1" applyAlignment="1" applyProtection="1">
      <alignment horizontal="center" vertical="center"/>
    </xf>
    <xf numFmtId="0" fontId="29" fillId="7" borderId="0" xfId="0" applyFont="1" applyFill="1" applyAlignment="1" applyProtection="1">
      <alignment horizontal="center" vertical="center"/>
    </xf>
    <xf numFmtId="0" fontId="29" fillId="0" borderId="0" xfId="0" applyFont="1" applyAlignment="1" applyProtection="1">
      <alignment horizontal="center" vertical="center"/>
    </xf>
    <xf numFmtId="1" fontId="32" fillId="3" borderId="15" xfId="0" applyNumberFormat="1" applyFont="1" applyFill="1" applyBorder="1" applyAlignment="1" applyProtection="1">
      <alignment horizontal="center" vertical="center" wrapText="1"/>
    </xf>
    <xf numFmtId="0" fontId="32" fillId="3" borderId="0" xfId="0" applyFont="1" applyFill="1" applyBorder="1" applyAlignment="1" applyProtection="1">
      <alignment horizontal="center" vertical="center" wrapText="1"/>
    </xf>
    <xf numFmtId="0" fontId="32" fillId="3" borderId="15" xfId="0" applyFont="1" applyFill="1" applyBorder="1" applyAlignment="1" applyProtection="1">
      <alignment horizontal="center" vertical="center" wrapText="1"/>
    </xf>
    <xf numFmtId="0" fontId="32" fillId="3" borderId="18" xfId="0" applyFont="1" applyFill="1" applyBorder="1" applyAlignment="1" applyProtection="1">
      <alignment horizontal="center" vertical="center" wrapText="1"/>
    </xf>
    <xf numFmtId="172" fontId="32" fillId="3" borderId="15" xfId="0" applyNumberFormat="1" applyFont="1" applyFill="1" applyBorder="1" applyAlignment="1" applyProtection="1">
      <alignment horizontal="center" vertical="center" wrapText="1"/>
    </xf>
    <xf numFmtId="171" fontId="32" fillId="3" borderId="15" xfId="0" applyNumberFormat="1" applyFont="1" applyFill="1" applyBorder="1" applyAlignment="1" applyProtection="1">
      <alignment horizontal="center" vertical="center" wrapText="1"/>
    </xf>
    <xf numFmtId="41" fontId="32" fillId="3" borderId="15" xfId="9" applyFont="1" applyFill="1" applyBorder="1" applyAlignment="1" applyProtection="1">
      <alignment horizontal="center" vertical="center" wrapText="1"/>
    </xf>
    <xf numFmtId="0" fontId="32" fillId="3" borderId="1" xfId="0" applyFont="1" applyFill="1" applyBorder="1" applyAlignment="1" applyProtection="1">
      <alignment horizontal="center" vertical="center" wrapText="1"/>
    </xf>
    <xf numFmtId="3" fontId="32" fillId="3" borderId="17" xfId="0" applyNumberFormat="1" applyFont="1" applyFill="1" applyBorder="1" applyAlignment="1" applyProtection="1">
      <alignment horizontal="center" vertical="center" wrapText="1"/>
    </xf>
    <xf numFmtId="1" fontId="32" fillId="10" borderId="9" xfId="0" applyNumberFormat="1" applyFont="1" applyFill="1" applyBorder="1" applyAlignment="1" applyProtection="1">
      <alignment horizontal="justify" vertical="center" wrapText="1"/>
    </xf>
    <xf numFmtId="0" fontId="32" fillId="10" borderId="4" xfId="0" applyFont="1" applyFill="1" applyBorder="1" applyAlignment="1" applyProtection="1">
      <alignment horizontal="justify" vertical="center"/>
    </xf>
    <xf numFmtId="0" fontId="32" fillId="10" borderId="4" xfId="0" applyFont="1" applyFill="1" applyBorder="1" applyAlignment="1" applyProtection="1">
      <alignment horizontal="center" vertical="center"/>
    </xf>
    <xf numFmtId="172" fontId="32" fillId="10" borderId="4" xfId="0" applyNumberFormat="1" applyFont="1" applyFill="1" applyBorder="1" applyAlignment="1" applyProtection="1">
      <alignment horizontal="justify" vertical="center"/>
    </xf>
    <xf numFmtId="171" fontId="32" fillId="10" borderId="4" xfId="0" applyNumberFormat="1" applyFont="1" applyFill="1" applyBorder="1" applyAlignment="1" applyProtection="1">
      <alignment horizontal="center" vertical="center"/>
    </xf>
    <xf numFmtId="0" fontId="29" fillId="10" borderId="4" xfId="0" applyFont="1" applyFill="1" applyBorder="1" applyAlignment="1" applyProtection="1">
      <alignment horizontal="justify" vertical="center"/>
    </xf>
    <xf numFmtId="43" fontId="29" fillId="10" borderId="4" xfId="9" applyNumberFormat="1" applyFont="1" applyFill="1" applyBorder="1" applyAlignment="1" applyProtection="1">
      <alignment horizontal="right" vertical="center"/>
    </xf>
    <xf numFmtId="1" fontId="32" fillId="10" borderId="4" xfId="0" applyNumberFormat="1" applyFont="1" applyFill="1" applyBorder="1" applyAlignment="1" applyProtection="1">
      <alignment horizontal="center" vertical="center"/>
    </xf>
    <xf numFmtId="0" fontId="32" fillId="10" borderId="4" xfId="0" applyFont="1" applyFill="1" applyBorder="1" applyAlignment="1" applyProtection="1">
      <alignment vertical="center"/>
    </xf>
    <xf numFmtId="1" fontId="32" fillId="10" borderId="4" xfId="0" applyNumberFormat="1" applyFont="1" applyFill="1" applyBorder="1" applyAlignment="1" applyProtection="1">
      <alignment vertical="center"/>
    </xf>
    <xf numFmtId="170" fontId="32" fillId="10" borderId="4" xfId="0" applyNumberFormat="1" applyFont="1" applyFill="1" applyBorder="1" applyAlignment="1" applyProtection="1">
      <alignment vertical="center"/>
    </xf>
    <xf numFmtId="0" fontId="32" fillId="10" borderId="5" xfId="0" applyFont="1" applyFill="1" applyBorder="1" applyAlignment="1" applyProtection="1">
      <alignment horizontal="justify" vertical="center"/>
    </xf>
    <xf numFmtId="1" fontId="32" fillId="7" borderId="7" xfId="0" applyNumberFormat="1" applyFont="1" applyFill="1" applyBorder="1" applyAlignment="1" applyProtection="1">
      <alignment horizontal="justify" vertical="center" wrapText="1"/>
    </xf>
    <xf numFmtId="0" fontId="32" fillId="7" borderId="9" xfId="0" applyFont="1" applyFill="1" applyBorder="1" applyAlignment="1" applyProtection="1">
      <alignment horizontal="justify" vertical="center" wrapText="1"/>
    </xf>
    <xf numFmtId="0" fontId="32" fillId="7" borderId="8" xfId="0" applyFont="1" applyFill="1" applyBorder="1" applyAlignment="1" applyProtection="1">
      <alignment horizontal="justify" vertical="center" wrapText="1"/>
    </xf>
    <xf numFmtId="1" fontId="32" fillId="11" borderId="0" xfId="0" applyNumberFormat="1" applyFont="1" applyFill="1" applyAlignment="1" applyProtection="1">
      <alignment horizontal="justify" vertical="center"/>
    </xf>
    <xf numFmtId="0" fontId="32" fillId="11" borderId="2" xfId="0" applyFont="1" applyFill="1" applyBorder="1" applyAlignment="1" applyProtection="1">
      <alignment horizontal="justify" vertical="center"/>
    </xf>
    <xf numFmtId="0" fontId="32" fillId="11" borderId="2" xfId="0" applyFont="1" applyFill="1" applyBorder="1" applyAlignment="1" applyProtection="1">
      <alignment horizontal="center" vertical="center"/>
    </xf>
    <xf numFmtId="172" fontId="32" fillId="11" borderId="2" xfId="0" applyNumberFormat="1" applyFont="1" applyFill="1" applyBorder="1" applyAlignment="1" applyProtection="1">
      <alignment horizontal="justify" vertical="center"/>
    </xf>
    <xf numFmtId="171" fontId="32" fillId="11" borderId="2" xfId="0" applyNumberFormat="1" applyFont="1" applyFill="1" applyBorder="1" applyAlignment="1" applyProtection="1">
      <alignment horizontal="center" vertical="center"/>
    </xf>
    <xf numFmtId="0" fontId="29" fillId="11" borderId="2" xfId="0" applyFont="1" applyFill="1" applyBorder="1" applyAlignment="1" applyProtection="1">
      <alignment horizontal="justify" vertical="center"/>
    </xf>
    <xf numFmtId="43" fontId="29" fillId="11" borderId="2" xfId="9" applyNumberFormat="1" applyFont="1" applyFill="1" applyBorder="1" applyAlignment="1" applyProtection="1">
      <alignment horizontal="right" vertical="center"/>
    </xf>
    <xf numFmtId="1" fontId="32" fillId="11" borderId="2" xfId="0" applyNumberFormat="1" applyFont="1" applyFill="1" applyBorder="1" applyAlignment="1" applyProtection="1">
      <alignment horizontal="center" vertical="center"/>
    </xf>
    <xf numFmtId="0" fontId="32" fillId="11" borderId="2" xfId="0" applyFont="1" applyFill="1" applyBorder="1" applyAlignment="1" applyProtection="1">
      <alignment vertical="center"/>
    </xf>
    <xf numFmtId="1" fontId="32" fillId="11" borderId="2" xfId="0" applyNumberFormat="1" applyFont="1" applyFill="1" applyBorder="1" applyAlignment="1" applyProtection="1">
      <alignment vertical="center"/>
    </xf>
    <xf numFmtId="170" fontId="32" fillId="11" borderId="2" xfId="0" applyNumberFormat="1" applyFont="1" applyFill="1" applyBorder="1" applyAlignment="1" applyProtection="1">
      <alignment vertical="center"/>
    </xf>
    <xf numFmtId="0" fontId="32" fillId="11" borderId="15" xfId="0" applyFont="1" applyFill="1" applyBorder="1" applyAlignment="1" applyProtection="1">
      <alignment horizontal="justify" vertical="center"/>
    </xf>
    <xf numFmtId="1" fontId="32" fillId="7" borderId="16" xfId="0" applyNumberFormat="1" applyFont="1" applyFill="1" applyBorder="1" applyAlignment="1" applyProtection="1">
      <alignment horizontal="justify" vertical="center" wrapText="1"/>
    </xf>
    <xf numFmtId="0" fontId="32" fillId="7" borderId="0" xfId="0" applyFont="1" applyFill="1" applyAlignment="1" applyProtection="1">
      <alignment horizontal="justify" vertical="center" wrapText="1"/>
    </xf>
    <xf numFmtId="0" fontId="32" fillId="7" borderId="7" xfId="0" applyFont="1" applyFill="1" applyBorder="1" applyAlignment="1" applyProtection="1">
      <alignment horizontal="justify" vertical="center" wrapText="1"/>
    </xf>
    <xf numFmtId="1" fontId="32" fillId="12" borderId="3" xfId="0" applyNumberFormat="1" applyFont="1" applyFill="1" applyBorder="1" applyAlignment="1" applyProtection="1">
      <alignment horizontal="justify" vertical="center" wrapText="1"/>
    </xf>
    <xf numFmtId="0" fontId="32" fillId="12" borderId="4" xfId="0" applyFont="1" applyFill="1" applyBorder="1" applyAlignment="1" applyProtection="1">
      <alignment horizontal="justify" vertical="center"/>
    </xf>
    <xf numFmtId="0" fontId="32" fillId="12" borderId="4" xfId="0" applyFont="1" applyFill="1" applyBorder="1" applyAlignment="1" applyProtection="1">
      <alignment horizontal="center" vertical="center"/>
    </xf>
    <xf numFmtId="172" fontId="32" fillId="12" borderId="4" xfId="0" applyNumberFormat="1" applyFont="1" applyFill="1" applyBorder="1" applyAlignment="1" applyProtection="1">
      <alignment horizontal="justify" vertical="center"/>
    </xf>
    <xf numFmtId="171" fontId="32" fillId="12" borderId="9" xfId="0" applyNumberFormat="1" applyFont="1" applyFill="1" applyBorder="1" applyAlignment="1" applyProtection="1">
      <alignment horizontal="center" vertical="center"/>
    </xf>
    <xf numFmtId="0" fontId="29" fillId="12" borderId="4" xfId="0" applyFont="1" applyFill="1" applyBorder="1" applyAlignment="1" applyProtection="1">
      <alignment horizontal="justify" vertical="center"/>
    </xf>
    <xf numFmtId="43" fontId="29" fillId="12" borderId="4" xfId="9" applyNumberFormat="1" applyFont="1" applyFill="1" applyBorder="1" applyAlignment="1" applyProtection="1">
      <alignment horizontal="right" vertical="center"/>
    </xf>
    <xf numFmtId="1" fontId="32" fillId="12" borderId="4" xfId="0" applyNumberFormat="1" applyFont="1" applyFill="1" applyBorder="1" applyAlignment="1" applyProtection="1">
      <alignment horizontal="center" vertical="center"/>
    </xf>
    <xf numFmtId="0" fontId="32" fillId="12" borderId="4" xfId="0" applyFont="1" applyFill="1" applyBorder="1" applyAlignment="1" applyProtection="1">
      <alignment vertical="center"/>
    </xf>
    <xf numFmtId="1" fontId="32" fillId="12" borderId="4" xfId="0" applyNumberFormat="1" applyFont="1" applyFill="1" applyBorder="1" applyAlignment="1" applyProtection="1">
      <alignment vertical="center"/>
    </xf>
    <xf numFmtId="170" fontId="32" fillId="12" borderId="4" xfId="0" applyNumberFormat="1" applyFont="1" applyFill="1" applyBorder="1" applyAlignment="1" applyProtection="1">
      <alignment vertical="center"/>
    </xf>
    <xf numFmtId="0" fontId="32" fillId="12" borderId="5" xfId="0" applyFont="1" applyFill="1" applyBorder="1" applyAlignment="1" applyProtection="1">
      <alignment horizontal="justify" vertical="center"/>
    </xf>
    <xf numFmtId="1" fontId="29" fillId="0" borderId="16" xfId="0" applyNumberFormat="1" applyFont="1" applyBorder="1" applyAlignment="1" applyProtection="1">
      <alignment horizontal="justify" vertical="center" wrapText="1"/>
    </xf>
    <xf numFmtId="0" fontId="29" fillId="0" borderId="0" xfId="0" applyFont="1" applyAlignment="1" applyProtection="1">
      <alignment horizontal="justify" vertical="center" wrapText="1"/>
    </xf>
    <xf numFmtId="0" fontId="29" fillId="0" borderId="16" xfId="0" applyFont="1" applyBorder="1" applyAlignment="1" applyProtection="1">
      <alignment horizontal="justify" vertical="center" wrapText="1"/>
    </xf>
    <xf numFmtId="0" fontId="29" fillId="0" borderId="17" xfId="0" applyFont="1" applyBorder="1" applyAlignment="1" applyProtection="1">
      <alignment horizontal="justify" vertical="center" wrapText="1"/>
    </xf>
    <xf numFmtId="0" fontId="29" fillId="0" borderId="7" xfId="0" applyFont="1" applyBorder="1" applyAlignment="1" applyProtection="1">
      <alignment horizontal="justify" vertical="center" wrapText="1"/>
    </xf>
    <xf numFmtId="3" fontId="26" fillId="0" borderId="1" xfId="0" applyNumberFormat="1" applyFont="1" applyBorder="1" applyAlignment="1" applyProtection="1">
      <alignment horizontal="justify" vertical="center" wrapText="1"/>
    </xf>
    <xf numFmtId="0" fontId="26" fillId="0" borderId="1" xfId="0" applyFont="1" applyBorder="1" applyAlignment="1" applyProtection="1">
      <alignment horizontal="justify" vertical="center" wrapText="1"/>
    </xf>
    <xf numFmtId="43" fontId="29" fillId="0" borderId="1" xfId="11" applyFont="1" applyBorder="1" applyAlignment="1" applyProtection="1">
      <alignment horizontal="right" vertical="center"/>
    </xf>
    <xf numFmtId="43" fontId="29" fillId="7" borderId="0" xfId="9" applyNumberFormat="1" applyFont="1" applyFill="1" applyAlignment="1" applyProtection="1">
      <alignment horizontal="right" vertical="center"/>
    </xf>
    <xf numFmtId="1" fontId="29" fillId="0" borderId="1" xfId="0" applyNumberFormat="1" applyFont="1" applyBorder="1" applyAlignment="1" applyProtection="1">
      <alignment horizontal="center" vertical="center"/>
    </xf>
    <xf numFmtId="1" fontId="29" fillId="0" borderId="1" xfId="0" applyNumberFormat="1" applyFont="1" applyBorder="1" applyAlignment="1" applyProtection="1">
      <alignment horizontal="center" vertical="center" wrapText="1"/>
    </xf>
    <xf numFmtId="0" fontId="26" fillId="7" borderId="1" xfId="18" applyFont="1" applyFill="1" applyBorder="1" applyAlignment="1" applyProtection="1">
      <alignment horizontal="justify" vertical="center" wrapText="1"/>
    </xf>
    <xf numFmtId="0" fontId="3" fillId="7" borderId="1" xfId="18" applyFont="1" applyFill="1" applyBorder="1" applyAlignment="1" applyProtection="1">
      <alignment horizontal="justify" vertical="center" wrapText="1"/>
    </xf>
    <xf numFmtId="4" fontId="10" fillId="0" borderId="1" xfId="18" applyNumberFormat="1" applyFont="1" applyBorder="1" applyAlignment="1" applyProtection="1">
      <alignment horizontal="right" vertical="center"/>
    </xf>
    <xf numFmtId="3" fontId="10" fillId="0" borderId="1" xfId="18" applyNumberFormat="1" applyFont="1" applyBorder="1" applyAlignment="1" applyProtection="1">
      <alignment horizontal="right" vertical="center"/>
    </xf>
    <xf numFmtId="43" fontId="10" fillId="0" borderId="1" xfId="1" applyFont="1" applyBorder="1" applyAlignment="1" applyProtection="1">
      <alignment horizontal="right" vertical="center"/>
    </xf>
    <xf numFmtId="0" fontId="29" fillId="0" borderId="14" xfId="0" applyFont="1" applyBorder="1" applyAlignment="1" applyProtection="1">
      <alignment horizontal="justify" vertical="center" wrapText="1"/>
    </xf>
    <xf numFmtId="1" fontId="29" fillId="7" borderId="16" xfId="0" applyNumberFormat="1" applyFont="1" applyFill="1" applyBorder="1" applyAlignment="1" applyProtection="1">
      <alignment horizontal="justify"/>
    </xf>
    <xf numFmtId="0" fontId="29" fillId="7" borderId="0" xfId="0" applyFont="1" applyFill="1" applyAlignment="1" applyProtection="1">
      <alignment horizontal="justify"/>
    </xf>
    <xf numFmtId="0" fontId="29" fillId="7" borderId="16" xfId="0" applyFont="1" applyFill="1" applyBorder="1" applyAlignment="1" applyProtection="1">
      <alignment horizontal="justify"/>
    </xf>
    <xf numFmtId="0" fontId="29" fillId="0" borderId="0" xfId="0" applyFont="1" applyAlignment="1" applyProtection="1">
      <alignment horizontal="justify"/>
    </xf>
    <xf numFmtId="171" fontId="32" fillId="12" borderId="2" xfId="0" applyNumberFormat="1" applyFont="1" applyFill="1" applyBorder="1" applyAlignment="1" applyProtection="1">
      <alignment horizontal="center" vertical="center"/>
    </xf>
    <xf numFmtId="0" fontId="32" fillId="12" borderId="4" xfId="0" applyFont="1" applyFill="1" applyBorder="1" applyAlignment="1" applyProtection="1">
      <alignment horizontal="justify" vertical="center" wrapText="1"/>
    </xf>
    <xf numFmtId="0" fontId="29" fillId="12" borderId="4" xfId="0" applyFont="1" applyFill="1" applyBorder="1" applyAlignment="1" applyProtection="1">
      <alignment horizontal="justify" vertical="center" wrapText="1"/>
    </xf>
    <xf numFmtId="43" fontId="29" fillId="12" borderId="4" xfId="11" applyFont="1" applyFill="1" applyBorder="1" applyAlignment="1" applyProtection="1">
      <alignment horizontal="right" vertical="center"/>
    </xf>
    <xf numFmtId="1" fontId="29" fillId="12" borderId="4" xfId="0" applyNumberFormat="1" applyFont="1" applyFill="1" applyBorder="1" applyAlignment="1" applyProtection="1">
      <alignment horizontal="center" vertical="center"/>
    </xf>
    <xf numFmtId="0" fontId="29" fillId="12" borderId="4" xfId="0" applyFont="1" applyFill="1" applyBorder="1" applyAlignment="1" applyProtection="1">
      <alignment horizontal="center" vertical="center" wrapText="1"/>
    </xf>
    <xf numFmtId="0" fontId="29" fillId="12" borderId="4" xfId="0" applyFont="1" applyFill="1" applyBorder="1" applyProtection="1"/>
    <xf numFmtId="1" fontId="29" fillId="12" borderId="4" xfId="0" applyNumberFormat="1" applyFont="1" applyFill="1" applyBorder="1" applyAlignment="1" applyProtection="1">
      <alignment vertical="center" wrapText="1"/>
    </xf>
    <xf numFmtId="170" fontId="29" fillId="12" borderId="4" xfId="0" applyNumberFormat="1" applyFont="1" applyFill="1" applyBorder="1" applyAlignment="1" applyProtection="1">
      <alignment horizontal="right" vertical="center"/>
    </xf>
    <xf numFmtId="170" fontId="29" fillId="12" borderId="4" xfId="0" applyNumberFormat="1" applyFont="1" applyFill="1" applyBorder="1" applyAlignment="1" applyProtection="1">
      <alignment horizontal="center"/>
    </xf>
    <xf numFmtId="0" fontId="29" fillId="12" borderId="5" xfId="0" applyFont="1" applyFill="1" applyBorder="1" applyAlignment="1" applyProtection="1">
      <alignment horizontal="justify" vertical="center" wrapText="1"/>
    </xf>
    <xf numFmtId="1" fontId="29" fillId="0" borderId="16" xfId="0" applyNumberFormat="1" applyFont="1" applyBorder="1" applyAlignment="1" applyProtection="1">
      <alignment horizontal="justify"/>
    </xf>
    <xf numFmtId="0" fontId="29" fillId="0" borderId="16" xfId="0" applyFont="1" applyBorder="1" applyAlignment="1" applyProtection="1">
      <alignment horizontal="justify"/>
    </xf>
    <xf numFmtId="0" fontId="29" fillId="0" borderId="1" xfId="0" applyFont="1" applyBorder="1" applyAlignment="1" applyProtection="1">
      <alignment horizontal="justify" vertical="center" wrapText="1"/>
    </xf>
    <xf numFmtId="43" fontId="10" fillId="0" borderId="1" xfId="11" applyFont="1" applyBorder="1" applyAlignment="1" applyProtection="1">
      <alignment horizontal="right" vertical="center"/>
    </xf>
    <xf numFmtId="43" fontId="10" fillId="0" borderId="7" xfId="11" applyFont="1" applyBorder="1" applyAlignment="1" applyProtection="1">
      <alignment horizontal="right" vertical="center"/>
    </xf>
    <xf numFmtId="1" fontId="29" fillId="0" borderId="8" xfId="0" applyNumberFormat="1" applyFont="1" applyBorder="1" applyAlignment="1" applyProtection="1">
      <alignment horizontal="center" vertical="center"/>
    </xf>
    <xf numFmtId="1" fontId="29" fillId="0" borderId="6" xfId="0" applyNumberFormat="1" applyFont="1" applyBorder="1" applyAlignment="1" applyProtection="1">
      <alignment horizontal="center" vertical="center" wrapText="1"/>
    </xf>
    <xf numFmtId="0" fontId="29" fillId="0" borderId="14" xfId="0" applyFont="1" applyBorder="1" applyAlignment="1" applyProtection="1">
      <alignment horizontal="justify"/>
    </xf>
    <xf numFmtId="0" fontId="29" fillId="0" borderId="3" xfId="0" applyFont="1" applyBorder="1" applyAlignment="1" applyProtection="1">
      <alignment horizontal="justify" vertical="center" wrapText="1"/>
    </xf>
    <xf numFmtId="43" fontId="10" fillId="0" borderId="3" xfId="11" applyFont="1" applyBorder="1" applyAlignment="1" applyProtection="1">
      <alignment horizontal="right" vertical="center"/>
    </xf>
    <xf numFmtId="1" fontId="29" fillId="0" borderId="51" xfId="0" applyNumberFormat="1" applyFont="1" applyBorder="1" applyAlignment="1" applyProtection="1">
      <alignment horizontal="center" vertical="center"/>
    </xf>
    <xf numFmtId="0" fontId="29" fillId="0" borderId="47" xfId="0" applyFont="1" applyBorder="1" applyAlignment="1" applyProtection="1">
      <alignment horizontal="center" vertical="center" wrapText="1"/>
    </xf>
    <xf numFmtId="1" fontId="32" fillId="19" borderId="3" xfId="0" applyNumberFormat="1" applyFont="1" applyFill="1" applyBorder="1" applyAlignment="1" applyProtection="1">
      <alignment horizontal="justify" vertical="center"/>
    </xf>
    <xf numFmtId="0" fontId="32" fillId="19" borderId="9" xfId="0" applyFont="1" applyFill="1" applyBorder="1" applyAlignment="1" applyProtection="1">
      <alignment horizontal="justify" vertical="center"/>
    </xf>
    <xf numFmtId="0" fontId="32" fillId="19" borderId="9" xfId="0" applyFont="1" applyFill="1" applyBorder="1" applyAlignment="1" applyProtection="1">
      <alignment horizontal="center" vertical="center"/>
    </xf>
    <xf numFmtId="172" fontId="32" fillId="19" borderId="9" xfId="0" applyNumberFormat="1" applyFont="1" applyFill="1" applyBorder="1" applyAlignment="1" applyProtection="1">
      <alignment horizontal="justify" vertical="center"/>
    </xf>
    <xf numFmtId="171" fontId="32" fillId="19" borderId="9" xfId="0" applyNumberFormat="1" applyFont="1" applyFill="1" applyBorder="1" applyAlignment="1" applyProtection="1">
      <alignment horizontal="center" vertical="center"/>
    </xf>
    <xf numFmtId="0" fontId="32" fillId="19" borderId="9" xfId="0" applyFont="1" applyFill="1" applyBorder="1" applyAlignment="1" applyProtection="1">
      <alignment horizontal="justify" vertical="center" wrapText="1"/>
    </xf>
    <xf numFmtId="0" fontId="29" fillId="19" borderId="9" xfId="0" applyFont="1" applyFill="1" applyBorder="1" applyAlignment="1" applyProtection="1">
      <alignment horizontal="justify" vertical="center" wrapText="1"/>
    </xf>
    <xf numFmtId="43" fontId="29" fillId="19" borderId="0" xfId="9" applyNumberFormat="1" applyFont="1" applyFill="1" applyAlignment="1" applyProtection="1">
      <alignment horizontal="right" vertical="center"/>
    </xf>
    <xf numFmtId="1" fontId="29" fillId="19" borderId="0" xfId="0" applyNumberFormat="1" applyFont="1" applyFill="1" applyAlignment="1" applyProtection="1">
      <alignment horizontal="center" vertical="center"/>
    </xf>
    <xf numFmtId="0" fontId="29" fillId="19" borderId="0" xfId="0" applyFont="1" applyFill="1" applyAlignment="1" applyProtection="1">
      <alignment horizontal="center" vertical="center"/>
    </xf>
    <xf numFmtId="0" fontId="29" fillId="19" borderId="9" xfId="0" applyFont="1" applyFill="1" applyBorder="1" applyProtection="1"/>
    <xf numFmtId="1" fontId="29" fillId="19" borderId="9" xfId="0" applyNumberFormat="1" applyFont="1" applyFill="1" applyBorder="1" applyAlignment="1" applyProtection="1">
      <alignment vertical="center" wrapText="1"/>
    </xf>
    <xf numFmtId="170" fontId="29" fillId="19" borderId="9" xfId="0" applyNumberFormat="1" applyFont="1" applyFill="1" applyBorder="1" applyAlignment="1" applyProtection="1">
      <alignment horizontal="right" vertical="center"/>
    </xf>
    <xf numFmtId="170" fontId="29" fillId="19" borderId="9" xfId="0" applyNumberFormat="1" applyFont="1" applyFill="1" applyBorder="1" applyAlignment="1" applyProtection="1">
      <alignment horizontal="center"/>
    </xf>
    <xf numFmtId="0" fontId="29" fillId="19" borderId="8" xfId="0" applyFont="1" applyFill="1" applyBorder="1" applyAlignment="1" applyProtection="1">
      <alignment horizontal="justify" vertical="center" wrapText="1"/>
    </xf>
    <xf numFmtId="0" fontId="29" fillId="7" borderId="17" xfId="0" applyFont="1" applyFill="1" applyBorder="1" applyAlignment="1" applyProtection="1">
      <alignment horizontal="justify"/>
    </xf>
    <xf numFmtId="171" fontId="32" fillId="12" borderId="4" xfId="0" applyNumberFormat="1" applyFont="1" applyFill="1" applyBorder="1" applyAlignment="1" applyProtection="1">
      <alignment horizontal="center" vertical="center"/>
    </xf>
    <xf numFmtId="0" fontId="29" fillId="12" borderId="4" xfId="0" applyFont="1" applyFill="1" applyBorder="1" applyAlignment="1" applyProtection="1">
      <alignment horizontal="center" vertical="center"/>
    </xf>
    <xf numFmtId="1" fontId="29" fillId="0" borderId="16" xfId="0" applyNumberFormat="1" applyFont="1" applyBorder="1" applyAlignment="1" applyProtection="1">
      <alignment horizontal="justify" vertical="center"/>
    </xf>
    <xf numFmtId="0" fontId="29" fillId="0" borderId="0" xfId="0" applyFont="1" applyAlignment="1" applyProtection="1">
      <alignment horizontal="justify" vertical="center"/>
    </xf>
    <xf numFmtId="0" fontId="29" fillId="0" borderId="17" xfId="0" applyFont="1" applyBorder="1" applyAlignment="1" applyProtection="1">
      <alignment horizontal="justify" vertical="center"/>
    </xf>
    <xf numFmtId="0" fontId="29" fillId="0" borderId="16" xfId="0" applyFont="1" applyBorder="1" applyAlignment="1" applyProtection="1">
      <alignment horizontal="justify" vertical="center"/>
    </xf>
    <xf numFmtId="0" fontId="29" fillId="0" borderId="7" xfId="0" applyFont="1" applyBorder="1" applyAlignment="1" applyProtection="1">
      <alignment horizontal="justify" vertical="center"/>
    </xf>
    <xf numFmtId="49" fontId="3" fillId="0" borderId="1" xfId="24" applyNumberFormat="1" applyFont="1" applyBorder="1" applyAlignment="1" applyProtection="1">
      <alignment horizontal="justify" vertical="center" wrapText="1"/>
    </xf>
    <xf numFmtId="0" fontId="29" fillId="0" borderId="1" xfId="0" applyFont="1" applyBorder="1" applyAlignment="1" applyProtection="1">
      <alignment horizontal="center" vertical="center" wrapText="1"/>
    </xf>
    <xf numFmtId="0" fontId="3" fillId="0" borderId="1" xfId="0" applyFont="1" applyBorder="1" applyAlignment="1" applyProtection="1">
      <alignment horizontal="justify" vertical="center" wrapText="1"/>
    </xf>
    <xf numFmtId="49" fontId="3" fillId="7" borderId="1" xfId="24" applyNumberFormat="1" applyFont="1" applyFill="1" applyBorder="1" applyAlignment="1" applyProtection="1">
      <alignment horizontal="justify" vertical="center" wrapText="1"/>
    </xf>
    <xf numFmtId="1" fontId="32" fillId="17" borderId="3" xfId="0" applyNumberFormat="1" applyFont="1" applyFill="1" applyBorder="1" applyAlignment="1" applyProtection="1">
      <alignment horizontal="justify" vertical="center"/>
    </xf>
    <xf numFmtId="0" fontId="32" fillId="17" borderId="4" xfId="0" applyFont="1" applyFill="1" applyBorder="1" applyAlignment="1" applyProtection="1">
      <alignment horizontal="justify" vertical="center"/>
    </xf>
    <xf numFmtId="0" fontId="32" fillId="17" borderId="9" xfId="0" applyFont="1" applyFill="1" applyBorder="1" applyAlignment="1" applyProtection="1">
      <alignment horizontal="justify" vertical="center"/>
    </xf>
    <xf numFmtId="0" fontId="32" fillId="17" borderId="9" xfId="0" applyFont="1" applyFill="1" applyBorder="1" applyAlignment="1" applyProtection="1">
      <alignment horizontal="center" vertical="center"/>
    </xf>
    <xf numFmtId="172" fontId="32" fillId="17" borderId="9" xfId="0" applyNumberFormat="1" applyFont="1" applyFill="1" applyBorder="1" applyAlignment="1" applyProtection="1">
      <alignment horizontal="justify" vertical="center"/>
    </xf>
    <xf numFmtId="171" fontId="32" fillId="17" borderId="9" xfId="0" applyNumberFormat="1" applyFont="1" applyFill="1" applyBorder="1" applyAlignment="1" applyProtection="1">
      <alignment horizontal="center" vertical="center"/>
    </xf>
    <xf numFmtId="0" fontId="32" fillId="17" borderId="9" xfId="0" applyFont="1" applyFill="1" applyBorder="1" applyAlignment="1" applyProtection="1">
      <alignment horizontal="justify" vertical="center" wrapText="1"/>
    </xf>
    <xf numFmtId="0" fontId="29" fillId="17" borderId="9" xfId="0" applyFont="1" applyFill="1" applyBorder="1" applyAlignment="1" applyProtection="1">
      <alignment horizontal="justify" vertical="center" wrapText="1"/>
    </xf>
    <xf numFmtId="43" fontId="29" fillId="17" borderId="9" xfId="9" applyNumberFormat="1" applyFont="1" applyFill="1" applyBorder="1" applyAlignment="1" applyProtection="1">
      <alignment horizontal="right" vertical="center"/>
    </xf>
    <xf numFmtId="1" fontId="29" fillId="17" borderId="9" xfId="0" applyNumberFormat="1" applyFont="1" applyFill="1" applyBorder="1" applyAlignment="1" applyProtection="1">
      <alignment horizontal="center" vertical="center"/>
    </xf>
    <xf numFmtId="0" fontId="29" fillId="17" borderId="9" xfId="0" applyFont="1" applyFill="1" applyBorder="1" applyAlignment="1" applyProtection="1">
      <alignment horizontal="center" vertical="center"/>
    </xf>
    <xf numFmtId="0" fontId="29" fillId="17" borderId="9" xfId="0" applyFont="1" applyFill="1" applyBorder="1" applyProtection="1"/>
    <xf numFmtId="1" fontId="29" fillId="17" borderId="9" xfId="0" applyNumberFormat="1" applyFont="1" applyFill="1" applyBorder="1" applyAlignment="1" applyProtection="1">
      <alignment vertical="center" wrapText="1"/>
    </xf>
    <xf numFmtId="170" fontId="29" fillId="17" borderId="9" xfId="0" applyNumberFormat="1" applyFont="1" applyFill="1" applyBorder="1" applyAlignment="1" applyProtection="1">
      <alignment horizontal="right" vertical="center"/>
    </xf>
    <xf numFmtId="170" fontId="29" fillId="17" borderId="9" xfId="0" applyNumberFormat="1" applyFont="1" applyFill="1" applyBorder="1" applyAlignment="1" applyProtection="1">
      <alignment horizontal="center"/>
    </xf>
    <xf numFmtId="0" fontId="29" fillId="17" borderId="8" xfId="0" applyFont="1" applyFill="1" applyBorder="1" applyAlignment="1" applyProtection="1">
      <alignment horizontal="justify" vertical="center" wrapText="1"/>
    </xf>
    <xf numFmtId="0" fontId="29" fillId="7" borderId="7" xfId="0" applyFont="1" applyFill="1" applyBorder="1" applyAlignment="1" applyProtection="1">
      <alignment horizontal="justify"/>
    </xf>
    <xf numFmtId="0" fontId="29" fillId="7" borderId="9" xfId="0" applyFont="1" applyFill="1" applyBorder="1" applyAlignment="1" applyProtection="1">
      <alignment horizontal="justify"/>
    </xf>
    <xf numFmtId="0" fontId="29" fillId="7" borderId="8" xfId="0" applyFont="1" applyFill="1" applyBorder="1" applyAlignment="1" applyProtection="1">
      <alignment horizontal="justify"/>
    </xf>
    <xf numFmtId="0" fontId="32" fillId="12" borderId="9" xfId="0" applyFont="1" applyFill="1" applyBorder="1" applyAlignment="1" applyProtection="1">
      <alignment horizontal="center" vertical="center"/>
    </xf>
    <xf numFmtId="43" fontId="29" fillId="12" borderId="9" xfId="9" applyNumberFormat="1" applyFont="1" applyFill="1" applyBorder="1" applyAlignment="1" applyProtection="1">
      <alignment horizontal="right" vertical="center"/>
    </xf>
    <xf numFmtId="1" fontId="29" fillId="12" borderId="9" xfId="0" applyNumberFormat="1" applyFont="1" applyFill="1" applyBorder="1" applyAlignment="1" applyProtection="1">
      <alignment horizontal="center" vertical="center"/>
    </xf>
    <xf numFmtId="0" fontId="29" fillId="12" borderId="9" xfId="0" applyFont="1" applyFill="1" applyBorder="1" applyAlignment="1" applyProtection="1">
      <alignment horizontal="center" vertical="center"/>
    </xf>
    <xf numFmtId="0" fontId="29" fillId="12" borderId="9" xfId="0" applyFont="1" applyFill="1" applyBorder="1" applyProtection="1"/>
    <xf numFmtId="0" fontId="29" fillId="0" borderId="7" xfId="0" applyFont="1" applyBorder="1" applyAlignment="1" applyProtection="1">
      <alignment horizontal="justify"/>
    </xf>
    <xf numFmtId="0" fontId="29" fillId="0" borderId="9" xfId="0" applyFont="1" applyBorder="1" applyAlignment="1" applyProtection="1">
      <alignment horizontal="justify"/>
    </xf>
    <xf numFmtId="0" fontId="29" fillId="0" borderId="6" xfId="0" applyFont="1" applyBorder="1" applyAlignment="1" applyProtection="1">
      <alignment vertical="center" wrapText="1"/>
    </xf>
    <xf numFmtId="43" fontId="29" fillId="0" borderId="6" xfId="11" applyFont="1" applyBorder="1" applyAlignment="1" applyProtection="1">
      <alignment horizontal="right" vertical="center"/>
    </xf>
    <xf numFmtId="1" fontId="29" fillId="0" borderId="6" xfId="11" applyNumberFormat="1" applyFont="1" applyBorder="1" applyAlignment="1" applyProtection="1">
      <alignment horizontal="center" vertical="center"/>
    </xf>
    <xf numFmtId="1" fontId="29" fillId="0" borderId="7" xfId="11" applyNumberFormat="1" applyFont="1" applyBorder="1" applyAlignment="1" applyProtection="1">
      <alignment horizontal="center" vertical="center" wrapText="1"/>
    </xf>
    <xf numFmtId="0" fontId="29" fillId="0" borderId="13" xfId="0" applyFont="1" applyBorder="1" applyAlignment="1" applyProtection="1">
      <alignment vertical="center" wrapText="1"/>
    </xf>
    <xf numFmtId="1" fontId="29" fillId="0" borderId="13" xfId="11" applyNumberFormat="1" applyFont="1" applyBorder="1" applyAlignment="1" applyProtection="1">
      <alignment horizontal="center" vertical="center"/>
    </xf>
    <xf numFmtId="1" fontId="29" fillId="0" borderId="16" xfId="11" applyNumberFormat="1" applyFont="1" applyBorder="1" applyAlignment="1" applyProtection="1">
      <alignment horizontal="center" vertical="center" wrapText="1"/>
    </xf>
    <xf numFmtId="43" fontId="29" fillId="0" borderId="47" xfId="11" applyFont="1" applyBorder="1" applyAlignment="1" applyProtection="1">
      <alignment horizontal="right" vertical="center"/>
    </xf>
    <xf numFmtId="1" fontId="29" fillId="0" borderId="47" xfId="0" applyNumberFormat="1" applyFont="1" applyBorder="1" applyAlignment="1" applyProtection="1">
      <alignment horizontal="center" vertical="center" wrapText="1"/>
    </xf>
    <xf numFmtId="1" fontId="29" fillId="0" borderId="17" xfId="11" applyNumberFormat="1" applyFont="1" applyBorder="1" applyAlignment="1" applyProtection="1">
      <alignment horizontal="center" vertical="center"/>
    </xf>
    <xf numFmtId="0" fontId="29" fillId="0" borderId="59" xfId="0" applyFont="1" applyBorder="1" applyAlignment="1" applyProtection="1">
      <alignment vertical="center"/>
    </xf>
    <xf numFmtId="41" fontId="29" fillId="0" borderId="45" xfId="0" applyNumberFormat="1" applyFont="1" applyBorder="1" applyAlignment="1" applyProtection="1">
      <alignment vertical="center"/>
    </xf>
    <xf numFmtId="1" fontId="29" fillId="0" borderId="45" xfId="0" applyNumberFormat="1" applyFont="1" applyBorder="1" applyAlignment="1" applyProtection="1">
      <alignment horizontal="center" vertical="center" wrapText="1"/>
    </xf>
    <xf numFmtId="0" fontId="26" fillId="0" borderId="47" xfId="0" applyFont="1" applyBorder="1" applyAlignment="1" applyProtection="1">
      <alignment horizontal="left" vertical="center" wrapText="1"/>
    </xf>
    <xf numFmtId="0" fontId="29" fillId="0" borderId="0" xfId="0" applyFont="1" applyAlignment="1" applyProtection="1">
      <alignment horizontal="justify" wrapText="1"/>
    </xf>
    <xf numFmtId="0" fontId="29" fillId="0" borderId="47" xfId="0" applyFont="1" applyBorder="1" applyAlignment="1" applyProtection="1">
      <alignment wrapText="1"/>
    </xf>
    <xf numFmtId="41" fontId="29" fillId="0" borderId="47" xfId="0" applyNumberFormat="1" applyFont="1" applyBorder="1" applyAlignment="1" applyProtection="1">
      <alignment vertical="center"/>
    </xf>
    <xf numFmtId="0" fontId="29" fillId="0" borderId="6" xfId="0" applyFont="1" applyBorder="1" applyAlignment="1" applyProtection="1">
      <alignment horizontal="justify" vertical="center" wrapText="1"/>
    </xf>
    <xf numFmtId="1" fontId="29" fillId="0" borderId="6" xfId="0" applyNumberFormat="1" applyFont="1" applyBorder="1" applyAlignment="1" applyProtection="1">
      <alignment horizontal="center" vertical="center"/>
    </xf>
    <xf numFmtId="172" fontId="29" fillId="0" borderId="6" xfId="0" applyNumberFormat="1" applyFont="1" applyBorder="1" applyAlignment="1" applyProtection="1">
      <alignment horizontal="center" vertical="center"/>
    </xf>
    <xf numFmtId="0" fontId="29" fillId="0" borderId="13" xfId="0" applyFont="1" applyBorder="1" applyAlignment="1" applyProtection="1">
      <alignment horizontal="center" vertical="center" wrapText="1"/>
    </xf>
    <xf numFmtId="9" fontId="29" fillId="0" borderId="6" xfId="13" applyFont="1" applyBorder="1" applyAlignment="1" applyProtection="1">
      <alignment horizontal="center" vertical="center"/>
    </xf>
    <xf numFmtId="0" fontId="26" fillId="7" borderId="18" xfId="0" applyFont="1" applyFill="1" applyBorder="1" applyAlignment="1" applyProtection="1">
      <alignment horizontal="justify" vertical="center" wrapText="1"/>
    </xf>
    <xf numFmtId="43" fontId="29" fillId="0" borderId="18" xfId="11" applyFont="1" applyBorder="1" applyAlignment="1" applyProtection="1">
      <alignment horizontal="right" vertical="center"/>
    </xf>
    <xf numFmtId="43" fontId="29" fillId="0" borderId="13" xfId="11" applyFont="1" applyBorder="1" applyAlignment="1" applyProtection="1">
      <alignment horizontal="right" vertical="center"/>
    </xf>
    <xf numFmtId="1" fontId="29" fillId="0" borderId="13" xfId="0" applyNumberFormat="1" applyFont="1" applyBorder="1" applyAlignment="1" applyProtection="1">
      <alignment horizontal="center" vertical="center" wrapText="1"/>
    </xf>
    <xf numFmtId="1" fontId="29" fillId="0" borderId="3" xfId="0" applyNumberFormat="1" applyFont="1" applyBorder="1" applyAlignment="1" applyProtection="1">
      <alignment horizontal="center" vertical="center"/>
    </xf>
    <xf numFmtId="9" fontId="29" fillId="0" borderId="1" xfId="13" applyFont="1" applyBorder="1" applyAlignment="1" applyProtection="1">
      <alignment horizontal="center" vertical="center"/>
    </xf>
    <xf numFmtId="172" fontId="29" fillId="0" borderId="3" xfId="0" applyNumberFormat="1" applyFont="1" applyBorder="1" applyAlignment="1" applyProtection="1">
      <alignment horizontal="center" vertical="center"/>
    </xf>
    <xf numFmtId="0" fontId="26" fillId="7" borderId="1" xfId="0" applyFont="1" applyFill="1" applyBorder="1" applyAlignment="1" applyProtection="1">
      <alignment horizontal="justify" vertical="center" wrapText="1"/>
    </xf>
    <xf numFmtId="43" fontId="29" fillId="0" borderId="3" xfId="11" applyFont="1" applyBorder="1" applyAlignment="1" applyProtection="1">
      <alignment horizontal="right" vertical="center"/>
    </xf>
    <xf numFmtId="1" fontId="29" fillId="0" borderId="51" xfId="0" applyNumberFormat="1" applyFont="1" applyBorder="1" applyAlignment="1" applyProtection="1">
      <alignment horizontal="center" vertical="center" wrapText="1"/>
    </xf>
    <xf numFmtId="43" fontId="29" fillId="0" borderId="7" xfId="11" applyFont="1" applyBorder="1" applyAlignment="1" applyProtection="1">
      <alignment horizontal="right" vertical="center"/>
    </xf>
    <xf numFmtId="1" fontId="29" fillId="0" borderId="15" xfId="11" applyNumberFormat="1" applyFont="1" applyBorder="1" applyAlignment="1" applyProtection="1">
      <alignment horizontal="center" vertical="center"/>
    </xf>
    <xf numFmtId="1" fontId="29" fillId="0" borderId="14" xfId="11" applyNumberFormat="1" applyFont="1" applyBorder="1" applyAlignment="1" applyProtection="1">
      <alignment horizontal="center" vertical="center" wrapText="1"/>
    </xf>
    <xf numFmtId="43" fontId="29" fillId="0" borderId="14" xfId="11" applyFont="1" applyBorder="1" applyAlignment="1" applyProtection="1">
      <alignment horizontal="right" vertical="center"/>
    </xf>
    <xf numFmtId="43" fontId="29" fillId="0" borderId="16" xfId="11" applyFont="1" applyBorder="1" applyAlignment="1" applyProtection="1">
      <alignment horizontal="right" vertical="center"/>
    </xf>
    <xf numFmtId="1" fontId="29" fillId="0" borderId="18" xfId="0" applyNumberFormat="1" applyFont="1" applyBorder="1" applyAlignment="1" applyProtection="1">
      <alignment horizontal="center" vertical="center" wrapText="1"/>
    </xf>
    <xf numFmtId="0" fontId="1" fillId="7" borderId="83" xfId="0" applyFont="1" applyFill="1" applyBorder="1" applyAlignment="1" applyProtection="1">
      <alignment horizontal="justify" vertical="center" wrapText="1"/>
    </xf>
    <xf numFmtId="0" fontId="1" fillId="7" borderId="47" xfId="0" applyFont="1" applyFill="1" applyBorder="1" applyAlignment="1" applyProtection="1">
      <alignment horizontal="justify" vertical="center" wrapText="1"/>
    </xf>
    <xf numFmtId="43" fontId="29" fillId="0" borderId="51" xfId="11" applyFont="1" applyBorder="1" applyAlignment="1" applyProtection="1">
      <alignment horizontal="right" vertical="center"/>
    </xf>
    <xf numFmtId="0" fontId="1" fillId="7" borderId="48" xfId="0" applyFont="1" applyFill="1" applyBorder="1" applyAlignment="1" applyProtection="1">
      <alignment horizontal="justify" vertical="center" wrapText="1"/>
    </xf>
    <xf numFmtId="189" fontId="29" fillId="0" borderId="65" xfId="0" applyNumberFormat="1" applyFont="1" applyBorder="1" applyAlignment="1" applyProtection="1">
      <alignment horizontal="right" vertical="center"/>
    </xf>
    <xf numFmtId="1" fontId="29" fillId="0" borderId="45" xfId="0" applyNumberFormat="1" applyFont="1" applyBorder="1" applyAlignment="1" applyProtection="1">
      <alignment horizontal="center" vertical="center"/>
    </xf>
    <xf numFmtId="41" fontId="29" fillId="0" borderId="47" xfId="11" applyNumberFormat="1" applyFont="1" applyBorder="1" applyAlignment="1" applyProtection="1">
      <alignment horizontal="right" vertical="center"/>
    </xf>
    <xf numFmtId="41" fontId="29" fillId="0" borderId="47" xfId="0" applyNumberFormat="1" applyFont="1" applyBorder="1" applyAlignment="1" applyProtection="1">
      <alignment horizontal="center" vertical="center" wrapText="1"/>
    </xf>
    <xf numFmtId="0" fontId="29" fillId="0" borderId="6" xfId="0" applyFont="1" applyBorder="1" applyAlignment="1" applyProtection="1">
      <alignment horizontal="center" vertical="center" wrapText="1"/>
    </xf>
    <xf numFmtId="41" fontId="29" fillId="0" borderId="59" xfId="0" applyNumberFormat="1" applyFont="1" applyBorder="1" applyAlignment="1" applyProtection="1">
      <alignment vertical="center"/>
    </xf>
    <xf numFmtId="41" fontId="29" fillId="0" borderId="1" xfId="0" applyNumberFormat="1" applyFont="1" applyBorder="1" applyAlignment="1" applyProtection="1">
      <alignment vertical="center"/>
    </xf>
    <xf numFmtId="43" fontId="29" fillId="0" borderId="48" xfId="11" applyFont="1" applyBorder="1" applyAlignment="1" applyProtection="1">
      <alignment horizontal="right" vertical="center"/>
    </xf>
    <xf numFmtId="0" fontId="3" fillId="0" borderId="14" xfId="0" applyFont="1" applyBorder="1" applyAlignment="1" applyProtection="1">
      <alignment horizontal="justify" vertical="center" wrapText="1"/>
    </xf>
    <xf numFmtId="43" fontId="29" fillId="0" borderId="47" xfId="11" applyFont="1" applyBorder="1" applyAlignment="1" applyProtection="1">
      <alignment vertical="center"/>
    </xf>
    <xf numFmtId="0" fontId="3" fillId="0" borderId="1" xfId="18" applyFont="1" applyBorder="1" applyAlignment="1" applyProtection="1">
      <alignment horizontal="justify" vertical="center" wrapText="1"/>
    </xf>
    <xf numFmtId="4" fontId="29" fillId="0" borderId="18" xfId="11" applyNumberFormat="1" applyFont="1" applyBorder="1" applyAlignment="1" applyProtection="1">
      <alignment horizontal="right" vertical="center"/>
    </xf>
    <xf numFmtId="4" fontId="29" fillId="0" borderId="13" xfId="11" applyNumberFormat="1" applyFont="1" applyBorder="1" applyAlignment="1" applyProtection="1">
      <alignment horizontal="right" vertical="center"/>
    </xf>
    <xf numFmtId="4" fontId="29" fillId="0" borderId="1" xfId="11" applyNumberFormat="1" applyFont="1" applyBorder="1" applyAlignment="1" applyProtection="1">
      <alignment horizontal="right" vertical="center"/>
    </xf>
    <xf numFmtId="4" fontId="29" fillId="0" borderId="6" xfId="11" applyNumberFormat="1" applyFont="1" applyBorder="1" applyAlignment="1" applyProtection="1">
      <alignment horizontal="right" vertical="center"/>
    </xf>
    <xf numFmtId="0" fontId="13" fillId="0" borderId="6" xfId="18" applyFont="1" applyBorder="1" applyAlignment="1" applyProtection="1">
      <alignment horizontal="justify" vertical="center" wrapText="1"/>
    </xf>
    <xf numFmtId="0" fontId="3" fillId="0" borderId="6" xfId="18" applyFont="1" applyBorder="1" applyAlignment="1" applyProtection="1">
      <alignment horizontal="justify" vertical="center" wrapText="1"/>
    </xf>
    <xf numFmtId="0" fontId="3" fillId="0" borderId="7" xfId="18" applyFont="1" applyBorder="1" applyAlignment="1" applyProtection="1">
      <alignment horizontal="justify" vertical="center" wrapText="1"/>
    </xf>
    <xf numFmtId="1" fontId="29" fillId="0" borderId="0" xfId="0" applyNumberFormat="1" applyFont="1" applyBorder="1" applyAlignment="1" applyProtection="1">
      <alignment horizontal="justify"/>
    </xf>
    <xf numFmtId="0" fontId="29" fillId="0" borderId="0" xfId="0" applyFont="1" applyBorder="1" applyAlignment="1" applyProtection="1">
      <alignment horizontal="justify"/>
    </xf>
    <xf numFmtId="1" fontId="3" fillId="0" borderId="6" xfId="0" applyNumberFormat="1" applyFont="1" applyBorder="1" applyAlignment="1" applyProtection="1">
      <alignment horizontal="center" vertical="center"/>
    </xf>
    <xf numFmtId="0" fontId="29" fillId="0" borderId="0" xfId="0" applyFont="1" applyBorder="1" applyProtection="1"/>
    <xf numFmtId="1" fontId="29" fillId="0" borderId="0" xfId="0" applyNumberFormat="1" applyFont="1" applyAlignment="1" applyProtection="1">
      <alignment horizontal="justify"/>
    </xf>
    <xf numFmtId="0" fontId="3" fillId="7" borderId="18" xfId="0" applyFont="1" applyFill="1" applyBorder="1" applyAlignment="1" applyProtection="1">
      <alignment horizontal="justify" vertical="center"/>
    </xf>
    <xf numFmtId="1" fontId="3" fillId="0" borderId="18" xfId="0" applyNumberFormat="1" applyFont="1" applyBorder="1" applyAlignment="1" applyProtection="1">
      <alignment horizontal="center" vertical="center"/>
    </xf>
    <xf numFmtId="43" fontId="29" fillId="0" borderId="91" xfId="11" applyFont="1" applyBorder="1" applyAlignment="1" applyProtection="1">
      <alignment horizontal="right" vertical="center"/>
    </xf>
    <xf numFmtId="1" fontId="29" fillId="0" borderId="17" xfId="0" applyNumberFormat="1" applyFont="1" applyBorder="1" applyAlignment="1" applyProtection="1">
      <alignment horizontal="center" vertical="center" wrapText="1"/>
    </xf>
    <xf numFmtId="0" fontId="29" fillId="0" borderId="17" xfId="0" applyFont="1" applyBorder="1" applyAlignment="1" applyProtection="1">
      <alignment horizontal="justify"/>
    </xf>
    <xf numFmtId="1" fontId="29" fillId="0" borderId="65" xfId="0" applyNumberFormat="1" applyFont="1" applyBorder="1" applyAlignment="1" applyProtection="1">
      <alignment horizontal="center" vertical="center" wrapText="1"/>
    </xf>
    <xf numFmtId="0" fontId="34" fillId="7" borderId="1" xfId="25" applyFont="1" applyFill="1" applyBorder="1" applyAlignment="1" applyProtection="1">
      <alignment horizontal="justify" vertical="center" wrapText="1"/>
    </xf>
    <xf numFmtId="0" fontId="3" fillId="7" borderId="1" xfId="25" applyFont="1" applyFill="1" applyBorder="1" applyAlignment="1" applyProtection="1">
      <alignment horizontal="justify" vertical="center" wrapText="1"/>
    </xf>
    <xf numFmtId="0" fontId="3" fillId="0" borderId="45" xfId="0" applyFont="1" applyBorder="1" applyAlignment="1" applyProtection="1">
      <alignment horizontal="center" vertical="center" wrapText="1"/>
    </xf>
    <xf numFmtId="0" fontId="3" fillId="0" borderId="45" xfId="0" applyFont="1" applyBorder="1" applyAlignment="1" applyProtection="1">
      <alignment horizontal="justify" vertical="center" wrapText="1"/>
    </xf>
    <xf numFmtId="0" fontId="3" fillId="7" borderId="5" xfId="0" applyFont="1" applyFill="1" applyBorder="1" applyAlignment="1" applyProtection="1">
      <alignment horizontal="justify" vertical="center"/>
    </xf>
    <xf numFmtId="1" fontId="3" fillId="0" borderId="1" xfId="0" applyNumberFormat="1" applyFont="1" applyBorder="1" applyAlignment="1" applyProtection="1">
      <alignment horizontal="center" vertical="center"/>
    </xf>
    <xf numFmtId="10" fontId="29" fillId="0" borderId="1" xfId="13" applyNumberFormat="1" applyFont="1" applyBorder="1" applyAlignment="1" applyProtection="1">
      <alignment horizontal="center" vertical="center"/>
    </xf>
    <xf numFmtId="1" fontId="29" fillId="0" borderId="20" xfId="0" applyNumberFormat="1" applyFont="1" applyBorder="1" applyAlignment="1" applyProtection="1">
      <alignment horizontal="justify"/>
    </xf>
    <xf numFmtId="0" fontId="29" fillId="0" borderId="21" xfId="0" applyFont="1" applyBorder="1" applyAlignment="1" applyProtection="1">
      <alignment horizontal="justify"/>
    </xf>
    <xf numFmtId="0" fontId="29" fillId="0" borderId="21" xfId="0" applyFont="1" applyBorder="1" applyAlignment="1" applyProtection="1">
      <alignment horizontal="center" vertical="center"/>
    </xf>
    <xf numFmtId="0" fontId="29" fillId="7" borderId="21" xfId="0" applyFont="1" applyFill="1" applyBorder="1" applyAlignment="1" applyProtection="1">
      <alignment horizontal="justify" vertical="center"/>
    </xf>
    <xf numFmtId="0" fontId="29" fillId="7" borderId="21" xfId="0" applyFont="1" applyFill="1" applyBorder="1" applyAlignment="1" applyProtection="1">
      <alignment horizontal="justify"/>
    </xf>
    <xf numFmtId="0" fontId="32" fillId="7" borderId="21" xfId="0" applyFont="1" applyFill="1" applyBorder="1" applyAlignment="1" applyProtection="1">
      <alignment horizontal="center" vertical="center"/>
    </xf>
    <xf numFmtId="0" fontId="29" fillId="7" borderId="21" xfId="0" applyFont="1" applyFill="1" applyBorder="1" applyAlignment="1" applyProtection="1">
      <alignment horizontal="center"/>
    </xf>
    <xf numFmtId="172" fontId="29" fillId="7" borderId="23" xfId="0" applyNumberFormat="1" applyFont="1" applyFill="1" applyBorder="1" applyAlignment="1" applyProtection="1">
      <alignment horizontal="justify" vertical="center"/>
    </xf>
    <xf numFmtId="43" fontId="32" fillId="7" borderId="25" xfId="11" applyFont="1" applyFill="1" applyBorder="1" applyAlignment="1" applyProtection="1">
      <alignment horizontal="right" vertical="center"/>
    </xf>
    <xf numFmtId="0" fontId="29" fillId="7" borderId="20" xfId="0" applyFont="1" applyFill="1" applyBorder="1" applyAlignment="1" applyProtection="1">
      <alignment horizontal="justify" vertical="center"/>
    </xf>
    <xf numFmtId="0" fontId="29" fillId="7" borderId="23" xfId="0" applyFont="1" applyFill="1" applyBorder="1" applyAlignment="1" applyProtection="1">
      <alignment horizontal="justify" vertical="center"/>
    </xf>
    <xf numFmtId="1" fontId="29" fillId="7" borderId="20" xfId="0" applyNumberFormat="1" applyFont="1" applyFill="1" applyBorder="1" applyAlignment="1" applyProtection="1">
      <alignment horizontal="center" vertical="center"/>
    </xf>
    <xf numFmtId="0" fontId="29" fillId="7" borderId="21" xfId="0" applyFont="1" applyFill="1" applyBorder="1" applyAlignment="1" applyProtection="1">
      <alignment horizontal="center" vertical="center"/>
    </xf>
    <xf numFmtId="0" fontId="29" fillId="0" borderId="21" xfId="0" applyFont="1" applyBorder="1" applyProtection="1"/>
    <xf numFmtId="1" fontId="29" fillId="0" borderId="21" xfId="0" applyNumberFormat="1" applyFont="1" applyBorder="1" applyProtection="1"/>
    <xf numFmtId="0" fontId="32" fillId="0" borderId="25" xfId="0" applyFont="1" applyBorder="1" applyAlignment="1" applyProtection="1">
      <alignment horizontal="center" vertical="center"/>
    </xf>
    <xf numFmtId="43" fontId="32" fillId="0" borderId="25" xfId="1" applyFont="1" applyBorder="1" applyAlignment="1" applyProtection="1">
      <alignment horizontal="center" vertical="center"/>
    </xf>
    <xf numFmtId="9" fontId="32" fillId="0" borderId="25" xfId="4" applyFont="1" applyBorder="1" applyAlignment="1" applyProtection="1">
      <alignment horizontal="center" vertical="center"/>
    </xf>
    <xf numFmtId="170" fontId="29" fillId="0" borderId="21" xfId="0" applyNumberFormat="1" applyFont="1" applyBorder="1" applyAlignment="1" applyProtection="1">
      <alignment horizontal="right" vertical="center"/>
    </xf>
    <xf numFmtId="170" fontId="29" fillId="0" borderId="21" xfId="0" applyNumberFormat="1" applyFont="1" applyBorder="1" applyAlignment="1" applyProtection="1">
      <alignment horizontal="center"/>
    </xf>
    <xf numFmtId="0" fontId="29" fillId="0" borderId="23" xfId="0" applyFont="1" applyBorder="1" applyAlignment="1" applyProtection="1">
      <alignment horizontal="justify" vertical="center"/>
    </xf>
    <xf numFmtId="0" fontId="32" fillId="0" borderId="0" xfId="0" applyFont="1" applyAlignment="1" applyProtection="1">
      <alignment horizontal="justify"/>
    </xf>
    <xf numFmtId="0" fontId="29" fillId="7" borderId="0" xfId="0" applyFont="1" applyFill="1" applyAlignment="1" applyProtection="1">
      <alignment horizontal="justify" vertical="center"/>
    </xf>
    <xf numFmtId="0" fontId="29" fillId="7" borderId="0" xfId="0" applyFont="1" applyFill="1" applyAlignment="1" applyProtection="1">
      <alignment horizontal="center"/>
    </xf>
    <xf numFmtId="172" fontId="29" fillId="7" borderId="0" xfId="0" applyNumberFormat="1" applyFont="1" applyFill="1" applyAlignment="1" applyProtection="1">
      <alignment horizontal="justify" vertical="center"/>
    </xf>
    <xf numFmtId="171" fontId="29" fillId="7" borderId="0" xfId="0" applyNumberFormat="1" applyFont="1" applyFill="1" applyAlignment="1" applyProtection="1">
      <alignment horizontal="center" vertical="center"/>
    </xf>
    <xf numFmtId="43" fontId="29" fillId="7" borderId="0" xfId="11" applyFont="1" applyFill="1" applyAlignment="1" applyProtection="1">
      <alignment horizontal="right" vertical="center"/>
    </xf>
    <xf numFmtId="1" fontId="29" fillId="7" borderId="0" xfId="0" applyNumberFormat="1" applyFont="1" applyFill="1" applyAlignment="1" applyProtection="1">
      <alignment horizontal="center" vertical="center"/>
    </xf>
    <xf numFmtId="1" fontId="29" fillId="0" borderId="0" xfId="0" applyNumberFormat="1" applyFont="1" applyProtection="1"/>
    <xf numFmtId="170" fontId="29" fillId="0" borderId="0" xfId="0" applyNumberFormat="1" applyFont="1" applyAlignment="1" applyProtection="1">
      <alignment horizontal="right" vertical="center"/>
    </xf>
    <xf numFmtId="0" fontId="29" fillId="0" borderId="0" xfId="0" applyFont="1" applyAlignment="1" applyProtection="1">
      <alignment horizontal="center"/>
    </xf>
    <xf numFmtId="172" fontId="29" fillId="0" borderId="0" xfId="0" applyNumberFormat="1" applyFont="1" applyAlignment="1" applyProtection="1">
      <alignment horizontal="center" vertical="center"/>
    </xf>
    <xf numFmtId="171" fontId="29" fillId="0" borderId="0" xfId="0" applyNumberFormat="1" applyFont="1" applyAlignment="1" applyProtection="1">
      <alignment horizontal="justify" vertical="center"/>
    </xf>
    <xf numFmtId="43" fontId="29" fillId="0" borderId="0" xfId="0" applyNumberFormat="1" applyFont="1" applyProtection="1"/>
    <xf numFmtId="0" fontId="32" fillId="0" borderId="9" xfId="0" applyFont="1" applyBorder="1" applyAlignment="1" applyProtection="1">
      <alignment horizontal="center"/>
    </xf>
    <xf numFmtId="0" fontId="32" fillId="0" borderId="9" xfId="0" applyFont="1" applyBorder="1" applyProtection="1"/>
    <xf numFmtId="0" fontId="32" fillId="0" borderId="0" xfId="0" applyFont="1" applyProtection="1"/>
    <xf numFmtId="0" fontId="32" fillId="0" borderId="0" xfId="0" applyFont="1" applyAlignment="1" applyProtection="1">
      <alignment horizontal="center"/>
    </xf>
    <xf numFmtId="0" fontId="12" fillId="0" borderId="0" xfId="0" applyFont="1" applyAlignment="1">
      <alignment horizontal="center" vertical="center" wrapText="1"/>
    </xf>
    <xf numFmtId="164" fontId="5" fillId="0" borderId="1" xfId="0" applyNumberFormat="1" applyFont="1" applyBorder="1" applyAlignment="1">
      <alignment horizontal="left"/>
    </xf>
    <xf numFmtId="17" fontId="5" fillId="0" borderId="1" xfId="0" applyNumberFormat="1" applyFont="1" applyBorder="1" applyAlignment="1">
      <alignment horizontal="left"/>
    </xf>
    <xf numFmtId="3" fontId="5" fillId="2" borderId="1" xfId="0" applyNumberFormat="1" applyFont="1" applyFill="1" applyBorder="1" applyAlignment="1">
      <alignment horizontal="left" vertical="center" wrapText="1"/>
    </xf>
    <xf numFmtId="0" fontId="9" fillId="0" borderId="1" xfId="0" applyFont="1" applyBorder="1" applyAlignment="1">
      <alignment horizontal="center" vertical="center"/>
    </xf>
    <xf numFmtId="3" fontId="9" fillId="4" borderId="4" xfId="0" applyNumberFormat="1"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4" xfId="0" applyFont="1" applyFill="1" applyBorder="1" applyAlignment="1">
      <alignment horizontal="center" vertical="center"/>
    </xf>
    <xf numFmtId="0" fontId="9" fillId="4" borderId="9"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9" fillId="3" borderId="9" xfId="0" applyFont="1" applyFill="1" applyBorder="1" applyAlignment="1">
      <alignment horizontal="center" vertical="center" wrapText="1"/>
    </xf>
    <xf numFmtId="166" fontId="9" fillId="3" borderId="1" xfId="0" applyNumberFormat="1" applyFont="1" applyFill="1" applyBorder="1" applyAlignment="1">
      <alignment horizontal="center" vertical="center" wrapText="1"/>
    </xf>
    <xf numFmtId="3" fontId="9" fillId="3" borderId="1" xfId="0" applyNumberFormat="1" applyFont="1" applyFill="1" applyBorder="1" applyAlignment="1">
      <alignment horizontal="center" vertical="center" wrapText="1"/>
    </xf>
    <xf numFmtId="1" fontId="9" fillId="10" borderId="7" xfId="0" applyNumberFormat="1" applyFont="1" applyFill="1" applyBorder="1" applyAlignment="1">
      <alignment horizontal="left" vertical="center" wrapText="1"/>
    </xf>
    <xf numFmtId="0" fontId="9" fillId="10" borderId="9" xfId="0" applyFont="1" applyFill="1" applyBorder="1" applyAlignment="1">
      <alignment horizontal="justify" vertical="center"/>
    </xf>
    <xf numFmtId="0" fontId="9" fillId="10" borderId="9" xfId="0" applyFont="1" applyFill="1" applyBorder="1" applyAlignment="1">
      <alignment horizontal="center" vertical="center"/>
    </xf>
    <xf numFmtId="9" fontId="9" fillId="10" borderId="9" xfId="15" applyFont="1" applyFill="1" applyBorder="1" applyAlignment="1">
      <alignment horizontal="center" vertical="center"/>
    </xf>
    <xf numFmtId="3" fontId="10" fillId="10" borderId="9" xfId="0" applyNumberFormat="1" applyFont="1" applyFill="1" applyBorder="1" applyAlignment="1">
      <alignment vertical="center"/>
    </xf>
    <xf numFmtId="3" fontId="9" fillId="10" borderId="9" xfId="0" applyNumberFormat="1" applyFont="1" applyFill="1" applyBorder="1" applyAlignment="1">
      <alignment horizontal="right" vertical="center"/>
    </xf>
    <xf numFmtId="173" fontId="9" fillId="10" borderId="9" xfId="0" applyNumberFormat="1" applyFont="1" applyFill="1" applyBorder="1" applyAlignment="1">
      <alignment horizontal="center" vertical="center"/>
    </xf>
    <xf numFmtId="0" fontId="9" fillId="10" borderId="1" xfId="0" applyFont="1" applyFill="1" applyBorder="1" applyAlignment="1">
      <alignment vertical="center"/>
    </xf>
    <xf numFmtId="0" fontId="9" fillId="10" borderId="1" xfId="0" applyFont="1" applyFill="1" applyBorder="1" applyAlignment="1">
      <alignment horizontal="justify" vertical="center"/>
    </xf>
    <xf numFmtId="1" fontId="9" fillId="11" borderId="4" xfId="0" applyNumberFormat="1" applyFont="1" applyFill="1" applyBorder="1" applyAlignment="1">
      <alignment horizontal="left" vertical="center"/>
    </xf>
    <xf numFmtId="0" fontId="9" fillId="11" borderId="9" xfId="0" applyFont="1" applyFill="1" applyBorder="1" applyAlignment="1">
      <alignment horizontal="justify" vertical="center"/>
    </xf>
    <xf numFmtId="0" fontId="9" fillId="11" borderId="9" xfId="0" applyFont="1" applyFill="1" applyBorder="1" applyAlignment="1">
      <alignment horizontal="center" vertical="center"/>
    </xf>
    <xf numFmtId="9" fontId="9" fillId="11" borderId="9" xfId="15" applyFont="1" applyFill="1" applyBorder="1" applyAlignment="1">
      <alignment horizontal="center" vertical="center"/>
    </xf>
    <xf numFmtId="3" fontId="10" fillId="11" borderId="9" xfId="0" applyNumberFormat="1" applyFont="1" applyFill="1" applyBorder="1" applyAlignment="1">
      <alignment vertical="center"/>
    </xf>
    <xf numFmtId="3" fontId="9" fillId="11" borderId="9" xfId="0" applyNumberFormat="1" applyFont="1" applyFill="1" applyBorder="1" applyAlignment="1">
      <alignment horizontal="right" vertical="center"/>
    </xf>
    <xf numFmtId="173" fontId="9" fillId="11" borderId="9" xfId="0" applyNumberFormat="1" applyFont="1" applyFill="1" applyBorder="1" applyAlignment="1">
      <alignment horizontal="center" vertical="center"/>
    </xf>
    <xf numFmtId="0" fontId="9" fillId="11" borderId="0" xfId="0" applyFont="1" applyFill="1" applyBorder="1" applyAlignment="1">
      <alignment vertical="center"/>
    </xf>
    <xf numFmtId="0" fontId="9" fillId="11" borderId="1" xfId="0" applyFont="1" applyFill="1" applyBorder="1" applyAlignment="1">
      <alignment vertical="center"/>
    </xf>
    <xf numFmtId="170" fontId="9" fillId="11" borderId="1" xfId="0" applyNumberFormat="1" applyFont="1" applyFill="1" applyBorder="1" applyAlignment="1">
      <alignment vertical="center"/>
    </xf>
    <xf numFmtId="0" fontId="9" fillId="11" borderId="1" xfId="0" applyFont="1" applyFill="1" applyBorder="1" applyAlignment="1">
      <alignment horizontal="justify" vertical="center"/>
    </xf>
    <xf numFmtId="1" fontId="9" fillId="12" borderId="3" xfId="0" applyNumberFormat="1" applyFont="1" applyFill="1" applyBorder="1" applyAlignment="1">
      <alignment horizontal="left" vertical="center" wrapText="1"/>
    </xf>
    <xf numFmtId="1" fontId="9" fillId="12" borderId="4" xfId="0" applyNumberFormat="1" applyFont="1" applyFill="1" applyBorder="1" applyAlignment="1">
      <alignment vertical="center"/>
    </xf>
    <xf numFmtId="0" fontId="9" fillId="12" borderId="5" xfId="0" applyFont="1" applyFill="1" applyBorder="1" applyAlignment="1">
      <alignment vertical="center"/>
    </xf>
    <xf numFmtId="0" fontId="9" fillId="12" borderId="1" xfId="0" applyFont="1" applyFill="1" applyBorder="1" applyAlignment="1">
      <alignment horizontal="justify" vertical="center"/>
    </xf>
    <xf numFmtId="0" fontId="9" fillId="12" borderId="1" xfId="0" applyFont="1" applyFill="1" applyBorder="1" applyAlignment="1">
      <alignment vertical="center"/>
    </xf>
    <xf numFmtId="0" fontId="9" fillId="12" borderId="1" xfId="0" applyFont="1" applyFill="1" applyBorder="1" applyAlignment="1">
      <alignment horizontal="center" vertical="center"/>
    </xf>
    <xf numFmtId="9" fontId="9" fillId="12" borderId="1" xfId="15" applyFont="1" applyFill="1" applyBorder="1" applyAlignment="1">
      <alignment horizontal="center" vertical="center"/>
    </xf>
    <xf numFmtId="3" fontId="10" fillId="12" borderId="1" xfId="0" applyNumberFormat="1" applyFont="1" applyFill="1" applyBorder="1" applyAlignment="1">
      <alignment vertical="center"/>
    </xf>
    <xf numFmtId="3" fontId="9" fillId="12" borderId="1" xfId="0" applyNumberFormat="1" applyFont="1" applyFill="1" applyBorder="1" applyAlignment="1">
      <alignment horizontal="right" vertical="center"/>
    </xf>
    <xf numFmtId="173" fontId="9" fillId="12" borderId="6" xfId="0" applyNumberFormat="1" applyFont="1" applyFill="1" applyBorder="1" applyAlignment="1">
      <alignment horizontal="center" vertical="center"/>
    </xf>
    <xf numFmtId="0" fontId="9" fillId="12" borderId="6" xfId="0" applyFont="1" applyFill="1" applyBorder="1" applyAlignment="1">
      <alignment vertical="center"/>
    </xf>
    <xf numFmtId="170" fontId="9" fillId="12" borderId="1" xfId="0" applyNumberFormat="1" applyFont="1" applyFill="1" applyBorder="1" applyAlignment="1">
      <alignment vertical="center"/>
    </xf>
    <xf numFmtId="43" fontId="10" fillId="7" borderId="47" xfId="0" applyNumberFormat="1" applyFont="1" applyFill="1" applyBorder="1" applyAlignment="1">
      <alignment vertical="center" wrapText="1"/>
    </xf>
    <xf numFmtId="43" fontId="10" fillId="7" borderId="1" xfId="0" applyNumberFormat="1" applyFont="1" applyFill="1" applyBorder="1" applyAlignment="1">
      <alignment horizontal="right" vertical="center" wrapText="1"/>
    </xf>
    <xf numFmtId="1" fontId="10" fillId="7" borderId="46" xfId="0" applyNumberFormat="1" applyFont="1" applyFill="1" applyBorder="1" applyAlignment="1">
      <alignment horizontal="center" vertical="center" wrapText="1"/>
    </xf>
    <xf numFmtId="0" fontId="10" fillId="7" borderId="47" xfId="0" applyFont="1" applyFill="1" applyBorder="1" applyAlignment="1">
      <alignment vertical="center" wrapText="1"/>
    </xf>
    <xf numFmtId="0" fontId="10" fillId="0" borderId="6" xfId="0" applyFont="1" applyBorder="1" applyAlignment="1">
      <alignment horizontal="center" vertical="center"/>
    </xf>
    <xf numFmtId="43" fontId="10" fillId="0" borderId="45" xfId="0" applyNumberFormat="1" applyFont="1" applyBorder="1" applyAlignment="1">
      <alignment vertical="center" wrapText="1"/>
    </xf>
    <xf numFmtId="43" fontId="10" fillId="0" borderId="59" xfId="0" applyNumberFormat="1" applyFont="1" applyBorder="1" applyAlignment="1">
      <alignment vertical="center" wrapText="1"/>
    </xf>
    <xf numFmtId="1" fontId="10" fillId="7" borderId="59" xfId="0" applyNumberFormat="1" applyFont="1" applyFill="1" applyBorder="1" applyAlignment="1">
      <alignment horizontal="center" vertical="center" wrapText="1"/>
    </xf>
    <xf numFmtId="43" fontId="10" fillId="0" borderId="46" xfId="0" applyNumberFormat="1" applyFont="1" applyBorder="1" applyAlignment="1">
      <alignment vertical="center" wrapText="1"/>
    </xf>
    <xf numFmtId="1" fontId="10" fillId="7" borderId="47" xfId="0" applyNumberFormat="1" applyFont="1" applyFill="1" applyBorder="1" applyAlignment="1">
      <alignment horizontal="center" vertical="center" wrapText="1"/>
    </xf>
    <xf numFmtId="0" fontId="10" fillId="7" borderId="51" xfId="0" applyFont="1" applyFill="1" applyBorder="1" applyAlignment="1">
      <alignment vertical="center" wrapText="1"/>
    </xf>
    <xf numFmtId="0" fontId="10" fillId="7" borderId="0" xfId="0" applyFont="1" applyFill="1" applyAlignment="1">
      <alignment wrapText="1"/>
    </xf>
    <xf numFmtId="9" fontId="10" fillId="7" borderId="1" xfId="15" applyFont="1" applyFill="1" applyBorder="1" applyAlignment="1">
      <alignment horizontal="center" vertical="center" wrapText="1"/>
    </xf>
    <xf numFmtId="43" fontId="10" fillId="7" borderId="18" xfId="0" applyNumberFormat="1" applyFont="1" applyFill="1" applyBorder="1" applyAlignment="1">
      <alignment horizontal="right" vertical="center" wrapText="1"/>
    </xf>
    <xf numFmtId="43" fontId="10" fillId="7" borderId="1" xfId="0" applyNumberFormat="1" applyFont="1" applyFill="1" applyBorder="1" applyAlignment="1">
      <alignment horizontal="right" vertical="center"/>
    </xf>
    <xf numFmtId="1" fontId="10" fillId="7" borderId="18" xfId="0" applyNumberFormat="1" applyFont="1" applyFill="1" applyBorder="1" applyAlignment="1">
      <alignment horizontal="center" vertical="center" wrapText="1"/>
    </xf>
    <xf numFmtId="0" fontId="10" fillId="7" borderId="18" xfId="0" applyFont="1" applyFill="1" applyBorder="1" applyAlignment="1">
      <alignment horizontal="justify" vertical="center" wrapText="1"/>
    </xf>
    <xf numFmtId="173" fontId="10" fillId="0" borderId="1" xfId="0" applyNumberFormat="1" applyFont="1" applyBorder="1" applyAlignment="1">
      <alignment horizontal="center" vertical="center"/>
    </xf>
    <xf numFmtId="3" fontId="10" fillId="0" borderId="1" xfId="0" applyNumberFormat="1" applyFont="1" applyBorder="1" applyAlignment="1">
      <alignment horizontal="center" vertical="center"/>
    </xf>
    <xf numFmtId="0" fontId="10" fillId="7" borderId="1" xfId="0" applyFont="1" applyFill="1" applyBorder="1" applyAlignment="1">
      <alignment horizontal="center" vertical="center"/>
    </xf>
    <xf numFmtId="9" fontId="10" fillId="7" borderId="1" xfId="15" applyFont="1" applyFill="1" applyBorder="1" applyAlignment="1">
      <alignment horizontal="center" vertical="center"/>
    </xf>
    <xf numFmtId="14" fontId="10" fillId="7" borderId="1" xfId="0" applyNumberFormat="1" applyFont="1" applyFill="1" applyBorder="1" applyAlignment="1">
      <alignment horizontal="center" vertical="center"/>
    </xf>
    <xf numFmtId="1" fontId="9" fillId="11" borderId="3" xfId="0" applyNumberFormat="1" applyFont="1" applyFill="1" applyBorder="1" applyAlignment="1">
      <alignment horizontal="left" vertical="center"/>
    </xf>
    <xf numFmtId="0" fontId="9" fillId="11" borderId="5" xfId="0" applyFont="1" applyFill="1" applyBorder="1" applyAlignment="1">
      <alignment vertical="center"/>
    </xf>
    <xf numFmtId="0" fontId="9" fillId="11" borderId="1" xfId="0" applyFont="1" applyFill="1" applyBorder="1" applyAlignment="1">
      <alignment horizontal="center" vertical="center"/>
    </xf>
    <xf numFmtId="9" fontId="9" fillId="11" borderId="1" xfId="15" applyFont="1" applyFill="1" applyBorder="1" applyAlignment="1">
      <alignment horizontal="center" vertical="center"/>
    </xf>
    <xf numFmtId="3" fontId="10" fillId="11" borderId="1" xfId="0" applyNumberFormat="1" applyFont="1" applyFill="1" applyBorder="1" applyAlignment="1">
      <alignment vertical="center"/>
    </xf>
    <xf numFmtId="3" fontId="9" fillId="11" borderId="1" xfId="0" applyNumberFormat="1" applyFont="1" applyFill="1" applyBorder="1" applyAlignment="1">
      <alignment horizontal="right" vertical="center"/>
    </xf>
    <xf numFmtId="43" fontId="9" fillId="11" borderId="1" xfId="0" applyNumberFormat="1" applyFont="1" applyFill="1" applyBorder="1" applyAlignment="1">
      <alignment horizontal="center" vertical="center"/>
    </xf>
    <xf numFmtId="43" fontId="9" fillId="11" borderId="1" xfId="1" applyFont="1" applyFill="1" applyBorder="1" applyAlignment="1">
      <alignment horizontal="center" vertical="center"/>
    </xf>
    <xf numFmtId="1" fontId="9" fillId="12" borderId="3" xfId="0" applyNumberFormat="1" applyFont="1" applyFill="1" applyBorder="1" applyAlignment="1">
      <alignment horizontal="left" vertical="center" wrapText="1" indent="1"/>
    </xf>
    <xf numFmtId="1" fontId="9" fillId="12" borderId="4" xfId="0" applyNumberFormat="1" applyFont="1" applyFill="1" applyBorder="1" applyAlignment="1">
      <alignment horizontal="left" vertical="center" wrapText="1"/>
    </xf>
    <xf numFmtId="1" fontId="9" fillId="12" borderId="5" xfId="0" applyNumberFormat="1" applyFont="1" applyFill="1" applyBorder="1" applyAlignment="1">
      <alignment horizontal="left" vertical="center" wrapText="1" indent="1"/>
    </xf>
    <xf numFmtId="43" fontId="9" fillId="12" borderId="1" xfId="0" applyNumberFormat="1" applyFont="1" applyFill="1" applyBorder="1" applyAlignment="1">
      <alignment horizontal="center" vertical="center" wrapText="1"/>
    </xf>
    <xf numFmtId="43" fontId="9" fillId="12" borderId="6" xfId="0" applyNumberFormat="1" applyFont="1" applyFill="1" applyBorder="1" applyAlignment="1">
      <alignment horizontal="center" vertical="center" wrapText="1"/>
    </xf>
    <xf numFmtId="1" fontId="9" fillId="12" borderId="1" xfId="0" applyNumberFormat="1" applyFont="1" applyFill="1" applyBorder="1" applyAlignment="1">
      <alignment horizontal="left" vertical="center" wrapText="1"/>
    </xf>
    <xf numFmtId="43" fontId="9" fillId="12" borderId="1" xfId="1" applyFont="1" applyFill="1" applyBorder="1" applyAlignment="1">
      <alignment horizontal="left" vertical="center" wrapText="1"/>
    </xf>
    <xf numFmtId="43" fontId="10" fillId="7" borderId="3" xfId="11" applyNumberFormat="1" applyFont="1" applyFill="1" applyBorder="1" applyAlignment="1">
      <alignment horizontal="center" vertical="center"/>
    </xf>
    <xf numFmtId="43" fontId="10" fillId="7" borderId="1" xfId="11" applyNumberFormat="1" applyFont="1" applyFill="1" applyBorder="1" applyAlignment="1">
      <alignment horizontal="center" vertical="center"/>
    </xf>
    <xf numFmtId="1" fontId="10" fillId="7" borderId="51" xfId="0" applyNumberFormat="1" applyFont="1" applyFill="1" applyBorder="1" applyAlignment="1">
      <alignment horizontal="center" vertical="center" wrapText="1"/>
    </xf>
    <xf numFmtId="43" fontId="10" fillId="0" borderId="3" xfId="11" applyNumberFormat="1" applyFont="1" applyBorder="1" applyAlignment="1">
      <alignment horizontal="center" vertical="center"/>
    </xf>
    <xf numFmtId="43" fontId="10" fillId="0" borderId="1" xfId="11" applyNumberFormat="1" applyFont="1" applyBorder="1" applyAlignment="1">
      <alignment horizontal="center" vertical="center"/>
    </xf>
    <xf numFmtId="0" fontId="10" fillId="20" borderId="1" xfId="0" applyFont="1" applyFill="1" applyBorder="1" applyAlignment="1">
      <alignment horizontal="justify" vertical="center" wrapText="1"/>
    </xf>
    <xf numFmtId="43" fontId="10" fillId="0" borderId="7" xfId="11" applyNumberFormat="1" applyFont="1" applyBorder="1" applyAlignment="1">
      <alignment horizontal="center" vertical="center"/>
    </xf>
    <xf numFmtId="1" fontId="10" fillId="7" borderId="65" xfId="0" applyNumberFormat="1" applyFont="1" applyFill="1" applyBorder="1" applyAlignment="1">
      <alignment horizontal="center" vertical="center" wrapText="1"/>
    </xf>
    <xf numFmtId="43" fontId="10" fillId="0" borderId="47" xfId="11" applyNumberFormat="1" applyFont="1" applyBorder="1" applyAlignment="1">
      <alignment horizontal="center" vertical="center"/>
    </xf>
    <xf numFmtId="43" fontId="10" fillId="7" borderId="6" xfId="11" applyNumberFormat="1" applyFont="1" applyFill="1" applyBorder="1" applyAlignment="1">
      <alignment horizontal="center" vertical="center"/>
    </xf>
    <xf numFmtId="0" fontId="10" fillId="7" borderId="45" xfId="0" applyFont="1" applyFill="1" applyBorder="1" applyAlignment="1">
      <alignment vertical="center" wrapText="1"/>
    </xf>
    <xf numFmtId="0" fontId="10" fillId="7" borderId="93" xfId="0" applyFont="1" applyFill="1" applyBorder="1" applyAlignment="1">
      <alignment vertical="center" wrapText="1"/>
    </xf>
    <xf numFmtId="43" fontId="10" fillId="0" borderId="59" xfId="0" applyNumberFormat="1" applyFont="1" applyBorder="1" applyAlignment="1">
      <alignment vertical="center"/>
    </xf>
    <xf numFmtId="43" fontId="10" fillId="0" borderId="6" xfId="0" applyNumberFormat="1"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3" xfId="0" applyFont="1" applyBorder="1" applyAlignment="1">
      <alignment vertical="center"/>
    </xf>
    <xf numFmtId="43" fontId="9" fillId="0" borderId="25" xfId="11" applyFont="1" applyBorder="1" applyAlignment="1">
      <alignment vertical="center"/>
    </xf>
    <xf numFmtId="0" fontId="9" fillId="0" borderId="23" xfId="0" applyFont="1" applyBorder="1" applyAlignment="1">
      <alignment horizontal="justify" vertical="center"/>
    </xf>
    <xf numFmtId="43" fontId="9" fillId="0" borderId="25" xfId="11" applyNumberFormat="1" applyFont="1" applyBorder="1"/>
    <xf numFmtId="171" fontId="9" fillId="0" borderId="20" xfId="0" applyNumberFormat="1" applyFont="1" applyBorder="1" applyAlignment="1">
      <alignment vertical="center"/>
    </xf>
    <xf numFmtId="0" fontId="9" fillId="7" borderId="23" xfId="0" applyFont="1" applyFill="1" applyBorder="1" applyAlignment="1">
      <alignment horizontal="justify" vertical="center"/>
    </xf>
    <xf numFmtId="0" fontId="9" fillId="7" borderId="21" xfId="0" applyFont="1" applyFill="1" applyBorder="1" applyAlignment="1">
      <alignment horizontal="justify" vertical="center"/>
    </xf>
    <xf numFmtId="43" fontId="9" fillId="7" borderId="21" xfId="1" applyFont="1" applyFill="1" applyBorder="1" applyAlignment="1">
      <alignment horizontal="justify" vertical="center"/>
    </xf>
    <xf numFmtId="9" fontId="9" fillId="7" borderId="21" xfId="4" applyFont="1" applyFill="1" applyBorder="1" applyAlignment="1">
      <alignment horizontal="center" vertical="center"/>
    </xf>
    <xf numFmtId="0" fontId="9" fillId="0" borderId="21" xfId="0" applyFont="1" applyBorder="1" applyAlignment="1">
      <alignment horizontal="right" vertical="center"/>
    </xf>
    <xf numFmtId="166" fontId="9" fillId="0" borderId="21" xfId="0" applyNumberFormat="1" applyFont="1" applyBorder="1" applyAlignment="1">
      <alignment horizontal="center" vertical="center"/>
    </xf>
    <xf numFmtId="0" fontId="9" fillId="0" borderId="23" xfId="0" applyFont="1" applyBorder="1" applyAlignment="1">
      <alignment horizontal="left" vertical="center"/>
    </xf>
    <xf numFmtId="173" fontId="10" fillId="0" borderId="0" xfId="0" applyNumberFormat="1" applyFont="1" applyAlignment="1">
      <alignment horizontal="center"/>
    </xf>
    <xf numFmtId="3" fontId="9" fillId="7" borderId="9" xfId="0" applyNumberFormat="1" applyFont="1" applyFill="1" applyBorder="1" applyAlignment="1">
      <alignment vertical="center"/>
    </xf>
    <xf numFmtId="0" fontId="9" fillId="0" borderId="9" xfId="0" applyFont="1" applyBorder="1"/>
    <xf numFmtId="0" fontId="2" fillId="0" borderId="0" xfId="0" applyFont="1" applyAlignment="1" applyProtection="1">
      <alignment horizontal="center" vertical="center" wrapText="1"/>
    </xf>
    <xf numFmtId="0" fontId="2" fillId="0" borderId="1" xfId="0" applyFont="1" applyBorder="1" applyAlignment="1" applyProtection="1">
      <alignment horizontal="center"/>
    </xf>
    <xf numFmtId="0" fontId="3" fillId="0" borderId="1" xfId="0" applyFont="1" applyBorder="1" applyAlignment="1" applyProtection="1">
      <alignment horizontal="center"/>
    </xf>
    <xf numFmtId="0" fontId="2" fillId="0" borderId="1" xfId="0" applyFont="1" applyBorder="1" applyAlignment="1" applyProtection="1">
      <alignment horizontal="center" vertical="center"/>
    </xf>
    <xf numFmtId="0" fontId="3" fillId="0" borderId="1" xfId="0" applyFont="1" applyBorder="1" applyAlignment="1" applyProtection="1">
      <alignment horizontal="center" wrapText="1"/>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3" borderId="16"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2" fillId="3" borderId="93" xfId="0" applyFont="1" applyFill="1" applyBorder="1" applyAlignment="1" applyProtection="1">
      <alignment horizontal="center" vertical="center" wrapText="1"/>
    </xf>
    <xf numFmtId="0" fontId="2" fillId="3" borderId="56"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2" fillId="3" borderId="30" xfId="0" applyFont="1" applyFill="1" applyBorder="1" applyAlignment="1" applyProtection="1">
      <alignment vertical="center" wrapText="1"/>
    </xf>
    <xf numFmtId="166" fontId="2" fillId="3" borderId="30" xfId="0" applyNumberFormat="1" applyFont="1" applyFill="1" applyBorder="1" applyAlignment="1" applyProtection="1">
      <alignment horizontal="center" vertical="center" wrapText="1"/>
    </xf>
    <xf numFmtId="0" fontId="12" fillId="10" borderId="97" xfId="0" applyFont="1" applyFill="1" applyBorder="1" applyAlignment="1" applyProtection="1">
      <alignment horizontal="center" vertical="center" wrapText="1"/>
    </xf>
    <xf numFmtId="0" fontId="12" fillId="10" borderId="11" xfId="0" applyFont="1" applyFill="1" applyBorder="1" applyAlignment="1" applyProtection="1">
      <alignment horizontal="left" vertical="center"/>
    </xf>
    <xf numFmtId="0" fontId="12" fillId="10" borderId="11" xfId="0" applyFont="1" applyFill="1" applyBorder="1" applyAlignment="1" applyProtection="1">
      <alignment vertical="center" wrapText="1"/>
    </xf>
    <xf numFmtId="0" fontId="12" fillId="10" borderId="11" xfId="0" applyFont="1" applyFill="1" applyBorder="1" applyAlignment="1" applyProtection="1">
      <alignment horizontal="center" vertical="center" wrapText="1"/>
    </xf>
    <xf numFmtId="0" fontId="12" fillId="10" borderId="78" xfId="0" applyFont="1" applyFill="1" applyBorder="1" applyAlignment="1" applyProtection="1">
      <alignment vertical="center" wrapText="1"/>
    </xf>
    <xf numFmtId="0" fontId="20" fillId="0" borderId="0" xfId="0" applyFont="1" applyProtection="1"/>
    <xf numFmtId="0" fontId="20" fillId="7" borderId="35" xfId="0" applyFont="1" applyFill="1" applyBorder="1" applyAlignment="1" applyProtection="1">
      <alignment vertical="center" wrapText="1"/>
    </xf>
    <xf numFmtId="0" fontId="20" fillId="7" borderId="0" xfId="0" applyFont="1" applyFill="1" applyBorder="1" applyAlignment="1" applyProtection="1">
      <alignment vertical="center" wrapText="1"/>
    </xf>
    <xf numFmtId="0" fontId="12" fillId="11" borderId="14" xfId="0" applyFont="1" applyFill="1" applyBorder="1" applyAlignment="1" applyProtection="1">
      <alignment horizontal="center" vertical="center" wrapText="1"/>
    </xf>
    <xf numFmtId="0" fontId="12" fillId="11" borderId="2" xfId="0" applyFont="1" applyFill="1" applyBorder="1" applyAlignment="1" applyProtection="1">
      <alignment horizontal="left" vertical="center"/>
    </xf>
    <xf numFmtId="0" fontId="12" fillId="11" borderId="2" xfId="0" applyFont="1" applyFill="1" applyBorder="1" applyAlignment="1" applyProtection="1">
      <alignment vertical="center" wrapText="1"/>
    </xf>
    <xf numFmtId="0" fontId="12" fillId="11" borderId="14" xfId="0" applyFont="1" applyFill="1" applyBorder="1" applyAlignment="1" applyProtection="1">
      <alignment vertical="center" wrapText="1"/>
    </xf>
    <xf numFmtId="0" fontId="12" fillId="11" borderId="2" xfId="0" applyFont="1" applyFill="1" applyBorder="1" applyAlignment="1" applyProtection="1">
      <alignment horizontal="center" vertical="center" wrapText="1"/>
    </xf>
    <xf numFmtId="0" fontId="12" fillId="11" borderId="53" xfId="0" applyFont="1" applyFill="1" applyBorder="1" applyAlignment="1" applyProtection="1">
      <alignment vertical="center" wrapText="1"/>
    </xf>
    <xf numFmtId="0" fontId="20" fillId="7" borderId="17" xfId="0" applyFont="1" applyFill="1" applyBorder="1" applyAlignment="1" applyProtection="1">
      <alignment vertical="center" wrapText="1"/>
    </xf>
    <xf numFmtId="0" fontId="12" fillId="15" borderId="14" xfId="0" applyFont="1" applyFill="1" applyBorder="1" applyAlignment="1" applyProtection="1">
      <alignment horizontal="center" vertical="center" wrapText="1"/>
    </xf>
    <xf numFmtId="0" fontId="12" fillId="15" borderId="2" xfId="0" applyFont="1" applyFill="1" applyBorder="1" applyAlignment="1" applyProtection="1">
      <alignment vertical="center"/>
    </xf>
    <xf numFmtId="0" fontId="12" fillId="15" borderId="15" xfId="0" applyFont="1" applyFill="1" applyBorder="1" applyAlignment="1" applyProtection="1">
      <alignment vertical="center" wrapText="1"/>
    </xf>
    <xf numFmtId="0" fontId="12" fillId="15" borderId="2" xfId="0" applyFont="1" applyFill="1" applyBorder="1" applyAlignment="1" applyProtection="1">
      <alignment vertical="center" wrapText="1"/>
    </xf>
    <xf numFmtId="0" fontId="12" fillId="15" borderId="2" xfId="0" applyFont="1" applyFill="1" applyBorder="1" applyAlignment="1" applyProtection="1">
      <alignment horizontal="center" vertical="center" wrapText="1"/>
    </xf>
    <xf numFmtId="0" fontId="12" fillId="15" borderId="53" xfId="0" applyFont="1" applyFill="1" applyBorder="1" applyAlignment="1" applyProtection="1">
      <alignment vertical="center" wrapText="1"/>
    </xf>
    <xf numFmtId="0" fontId="20" fillId="7" borderId="6" xfId="0" applyFont="1" applyFill="1" applyBorder="1" applyAlignment="1" applyProtection="1">
      <alignment vertical="center" wrapText="1"/>
    </xf>
    <xf numFmtId="0" fontId="20" fillId="7" borderId="7" xfId="0" applyFont="1" applyFill="1" applyBorder="1" applyAlignment="1" applyProtection="1">
      <alignment vertical="center" wrapText="1"/>
    </xf>
    <xf numFmtId="0" fontId="20" fillId="7" borderId="8" xfId="0" applyFont="1" applyFill="1" applyBorder="1" applyAlignment="1" applyProtection="1">
      <alignment vertical="center" wrapText="1"/>
    </xf>
    <xf numFmtId="0" fontId="20" fillId="0" borderId="6" xfId="0" applyFont="1" applyBorder="1" applyAlignment="1" applyProtection="1">
      <alignment horizontal="center" vertical="center" wrapText="1"/>
    </xf>
    <xf numFmtId="0" fontId="20" fillId="0" borderId="6" xfId="0" applyFont="1" applyBorder="1" applyAlignment="1" applyProtection="1">
      <alignment horizontal="justify" vertical="center" wrapText="1"/>
    </xf>
    <xf numFmtId="0" fontId="20" fillId="0" borderId="6" xfId="0" applyFont="1" applyBorder="1" applyAlignment="1" applyProtection="1">
      <alignment vertical="center" wrapText="1"/>
    </xf>
    <xf numFmtId="9" fontId="20" fillId="0" borderId="6" xfId="0" applyNumberFormat="1" applyFont="1" applyBorder="1" applyAlignment="1" applyProtection="1">
      <alignment horizontal="center" vertical="center" wrapText="1"/>
    </xf>
    <xf numFmtId="43" fontId="20" fillId="0" borderId="6" xfId="1" applyFont="1" applyBorder="1" applyAlignment="1" applyProtection="1">
      <alignment vertical="center" wrapText="1"/>
    </xf>
    <xf numFmtId="0" fontId="20" fillId="0" borderId="1" xfId="0" applyFont="1" applyBorder="1" applyAlignment="1" applyProtection="1">
      <alignment horizontal="justify" vertical="center" wrapText="1"/>
    </xf>
    <xf numFmtId="43" fontId="20" fillId="0" borderId="1" xfId="1" applyFont="1" applyBorder="1" applyAlignment="1" applyProtection="1">
      <alignment horizontal="right" vertical="center" wrapText="1"/>
    </xf>
    <xf numFmtId="3" fontId="20" fillId="0" borderId="6" xfId="1" applyNumberFormat="1" applyFont="1" applyBorder="1" applyAlignment="1" applyProtection="1">
      <alignment vertical="center" wrapText="1"/>
    </xf>
    <xf numFmtId="0" fontId="8" fillId="0" borderId="6" xfId="0" applyFont="1" applyBorder="1" applyAlignment="1" applyProtection="1">
      <alignment horizontal="center" vertical="center" wrapText="1"/>
    </xf>
    <xf numFmtId="43" fontId="8" fillId="0" borderId="6" xfId="1" applyFont="1" applyBorder="1" applyAlignment="1" applyProtection="1">
      <alignment vertical="center" wrapText="1"/>
    </xf>
    <xf numFmtId="9" fontId="8" fillId="0" borderId="6" xfId="4" applyFont="1" applyBorder="1" applyAlignment="1" applyProtection="1">
      <alignment horizontal="center" vertical="center" wrapText="1"/>
    </xf>
    <xf numFmtId="166" fontId="8" fillId="0" borderId="6" xfId="0" applyNumberFormat="1" applyFont="1" applyBorder="1" applyAlignment="1" applyProtection="1">
      <alignment horizontal="center" vertical="center" wrapText="1"/>
    </xf>
    <xf numFmtId="3" fontId="20" fillId="0" borderId="42" xfId="0" applyNumberFormat="1" applyFont="1" applyBorder="1" applyAlignment="1" applyProtection="1">
      <alignment horizontal="center" vertical="center" wrapText="1"/>
    </xf>
    <xf numFmtId="0" fontId="12" fillId="15" borderId="3" xfId="0" applyFont="1" applyFill="1" applyBorder="1" applyAlignment="1" applyProtection="1">
      <alignment horizontal="center" vertical="center" wrapText="1"/>
    </xf>
    <xf numFmtId="0" fontId="12" fillId="15" borderId="4" xfId="0" applyFont="1" applyFill="1" applyBorder="1" applyAlignment="1" applyProtection="1">
      <alignment vertical="center"/>
    </xf>
    <xf numFmtId="0" fontId="12" fillId="15" borderId="5" xfId="0" applyFont="1" applyFill="1" applyBorder="1" applyAlignment="1" applyProtection="1">
      <alignment vertical="center" wrapText="1"/>
    </xf>
    <xf numFmtId="0" fontId="12" fillId="15" borderId="4" xfId="0" applyFont="1" applyFill="1" applyBorder="1" applyAlignment="1" applyProtection="1">
      <alignment vertical="center" wrapText="1"/>
    </xf>
    <xf numFmtId="0" fontId="12" fillId="15" borderId="4" xfId="0" applyFont="1" applyFill="1" applyBorder="1" applyAlignment="1" applyProtection="1">
      <alignment horizontal="center" vertical="center" wrapText="1"/>
    </xf>
    <xf numFmtId="43" fontId="12" fillId="15" borderId="4" xfId="1" applyFont="1" applyFill="1" applyBorder="1" applyAlignment="1" applyProtection="1">
      <alignment horizontal="justify" vertical="center" wrapText="1"/>
    </xf>
    <xf numFmtId="43" fontId="12" fillId="15" borderId="4" xfId="1" applyFont="1" applyFill="1" applyBorder="1" applyAlignment="1" applyProtection="1">
      <alignment horizontal="right" vertical="center" wrapText="1"/>
    </xf>
    <xf numFmtId="0" fontId="5" fillId="15" borderId="4" xfId="0" applyFont="1" applyFill="1" applyBorder="1" applyAlignment="1" applyProtection="1">
      <alignment horizontal="center" vertical="center" wrapText="1"/>
    </xf>
    <xf numFmtId="43" fontId="5" fillId="15" borderId="4" xfId="1" applyFont="1" applyFill="1" applyBorder="1" applyAlignment="1" applyProtection="1">
      <alignment vertical="center" wrapText="1"/>
    </xf>
    <xf numFmtId="0" fontId="5" fillId="15" borderId="4" xfId="0" applyFont="1" applyFill="1" applyBorder="1" applyAlignment="1" applyProtection="1">
      <alignment vertical="center" wrapText="1"/>
    </xf>
    <xf numFmtId="0" fontId="12" fillId="15" borderId="39" xfId="0" applyFont="1" applyFill="1" applyBorder="1" applyAlignment="1" applyProtection="1">
      <alignment vertical="center" wrapText="1"/>
    </xf>
    <xf numFmtId="0" fontId="20" fillId="7" borderId="13" xfId="0" applyFont="1" applyFill="1" applyBorder="1" applyAlignment="1" applyProtection="1">
      <alignment vertical="center" wrapText="1"/>
    </xf>
    <xf numFmtId="0" fontId="20" fillId="7" borderId="16" xfId="0" applyFont="1" applyFill="1" applyBorder="1" applyAlignment="1" applyProtection="1">
      <alignment vertical="center" wrapText="1"/>
    </xf>
    <xf numFmtId="0" fontId="20" fillId="0" borderId="1" xfId="0" applyFont="1" applyBorder="1" applyAlignment="1" applyProtection="1">
      <alignment horizontal="center" vertical="center" wrapText="1"/>
    </xf>
    <xf numFmtId="1" fontId="20" fillId="0" borderId="1" xfId="0" applyNumberFormat="1" applyFont="1" applyBorder="1" applyAlignment="1" applyProtection="1">
      <alignment horizontal="center" vertical="center" wrapText="1"/>
    </xf>
    <xf numFmtId="9" fontId="20" fillId="0" borderId="1" xfId="0" applyNumberFormat="1" applyFont="1" applyBorder="1" applyAlignment="1" applyProtection="1">
      <alignment horizontal="center" vertical="center" wrapText="1"/>
    </xf>
    <xf numFmtId="43" fontId="20" fillId="0" borderId="1" xfId="1" applyFont="1" applyBorder="1" applyAlignment="1" applyProtection="1">
      <alignment vertical="center" wrapText="1"/>
    </xf>
    <xf numFmtId="43" fontId="20" fillId="0" borderId="6" xfId="1" applyFont="1" applyBorder="1" applyAlignment="1" applyProtection="1">
      <alignment horizontal="right" vertical="center" wrapText="1"/>
    </xf>
    <xf numFmtId="3" fontId="20" fillId="0" borderId="1" xfId="1" applyNumberFormat="1" applyFont="1" applyBorder="1" applyAlignment="1" applyProtection="1">
      <alignment vertical="center" wrapText="1"/>
    </xf>
    <xf numFmtId="0" fontId="12" fillId="0" borderId="68" xfId="0" applyFont="1" applyBorder="1" applyAlignment="1" applyProtection="1">
      <alignment vertical="center"/>
    </xf>
    <xf numFmtId="0" fontId="12" fillId="0" borderId="69" xfId="0" applyFont="1" applyBorder="1" applyAlignment="1" applyProtection="1">
      <alignment vertical="center"/>
    </xf>
    <xf numFmtId="0" fontId="12" fillId="0" borderId="66" xfId="0" applyFont="1" applyBorder="1" applyAlignment="1" applyProtection="1">
      <alignment vertical="center"/>
    </xf>
    <xf numFmtId="0" fontId="12" fillId="0" borderId="21" xfId="0" applyFont="1" applyBorder="1" applyAlignment="1" applyProtection="1">
      <alignment vertical="center"/>
    </xf>
    <xf numFmtId="9" fontId="12" fillId="0" borderId="25" xfId="0" applyNumberFormat="1" applyFont="1" applyBorder="1" applyAlignment="1" applyProtection="1">
      <alignment horizontal="center" vertical="center"/>
    </xf>
    <xf numFmtId="43" fontId="12" fillId="0" borderId="25" xfId="1" applyFont="1" applyBorder="1" applyAlignment="1" applyProtection="1">
      <alignment vertical="center"/>
    </xf>
    <xf numFmtId="0" fontId="12" fillId="0" borderId="21" xfId="0" applyFont="1" applyBorder="1" applyAlignment="1" applyProtection="1">
      <alignment horizontal="justify" vertical="center"/>
    </xf>
    <xf numFmtId="43" fontId="12" fillId="0" borderId="25" xfId="1" applyFont="1" applyBorder="1" applyAlignment="1" applyProtection="1">
      <alignment horizontal="right" vertical="center"/>
    </xf>
    <xf numFmtId="171" fontId="12" fillId="0" borderId="21" xfId="0" applyNumberFormat="1" applyFont="1" applyBorder="1" applyAlignment="1" applyProtection="1">
      <alignment vertical="center"/>
    </xf>
    <xf numFmtId="0" fontId="12" fillId="7" borderId="21" xfId="0" applyFont="1" applyFill="1" applyBorder="1" applyAlignment="1" applyProtection="1">
      <alignment horizontal="justify" vertical="center"/>
    </xf>
    <xf numFmtId="0" fontId="12" fillId="0" borderId="21" xfId="0" applyFont="1" applyBorder="1" applyAlignment="1" applyProtection="1">
      <alignment horizontal="center" vertical="center"/>
    </xf>
    <xf numFmtId="43" fontId="12" fillId="0" borderId="21" xfId="1" applyFont="1" applyBorder="1" applyAlignment="1" applyProtection="1">
      <alignment vertical="center"/>
    </xf>
    <xf numFmtId="166" fontId="12" fillId="0" borderId="21" xfId="0" applyNumberFormat="1" applyFont="1" applyBorder="1" applyAlignment="1" applyProtection="1">
      <alignment horizontal="center" vertical="center"/>
    </xf>
    <xf numFmtId="0" fontId="12" fillId="0" borderId="23" xfId="0" applyFont="1" applyBorder="1" applyAlignment="1" applyProtection="1">
      <alignment horizontal="left" vertical="center"/>
    </xf>
    <xf numFmtId="0" fontId="12" fillId="0" borderId="0" xfId="0" applyFont="1" applyAlignment="1" applyProtection="1">
      <alignment vertical="center"/>
    </xf>
    <xf numFmtId="0" fontId="3" fillId="0" borderId="0" xfId="0" applyFont="1" applyAlignment="1" applyProtection="1">
      <alignment horizontal="center"/>
    </xf>
    <xf numFmtId="3" fontId="3" fillId="0" borderId="0" xfId="0" applyNumberFormat="1" applyFont="1" applyProtection="1"/>
    <xf numFmtId="171" fontId="3" fillId="0" borderId="0" xfId="0" applyNumberFormat="1" applyFont="1" applyProtection="1"/>
    <xf numFmtId="43" fontId="3" fillId="0" borderId="0" xfId="0" applyNumberFormat="1" applyFont="1" applyProtection="1"/>
    <xf numFmtId="0" fontId="3" fillId="0" borderId="0" xfId="0" applyFont="1" applyBorder="1" applyAlignment="1" applyProtection="1">
      <alignment horizontal="center"/>
    </xf>
    <xf numFmtId="0" fontId="3" fillId="0" borderId="0" xfId="0" applyFont="1" applyBorder="1" applyProtection="1"/>
    <xf numFmtId="0" fontId="35" fillId="0" borderId="0" xfId="0" applyFont="1" applyBorder="1" applyAlignment="1" applyProtection="1">
      <alignment horizontal="center"/>
    </xf>
    <xf numFmtId="0" fontId="35" fillId="0" borderId="0" xfId="0" applyFont="1" applyBorder="1" applyProtection="1"/>
    <xf numFmtId="0" fontId="2" fillId="0" borderId="0" xfId="0" applyFont="1" applyBorder="1" applyAlignment="1" applyProtection="1">
      <alignment horizontal="left"/>
    </xf>
    <xf numFmtId="0" fontId="2" fillId="0" borderId="0" xfId="0" applyFont="1" applyBorder="1" applyProtection="1"/>
    <xf numFmtId="0" fontId="2" fillId="0" borderId="0" xfId="0" applyFont="1" applyBorder="1" applyAlignment="1" applyProtection="1">
      <alignment horizontal="center"/>
    </xf>
    <xf numFmtId="0" fontId="36" fillId="0" borderId="0" xfId="0" applyFont="1" applyFill="1" applyProtection="1"/>
    <xf numFmtId="0" fontId="37" fillId="0" borderId="0" xfId="0" applyFont="1" applyFill="1" applyProtection="1"/>
    <xf numFmtId="0" fontId="38" fillId="0" borderId="0" xfId="0" applyFont="1" applyFill="1" applyProtection="1"/>
    <xf numFmtId="0" fontId="39" fillId="0" borderId="0" xfId="0" applyFont="1" applyFill="1" applyProtection="1"/>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3" fillId="0" borderId="7" xfId="0" applyFont="1" applyBorder="1"/>
    <xf numFmtId="0" fontId="3" fillId="0" borderId="8" xfId="0" applyFont="1" applyBorder="1"/>
    <xf numFmtId="0" fontId="3" fillId="0" borderId="14" xfId="0" applyFont="1" applyBorder="1"/>
    <xf numFmtId="0" fontId="3" fillId="0" borderId="15" xfId="0" applyFont="1" applyBorder="1"/>
    <xf numFmtId="43" fontId="2" fillId="10" borderId="4" xfId="1" applyFont="1" applyFill="1" applyBorder="1" applyAlignment="1">
      <alignment vertical="center" wrapText="1"/>
    </xf>
    <xf numFmtId="43" fontId="3" fillId="0" borderId="6" xfId="1" applyFont="1" applyBorder="1" applyAlignment="1">
      <alignment horizontal="center" vertical="center" wrapText="1"/>
    </xf>
    <xf numFmtId="43" fontId="2" fillId="0" borderId="25" xfId="1" applyFont="1" applyBorder="1" applyAlignment="1">
      <alignment vertical="center"/>
    </xf>
    <xf numFmtId="0" fontId="2" fillId="0" borderId="25" xfId="0" applyFont="1" applyBorder="1" applyAlignment="1">
      <alignment vertical="center"/>
    </xf>
    <xf numFmtId="0" fontId="2" fillId="0" borderId="23" xfId="0" applyFont="1" applyBorder="1" applyAlignment="1">
      <alignment horizontal="justify" vertical="center"/>
    </xf>
    <xf numFmtId="171" fontId="2" fillId="0" borderId="20" xfId="0" applyNumberFormat="1" applyFont="1" applyBorder="1" applyAlignment="1">
      <alignment vertical="center"/>
    </xf>
    <xf numFmtId="0" fontId="2" fillId="7" borderId="21" xfId="0" applyFont="1" applyFill="1" applyBorder="1" applyAlignment="1">
      <alignment horizontal="justify" vertical="center"/>
    </xf>
    <xf numFmtId="0" fontId="2" fillId="0" borderId="26" xfId="0" applyFont="1" applyBorder="1" applyAlignment="1">
      <alignment horizontal="center" vertical="center"/>
    </xf>
    <xf numFmtId="43" fontId="2" fillId="0" borderId="22" xfId="1" applyFont="1" applyBorder="1" applyAlignment="1">
      <alignment vertical="center"/>
    </xf>
    <xf numFmtId="10" fontId="2" fillId="0" borderId="22" xfId="0" applyNumberFormat="1" applyFont="1" applyBorder="1" applyAlignment="1">
      <alignment horizontal="center" vertical="center"/>
    </xf>
    <xf numFmtId="0" fontId="2" fillId="0" borderId="22" xfId="0" applyFont="1" applyBorder="1" applyAlignment="1">
      <alignment vertical="center"/>
    </xf>
    <xf numFmtId="0" fontId="2" fillId="0" borderId="22" xfId="0" applyFont="1" applyBorder="1" applyAlignment="1">
      <alignment horizontal="right" vertical="center"/>
    </xf>
    <xf numFmtId="166" fontId="2" fillId="0" borderId="22" xfId="0" applyNumberFormat="1" applyFont="1" applyBorder="1" applyAlignment="1">
      <alignment horizontal="center" vertical="center"/>
    </xf>
    <xf numFmtId="0" fontId="2" fillId="0" borderId="27" xfId="0" applyFont="1" applyBorder="1" applyAlignment="1">
      <alignment horizontal="left" vertical="center"/>
    </xf>
    <xf numFmtId="43" fontId="3" fillId="0" borderId="0" xfId="1" applyFont="1"/>
    <xf numFmtId="0" fontId="9" fillId="10" borderId="61" xfId="26" applyFont="1" applyFill="1" applyBorder="1" applyAlignment="1">
      <alignment horizontal="center" vertical="center" wrapText="1"/>
    </xf>
    <xf numFmtId="0" fontId="9" fillId="10" borderId="4" xfId="26" applyFont="1" applyFill="1" applyBorder="1" applyAlignment="1">
      <alignment vertical="center"/>
    </xf>
    <xf numFmtId="0" fontId="9" fillId="10" borderId="4" xfId="26" applyFont="1" applyFill="1" applyBorder="1" applyAlignment="1">
      <alignment horizontal="justify" vertical="center"/>
    </xf>
    <xf numFmtId="0" fontId="10" fillId="10" borderId="4" xfId="26" applyFont="1" applyFill="1" applyBorder="1" applyAlignment="1">
      <alignment vertical="center"/>
    </xf>
    <xf numFmtId="168" fontId="10" fillId="10" borderId="4" xfId="27" applyNumberFormat="1" applyFont="1" applyFill="1" applyBorder="1" applyAlignment="1">
      <alignment vertical="center"/>
    </xf>
    <xf numFmtId="0" fontId="9" fillId="10" borderId="4" xfId="26" applyFont="1" applyFill="1" applyBorder="1" applyAlignment="1">
      <alignment horizontal="center" vertical="center"/>
    </xf>
    <xf numFmtId="0" fontId="9" fillId="10" borderId="4" xfId="11" applyNumberFormat="1" applyFont="1" applyFill="1" applyBorder="1" applyAlignment="1">
      <alignment vertical="center"/>
    </xf>
    <xf numFmtId="173" fontId="9" fillId="10" borderId="4" xfId="11" applyNumberFormat="1" applyFont="1" applyFill="1" applyBorder="1" applyAlignment="1">
      <alignment vertical="center"/>
    </xf>
    <xf numFmtId="0" fontId="9" fillId="10" borderId="4" xfId="11" applyNumberFormat="1" applyFont="1" applyFill="1" applyBorder="1" applyAlignment="1">
      <alignment horizontal="center" vertical="center"/>
    </xf>
    <xf numFmtId="173" fontId="9" fillId="10" borderId="4" xfId="28" applyNumberFormat="1" applyFont="1" applyFill="1" applyBorder="1" applyAlignment="1">
      <alignment vertical="center"/>
    </xf>
    <xf numFmtId="0" fontId="9" fillId="10" borderId="39" xfId="26" applyFont="1" applyFill="1" applyBorder="1" applyAlignment="1">
      <alignment vertical="center"/>
    </xf>
    <xf numFmtId="0" fontId="10" fillId="0" borderId="0" xfId="26" applyFont="1"/>
    <xf numFmtId="0" fontId="3" fillId="7" borderId="9" xfId="0" applyFont="1" applyFill="1" applyBorder="1" applyAlignment="1">
      <alignment vertical="center" wrapText="1"/>
    </xf>
    <xf numFmtId="0" fontId="9" fillId="11" borderId="9" xfId="26" applyFont="1" applyFill="1" applyBorder="1" applyAlignment="1">
      <alignment horizontal="center" vertical="center"/>
    </xf>
    <xf numFmtId="0" fontId="9" fillId="11" borderId="9" xfId="26" applyFont="1" applyFill="1" applyBorder="1" applyAlignment="1">
      <alignment vertical="center"/>
    </xf>
    <xf numFmtId="0" fontId="9" fillId="11" borderId="4" xfId="26" applyFont="1" applyFill="1" applyBorder="1" applyAlignment="1">
      <alignment vertical="center"/>
    </xf>
    <xf numFmtId="0" fontId="3" fillId="7" borderId="0" xfId="0" applyFont="1" applyFill="1" applyBorder="1" applyAlignment="1">
      <alignment vertical="center" wrapText="1"/>
    </xf>
    <xf numFmtId="0" fontId="3" fillId="7" borderId="1" xfId="0" applyFont="1" applyFill="1" applyBorder="1" applyAlignment="1">
      <alignment vertical="center" wrapText="1"/>
    </xf>
    <xf numFmtId="0" fontId="9" fillId="15" borderId="4" xfId="26" applyFont="1" applyFill="1" applyBorder="1" applyAlignment="1">
      <alignment horizontal="center" vertical="center" wrapText="1"/>
    </xf>
    <xf numFmtId="0" fontId="9" fillId="15" borderId="4" xfId="26" applyFont="1" applyFill="1" applyBorder="1" applyAlignment="1">
      <alignment vertical="center"/>
    </xf>
    <xf numFmtId="0" fontId="2" fillId="15" borderId="4" xfId="0" applyFont="1" applyFill="1" applyBorder="1" applyAlignment="1">
      <alignment horizontal="justify" vertical="center" wrapText="1"/>
    </xf>
    <xf numFmtId="0" fontId="10" fillId="7" borderId="16" xfId="26" applyFont="1" applyFill="1" applyBorder="1" applyAlignment="1">
      <alignment vertical="center" wrapText="1"/>
    </xf>
    <xf numFmtId="0" fontId="10" fillId="7" borderId="0" xfId="26" applyFont="1" applyFill="1" applyBorder="1" applyAlignment="1">
      <alignment vertical="center" wrapText="1"/>
    </xf>
    <xf numFmtId="0" fontId="10" fillId="7" borderId="17" xfId="26" applyFont="1" applyFill="1" applyBorder="1" applyAlignment="1">
      <alignment vertical="center" wrapText="1"/>
    </xf>
    <xf numFmtId="0" fontId="10" fillId="7" borderId="0" xfId="26" applyFont="1" applyFill="1" applyAlignment="1">
      <alignment vertical="center" wrapText="1"/>
    </xf>
    <xf numFmtId="0" fontId="10" fillId="7" borderId="7" xfId="26" applyFont="1" applyFill="1" applyBorder="1" applyAlignment="1">
      <alignment vertical="center" wrapText="1"/>
    </xf>
    <xf numFmtId="0" fontId="10" fillId="7" borderId="9" xfId="26" applyFont="1" applyFill="1" applyBorder="1" applyAlignment="1">
      <alignment vertical="center" wrapText="1"/>
    </xf>
    <xf numFmtId="0" fontId="10" fillId="7" borderId="8" xfId="26" applyFont="1" applyFill="1" applyBorder="1" applyAlignment="1">
      <alignment vertical="center" wrapText="1"/>
    </xf>
    <xf numFmtId="49" fontId="10" fillId="0" borderId="1" xfId="29" applyNumberFormat="1" applyFont="1" applyFill="1" applyBorder="1" applyAlignment="1">
      <alignment horizontal="justify" vertical="center" wrapText="1"/>
    </xf>
    <xf numFmtId="1" fontId="10" fillId="7" borderId="1" xfId="26" applyNumberFormat="1" applyFont="1" applyFill="1" applyBorder="1" applyAlignment="1">
      <alignment horizontal="center" vertical="center" wrapText="1"/>
    </xf>
    <xf numFmtId="0" fontId="3" fillId="7" borderId="6" xfId="26" applyFont="1" applyFill="1" applyBorder="1" applyAlignment="1">
      <alignment horizontal="center" vertical="center" wrapText="1"/>
    </xf>
    <xf numFmtId="0" fontId="10" fillId="7" borderId="2" xfId="26" applyFont="1" applyFill="1" applyBorder="1" applyAlignment="1">
      <alignment vertical="center" wrapText="1"/>
    </xf>
    <xf numFmtId="0" fontId="10" fillId="7" borderId="15" xfId="26" applyFont="1" applyFill="1" applyBorder="1" applyAlignment="1">
      <alignment vertical="center" wrapText="1"/>
    </xf>
    <xf numFmtId="0" fontId="10" fillId="7" borderId="14" xfId="26" applyFont="1" applyFill="1" applyBorder="1" applyAlignment="1">
      <alignment vertical="center" wrapText="1"/>
    </xf>
    <xf numFmtId="0" fontId="9" fillId="0" borderId="16" xfId="26" applyFont="1" applyBorder="1" applyAlignment="1">
      <alignment vertical="center" wrapText="1"/>
    </xf>
    <xf numFmtId="0" fontId="10" fillId="0" borderId="0" xfId="26" applyFont="1" applyBorder="1"/>
    <xf numFmtId="0" fontId="10" fillId="0" borderId="17" xfId="26" applyFont="1" applyBorder="1"/>
    <xf numFmtId="0" fontId="9" fillId="11" borderId="4" xfId="26" applyFont="1" applyFill="1" applyBorder="1" applyAlignment="1">
      <alignment horizontal="justify" vertical="center" wrapText="1"/>
    </xf>
    <xf numFmtId="0" fontId="9" fillId="11" borderId="5" xfId="26" applyFont="1" applyFill="1" applyBorder="1" applyAlignment="1">
      <alignment vertical="center"/>
    </xf>
    <xf numFmtId="0" fontId="9" fillId="11" borderId="3" xfId="26" applyFont="1" applyFill="1" applyBorder="1" applyAlignment="1">
      <alignment vertical="center"/>
    </xf>
    <xf numFmtId="0" fontId="9" fillId="11" borderId="4" xfId="26" applyFont="1" applyFill="1" applyBorder="1" applyAlignment="1">
      <alignment horizontal="justify" vertical="center"/>
    </xf>
    <xf numFmtId="0" fontId="10" fillId="11" borderId="4" xfId="26" applyFont="1" applyFill="1" applyBorder="1" applyAlignment="1">
      <alignment vertical="center"/>
    </xf>
    <xf numFmtId="0" fontId="10" fillId="11" borderId="4" xfId="26" applyFont="1" applyFill="1" applyBorder="1" applyAlignment="1">
      <alignment horizontal="center" vertical="center"/>
    </xf>
    <xf numFmtId="43" fontId="9" fillId="11" borderId="4" xfId="11" applyFont="1" applyFill="1" applyBorder="1" applyAlignment="1">
      <alignment horizontal="center" vertical="center"/>
    </xf>
    <xf numFmtId="43" fontId="10" fillId="11" borderId="4" xfId="11" applyFont="1" applyFill="1" applyBorder="1" applyAlignment="1">
      <alignment vertical="center"/>
    </xf>
    <xf numFmtId="0" fontId="9" fillId="11" borderId="4" xfId="26" applyFont="1" applyFill="1" applyBorder="1" applyAlignment="1">
      <alignment horizontal="center" vertical="center"/>
    </xf>
    <xf numFmtId="0" fontId="9" fillId="0" borderId="0" xfId="26" applyFont="1" applyBorder="1" applyAlignment="1">
      <alignment vertical="center" wrapText="1"/>
    </xf>
    <xf numFmtId="0" fontId="9" fillId="0" borderId="17" xfId="26" applyFont="1" applyBorder="1" applyAlignment="1">
      <alignment vertical="center" wrapText="1"/>
    </xf>
    <xf numFmtId="0" fontId="9" fillId="0" borderId="9" xfId="26" applyFont="1" applyBorder="1" applyAlignment="1">
      <alignment vertical="center" wrapText="1"/>
    </xf>
    <xf numFmtId="0" fontId="9" fillId="0" borderId="8" xfId="26" applyFont="1" applyBorder="1" applyAlignment="1">
      <alignment vertical="center" wrapText="1"/>
    </xf>
    <xf numFmtId="0" fontId="9" fillId="15" borderId="3" xfId="26" applyFont="1" applyFill="1" applyBorder="1" applyAlignment="1">
      <alignment horizontal="justify" vertical="center" wrapText="1"/>
    </xf>
    <xf numFmtId="0" fontId="9" fillId="15" borderId="4" xfId="26" applyFont="1" applyFill="1" applyBorder="1" applyAlignment="1">
      <alignment horizontal="justify" vertical="center"/>
    </xf>
    <xf numFmtId="0" fontId="10" fillId="15" borderId="4" xfId="26" applyFont="1" applyFill="1" applyBorder="1" applyAlignment="1">
      <alignment vertical="center"/>
    </xf>
    <xf numFmtId="0" fontId="10" fillId="15" borderId="4" xfId="26" applyFont="1" applyFill="1" applyBorder="1" applyAlignment="1">
      <alignment horizontal="center" vertical="center"/>
    </xf>
    <xf numFmtId="43" fontId="9" fillId="15" borderId="4" xfId="11" applyFont="1" applyFill="1" applyBorder="1" applyAlignment="1">
      <alignment horizontal="center" vertical="center"/>
    </xf>
    <xf numFmtId="43" fontId="10" fillId="15" borderId="4" xfId="11" applyFont="1" applyFill="1" applyBorder="1" applyAlignment="1">
      <alignment vertical="center"/>
    </xf>
    <xf numFmtId="43" fontId="9" fillId="15" borderId="4" xfId="1" applyFont="1" applyFill="1" applyBorder="1" applyAlignment="1">
      <alignment horizontal="center" vertical="center"/>
    </xf>
    <xf numFmtId="0" fontId="9" fillId="15" borderId="4" xfId="26" applyFont="1" applyFill="1" applyBorder="1" applyAlignment="1">
      <alignment horizontal="center" vertical="center"/>
    </xf>
    <xf numFmtId="43" fontId="9" fillId="15" borderId="4" xfId="1" applyFont="1" applyFill="1" applyBorder="1" applyAlignment="1">
      <alignment vertical="center"/>
    </xf>
    <xf numFmtId="0" fontId="10" fillId="0" borderId="6" xfId="26" applyFont="1" applyFill="1" applyBorder="1" applyAlignment="1">
      <alignment horizontal="center" vertical="center" wrapText="1"/>
    </xf>
    <xf numFmtId="0" fontId="10" fillId="7" borderId="6" xfId="26" applyFont="1" applyFill="1" applyBorder="1" applyAlignment="1">
      <alignment horizontal="justify" vertical="center" wrapText="1"/>
    </xf>
    <xf numFmtId="0" fontId="10" fillId="7" borderId="6" xfId="26" applyFont="1" applyFill="1" applyBorder="1" applyAlignment="1">
      <alignment horizontal="center" vertical="center" wrapText="1"/>
    </xf>
    <xf numFmtId="9" fontId="10" fillId="21" borderId="6" xfId="13" applyFont="1" applyFill="1" applyBorder="1" applyAlignment="1">
      <alignment horizontal="center" vertical="center" wrapText="1"/>
    </xf>
    <xf numFmtId="0" fontId="3" fillId="7" borderId="2" xfId="0" applyFont="1" applyFill="1" applyBorder="1" applyAlignment="1">
      <alignment vertical="center" wrapText="1"/>
    </xf>
    <xf numFmtId="0" fontId="3" fillId="7" borderId="15" xfId="0" applyFont="1" applyFill="1" applyBorder="1" applyAlignment="1">
      <alignment vertical="center" wrapText="1"/>
    </xf>
    <xf numFmtId="0" fontId="3" fillId="7" borderId="5" xfId="0" applyFont="1" applyFill="1" applyBorder="1" applyAlignment="1">
      <alignment vertical="center" wrapText="1"/>
    </xf>
    <xf numFmtId="0" fontId="10" fillId="15" borderId="4" xfId="26" applyFont="1" applyFill="1" applyBorder="1" applyAlignment="1">
      <alignment horizontal="justify" vertical="center"/>
    </xf>
    <xf numFmtId="43" fontId="9" fillId="15" borderId="4" xfId="1" applyFont="1" applyFill="1" applyBorder="1" applyAlignment="1">
      <alignment horizontal="justify" vertical="center"/>
    </xf>
    <xf numFmtId="0" fontId="3" fillId="7" borderId="4" xfId="0" applyFont="1" applyFill="1" applyBorder="1" applyAlignment="1">
      <alignment vertical="center" wrapText="1"/>
    </xf>
    <xf numFmtId="0" fontId="9" fillId="7" borderId="9" xfId="26" applyFont="1" applyFill="1" applyBorder="1" applyAlignment="1">
      <alignment vertical="center" wrapText="1"/>
    </xf>
    <xf numFmtId="0" fontId="9" fillId="7" borderId="8" xfId="26" applyFont="1" applyFill="1" applyBorder="1" applyAlignment="1">
      <alignment vertical="center" wrapText="1"/>
    </xf>
    <xf numFmtId="43" fontId="10" fillId="0" borderId="3" xfId="1" applyFont="1" applyFill="1" applyBorder="1" applyAlignment="1">
      <alignment horizontal="center" vertical="center" wrapText="1"/>
    </xf>
    <xf numFmtId="0" fontId="9" fillId="7" borderId="0" xfId="26" applyFont="1" applyFill="1" applyBorder="1" applyAlignment="1">
      <alignment vertical="center" wrapText="1"/>
    </xf>
    <xf numFmtId="0" fontId="9" fillId="7" borderId="17" xfId="26" applyFont="1" applyFill="1" applyBorder="1" applyAlignment="1">
      <alignment vertical="center" wrapText="1"/>
    </xf>
    <xf numFmtId="0" fontId="9" fillId="7" borderId="2" xfId="26" applyFont="1" applyFill="1" applyBorder="1" applyAlignment="1">
      <alignment vertical="center" wrapText="1"/>
    </xf>
    <xf numFmtId="0" fontId="9" fillId="7" borderId="15" xfId="26" applyFont="1" applyFill="1" applyBorder="1" applyAlignment="1">
      <alignment vertical="center" wrapText="1"/>
    </xf>
    <xf numFmtId="0" fontId="9" fillId="15" borderId="4" xfId="26" applyFont="1" applyFill="1" applyBorder="1" applyAlignment="1">
      <alignment horizontal="justify" vertical="center" wrapText="1"/>
    </xf>
    <xf numFmtId="43" fontId="10" fillId="15" borderId="4" xfId="1" applyFont="1" applyFill="1" applyBorder="1" applyAlignment="1">
      <alignment vertical="center"/>
    </xf>
    <xf numFmtId="0" fontId="9" fillId="15" borderId="5" xfId="26" applyFont="1" applyFill="1" applyBorder="1" applyAlignment="1">
      <alignment vertical="center"/>
    </xf>
    <xf numFmtId="0" fontId="10" fillId="7" borderId="1" xfId="26" applyFont="1" applyFill="1" applyBorder="1" applyAlignment="1">
      <alignment horizontal="justify" vertical="center" wrapText="1"/>
    </xf>
    <xf numFmtId="43" fontId="10" fillId="7" borderId="3" xfId="1" applyFont="1" applyFill="1" applyBorder="1" applyAlignment="1">
      <alignment horizontal="center" vertical="center" wrapText="1"/>
    </xf>
    <xf numFmtId="0" fontId="10" fillId="7" borderId="1" xfId="26" applyFont="1" applyFill="1" applyBorder="1" applyAlignment="1">
      <alignment horizontal="center" vertical="center" wrapText="1"/>
    </xf>
    <xf numFmtId="49" fontId="10" fillId="0" borderId="1" xfId="29" applyNumberFormat="1" applyFont="1" applyFill="1" applyBorder="1" applyAlignment="1">
      <alignment horizontal="justify" vertical="top" wrapText="1"/>
    </xf>
    <xf numFmtId="0" fontId="9" fillId="15" borderId="9" xfId="26" applyFont="1" applyFill="1" applyBorder="1" applyAlignment="1">
      <alignment horizontal="justify" vertical="center" wrapText="1"/>
    </xf>
    <xf numFmtId="0" fontId="9" fillId="15" borderId="9" xfId="26" applyFont="1" applyFill="1" applyBorder="1" applyAlignment="1">
      <alignment vertical="center"/>
    </xf>
    <xf numFmtId="0" fontId="9" fillId="15" borderId="5" xfId="26" applyFont="1" applyFill="1" applyBorder="1" applyAlignment="1">
      <alignment horizontal="center"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3" fillId="0" borderId="16" xfId="0" applyFont="1" applyBorder="1"/>
    <xf numFmtId="0" fontId="10" fillId="0" borderId="18" xfId="26" applyFont="1" applyFill="1" applyBorder="1" applyAlignment="1">
      <alignment horizontal="justify" vertical="center" wrapText="1"/>
    </xf>
    <xf numFmtId="0" fontId="10" fillId="0" borderId="1" xfId="26" applyFont="1" applyFill="1" applyBorder="1" applyAlignment="1">
      <alignment horizontal="justify" vertical="center" wrapText="1"/>
    </xf>
    <xf numFmtId="0" fontId="10" fillId="0" borderId="0" xfId="26" applyFont="1" applyFill="1" applyBorder="1" applyAlignment="1">
      <alignment vertical="center" wrapText="1"/>
    </xf>
    <xf numFmtId="0" fontId="10" fillId="0" borderId="17" xfId="26" applyFont="1" applyFill="1" applyBorder="1" applyAlignment="1">
      <alignment vertical="center" wrapText="1"/>
    </xf>
    <xf numFmtId="0" fontId="10" fillId="0" borderId="1" xfId="26" applyFont="1" applyFill="1" applyBorder="1" applyAlignment="1">
      <alignment horizontal="center" vertical="center"/>
    </xf>
    <xf numFmtId="0" fontId="10" fillId="0" borderId="1" xfId="26" applyFont="1" applyFill="1" applyBorder="1" applyAlignment="1">
      <alignment horizontal="center" vertical="center" wrapText="1"/>
    </xf>
    <xf numFmtId="1" fontId="10" fillId="0" borderId="1" xfId="26" applyNumberFormat="1" applyFont="1" applyFill="1" applyBorder="1" applyAlignment="1">
      <alignment horizontal="center" vertical="center" wrapText="1"/>
    </xf>
    <xf numFmtId="0" fontId="10" fillId="0" borderId="0" xfId="26" applyFont="1" applyBorder="1" applyAlignment="1">
      <alignment vertical="center" wrapText="1"/>
    </xf>
    <xf numFmtId="0" fontId="10" fillId="0" borderId="17" xfId="26" applyFont="1" applyBorder="1" applyAlignment="1">
      <alignment vertical="center" wrapText="1"/>
    </xf>
    <xf numFmtId="1" fontId="10" fillId="0" borderId="1" xfId="26" applyNumberFormat="1" applyFont="1" applyBorder="1" applyAlignment="1">
      <alignment horizontal="center" vertical="center" wrapText="1"/>
    </xf>
    <xf numFmtId="0" fontId="10" fillId="0" borderId="1" xfId="26" applyFont="1" applyBorder="1" applyAlignment="1">
      <alignment horizontal="center" vertical="center" wrapText="1"/>
    </xf>
    <xf numFmtId="0" fontId="10" fillId="7" borderId="13" xfId="26" applyFont="1" applyFill="1" applyBorder="1" applyAlignment="1">
      <alignment horizontal="justify" vertical="center" wrapText="1"/>
    </xf>
    <xf numFmtId="0" fontId="10" fillId="0" borderId="13" xfId="26" applyFont="1" applyBorder="1" applyAlignment="1">
      <alignment horizontal="justify" vertical="center" wrapText="1"/>
    </xf>
    <xf numFmtId="0" fontId="10" fillId="0" borderId="6" xfId="26" applyFont="1" applyBorder="1" applyAlignment="1">
      <alignment horizontal="center" vertical="center" wrapText="1"/>
    </xf>
    <xf numFmtId="43" fontId="10" fillId="0" borderId="14" xfId="1" applyFont="1" applyFill="1" applyBorder="1" applyAlignment="1">
      <alignment horizontal="center" vertical="center" wrapText="1"/>
    </xf>
    <xf numFmtId="0" fontId="10" fillId="0" borderId="13" xfId="26" applyFont="1" applyBorder="1" applyAlignment="1">
      <alignment horizontal="center" vertical="center" wrapText="1"/>
    </xf>
    <xf numFmtId="0" fontId="10" fillId="0" borderId="6" xfId="26" applyFont="1" applyFill="1" applyBorder="1" applyAlignment="1">
      <alignment horizontal="justify" vertical="center" wrapText="1"/>
    </xf>
    <xf numFmtId="9" fontId="3" fillId="0" borderId="1" xfId="4" applyFont="1" applyBorder="1" applyAlignment="1">
      <alignment horizontal="center" vertical="center"/>
    </xf>
    <xf numFmtId="0" fontId="9" fillId="15" borderId="4" xfId="26" applyFont="1" applyFill="1" applyBorder="1" applyAlignment="1">
      <alignment vertical="center" wrapText="1"/>
    </xf>
    <xf numFmtId="166" fontId="9" fillId="15" borderId="4" xfId="26" applyNumberFormat="1" applyFont="1" applyFill="1" applyBorder="1" applyAlignment="1">
      <alignment vertical="center"/>
    </xf>
    <xf numFmtId="0" fontId="9" fillId="0" borderId="16" xfId="26" applyFont="1" applyFill="1" applyBorder="1" applyAlignment="1">
      <alignment vertical="center"/>
    </xf>
    <xf numFmtId="0" fontId="10" fillId="7" borderId="18" xfId="26" applyFont="1" applyFill="1" applyBorder="1" applyAlignment="1">
      <alignment horizontal="center" vertical="center" wrapText="1"/>
    </xf>
    <xf numFmtId="0" fontId="3" fillId="0" borderId="18" xfId="0" applyFont="1" applyBorder="1" applyAlignment="1">
      <alignment horizontal="center" vertical="center"/>
    </xf>
    <xf numFmtId="166" fontId="9" fillId="15" borderId="4" xfId="26" applyNumberFormat="1" applyFont="1" applyFill="1" applyBorder="1" applyAlignment="1">
      <alignment horizontal="justify" vertical="center"/>
    </xf>
    <xf numFmtId="0" fontId="9" fillId="15" borderId="5" xfId="26" applyFont="1" applyFill="1" applyBorder="1" applyAlignment="1">
      <alignment horizontal="justify" vertical="center"/>
    </xf>
    <xf numFmtId="0" fontId="9" fillId="11" borderId="2" xfId="26" applyFont="1" applyFill="1" applyBorder="1" applyAlignment="1">
      <alignment vertical="center"/>
    </xf>
    <xf numFmtId="0" fontId="9" fillId="11" borderId="2" xfId="26" applyFont="1" applyFill="1" applyBorder="1" applyAlignment="1">
      <alignment horizontal="justify" vertical="center"/>
    </xf>
    <xf numFmtId="0" fontId="10" fillId="11" borderId="2" xfId="26" applyFont="1" applyFill="1" applyBorder="1" applyAlignment="1">
      <alignment vertical="center"/>
    </xf>
    <xf numFmtId="0" fontId="10" fillId="11" borderId="2" xfId="26" applyFont="1" applyFill="1" applyBorder="1" applyAlignment="1">
      <alignment horizontal="center" vertical="center"/>
    </xf>
    <xf numFmtId="43" fontId="9" fillId="11" borderId="2" xfId="11" applyFont="1" applyFill="1" applyBorder="1" applyAlignment="1">
      <alignment horizontal="center" vertical="center"/>
    </xf>
    <xf numFmtId="43" fontId="10" fillId="11" borderId="2" xfId="11" applyFont="1" applyFill="1" applyBorder="1" applyAlignment="1">
      <alignment vertical="center"/>
    </xf>
    <xf numFmtId="0" fontId="9" fillId="11" borderId="2" xfId="26" applyFont="1" applyFill="1" applyBorder="1" applyAlignment="1">
      <alignment horizontal="center" vertical="center"/>
    </xf>
    <xf numFmtId="43" fontId="9" fillId="11" borderId="2" xfId="1" applyFont="1" applyFill="1" applyBorder="1" applyAlignment="1">
      <alignment horizontal="justify" vertical="center"/>
    </xf>
    <xf numFmtId="166" fontId="9" fillId="11" borderId="2" xfId="26" applyNumberFormat="1" applyFont="1" applyFill="1" applyBorder="1" applyAlignment="1">
      <alignment horizontal="justify" vertical="center"/>
    </xf>
    <xf numFmtId="0" fontId="9" fillId="11" borderId="2" xfId="26" applyFont="1" applyFill="1" applyBorder="1" applyAlignment="1">
      <alignment horizontal="justify" vertical="center" wrapText="1"/>
    </xf>
    <xf numFmtId="0" fontId="9" fillId="11" borderId="5" xfId="26" applyFont="1" applyFill="1" applyBorder="1" applyAlignment="1">
      <alignment horizontal="justify" vertical="center"/>
    </xf>
    <xf numFmtId="0" fontId="9" fillId="15" borderId="2" xfId="26" applyFont="1" applyFill="1" applyBorder="1" applyAlignment="1">
      <alignment vertical="center"/>
    </xf>
    <xf numFmtId="0" fontId="10" fillId="0" borderId="1" xfId="26" quotePrefix="1" applyFont="1" applyFill="1" applyBorder="1" applyAlignment="1">
      <alignment horizontal="justify" vertical="center" wrapText="1"/>
    </xf>
    <xf numFmtId="1" fontId="10" fillId="0" borderId="1" xfId="26" quotePrefix="1" applyNumberFormat="1" applyFont="1" applyFill="1" applyBorder="1" applyAlignment="1">
      <alignment horizontal="center" vertical="center" wrapText="1"/>
    </xf>
    <xf numFmtId="0" fontId="10" fillId="0" borderId="3" xfId="26" applyFont="1" applyFill="1" applyBorder="1" applyAlignment="1">
      <alignment horizontal="center" vertical="center" wrapText="1"/>
    </xf>
    <xf numFmtId="1" fontId="10" fillId="0" borderId="6" xfId="26" quotePrefix="1" applyNumberFormat="1" applyFont="1" applyFill="1" applyBorder="1" applyAlignment="1">
      <alignment horizontal="center" vertical="center" wrapText="1"/>
    </xf>
    <xf numFmtId="0" fontId="3" fillId="0" borderId="5" xfId="0" applyFont="1" applyBorder="1" applyAlignment="1">
      <alignment horizontal="center" vertical="center"/>
    </xf>
    <xf numFmtId="166" fontId="3" fillId="0" borderId="1" xfId="0" applyNumberFormat="1" applyFont="1" applyBorder="1" applyAlignment="1">
      <alignment vertical="center"/>
    </xf>
    <xf numFmtId="14" fontId="3" fillId="0" borderId="1" xfId="0" applyNumberFormat="1" applyFont="1" applyBorder="1" applyAlignment="1">
      <alignment vertical="center" wrapText="1"/>
    </xf>
    <xf numFmtId="0" fontId="3" fillId="0" borderId="1" xfId="0" applyFont="1" applyBorder="1" applyAlignment="1">
      <alignment vertical="center" wrapText="1"/>
    </xf>
    <xf numFmtId="0" fontId="10" fillId="0" borderId="4" xfId="26" applyFont="1" applyFill="1" applyBorder="1" applyAlignment="1">
      <alignment horizontal="center" vertical="center" wrapText="1"/>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166" fontId="3" fillId="0" borderId="4" xfId="0" applyNumberFormat="1" applyFont="1" applyBorder="1" applyAlignment="1">
      <alignment vertical="center"/>
    </xf>
    <xf numFmtId="14" fontId="3" fillId="0" borderId="4" xfId="0" applyNumberFormat="1" applyFont="1" applyBorder="1" applyAlignment="1">
      <alignment vertical="center" wrapText="1"/>
    </xf>
    <xf numFmtId="0" fontId="3" fillId="0" borderId="5" xfId="0" applyFont="1" applyBorder="1" applyAlignment="1">
      <alignment vertical="center" wrapText="1"/>
    </xf>
    <xf numFmtId="0" fontId="10" fillId="0" borderId="5" xfId="26" quotePrefix="1" applyFont="1" applyFill="1" applyBorder="1" applyAlignment="1">
      <alignment horizontal="justify" vertical="center" wrapText="1"/>
    </xf>
    <xf numFmtId="0" fontId="3" fillId="0" borderId="2" xfId="0" applyFont="1" applyBorder="1"/>
    <xf numFmtId="3" fontId="9" fillId="11" borderId="4" xfId="26" applyNumberFormat="1" applyFont="1" applyFill="1" applyBorder="1" applyAlignment="1">
      <alignment horizontal="justify" vertical="center" wrapText="1"/>
    </xf>
    <xf numFmtId="43" fontId="10" fillId="11" borderId="4" xfId="11" applyFont="1" applyFill="1" applyBorder="1" applyAlignment="1">
      <alignment horizontal="center" vertical="center"/>
    </xf>
    <xf numFmtId="43" fontId="9" fillId="11" borderId="4" xfId="11" applyFont="1" applyFill="1" applyBorder="1" applyAlignment="1">
      <alignment horizontal="justify" vertical="center"/>
    </xf>
    <xf numFmtId="43" fontId="9" fillId="11" borderId="4" xfId="11" applyFont="1" applyFill="1" applyBorder="1" applyAlignment="1">
      <alignment horizontal="center" vertical="center" wrapText="1"/>
    </xf>
    <xf numFmtId="166" fontId="9" fillId="11" borderId="4" xfId="11" applyNumberFormat="1" applyFont="1" applyFill="1" applyBorder="1" applyAlignment="1">
      <alignment horizontal="center" vertical="center"/>
    </xf>
    <xf numFmtId="0" fontId="9" fillId="15" borderId="7" xfId="26" applyFont="1" applyFill="1" applyBorder="1" applyAlignment="1">
      <alignment horizontal="justify" vertical="center" wrapText="1"/>
    </xf>
    <xf numFmtId="0" fontId="9" fillId="15" borderId="9" xfId="26" applyFont="1" applyFill="1" applyBorder="1" applyAlignment="1">
      <alignment horizontal="justify" vertical="center"/>
    </xf>
    <xf numFmtId="0" fontId="10" fillId="15" borderId="9" xfId="26" applyFont="1" applyFill="1" applyBorder="1" applyAlignment="1">
      <alignment vertical="center"/>
    </xf>
    <xf numFmtId="43" fontId="9" fillId="15" borderId="9" xfId="1" applyFont="1" applyFill="1" applyBorder="1" applyAlignment="1">
      <alignment vertical="center"/>
    </xf>
    <xf numFmtId="0" fontId="9" fillId="15" borderId="9" xfId="26" applyFont="1" applyFill="1" applyBorder="1" applyAlignment="1">
      <alignment horizontal="center" vertical="center"/>
    </xf>
    <xf numFmtId="0" fontId="9" fillId="15" borderId="9" xfId="26" applyFont="1" applyFill="1" applyBorder="1" applyAlignment="1">
      <alignment horizontal="center" vertical="center" wrapText="1"/>
    </xf>
    <xf numFmtId="166" fontId="9" fillId="15" borderId="9" xfId="26" applyNumberFormat="1" applyFont="1" applyFill="1" applyBorder="1" applyAlignment="1">
      <alignment vertical="center"/>
    </xf>
    <xf numFmtId="0" fontId="9" fillId="15" borderId="9" xfId="26" applyFont="1" applyFill="1" applyBorder="1" applyAlignment="1">
      <alignment vertical="center" wrapText="1"/>
    </xf>
    <xf numFmtId="0" fontId="10" fillId="0" borderId="6" xfId="26" applyFont="1" applyBorder="1" applyAlignment="1">
      <alignment horizontal="center" vertical="center"/>
    </xf>
    <xf numFmtId="0" fontId="3" fillId="0" borderId="1" xfId="0" applyFont="1" applyBorder="1" applyAlignment="1">
      <alignment vertical="center"/>
    </xf>
    <xf numFmtId="9" fontId="10" fillId="7" borderId="6" xfId="13" applyFont="1" applyFill="1" applyBorder="1" applyAlignment="1">
      <alignment horizontal="center" vertical="center" wrapText="1"/>
    </xf>
    <xf numFmtId="0" fontId="10" fillId="0" borderId="1" xfId="26" quotePrefix="1" applyFont="1" applyFill="1" applyBorder="1" applyAlignment="1">
      <alignment horizontal="left" vertical="center" wrapText="1"/>
    </xf>
    <xf numFmtId="1" fontId="10" fillId="7" borderId="6" xfId="26" quotePrefix="1" applyNumberFormat="1" applyFont="1" applyFill="1" applyBorder="1" applyAlignment="1">
      <alignment vertical="center" wrapText="1"/>
    </xf>
    <xf numFmtId="43" fontId="10" fillId="0" borderId="1" xfId="1" applyFont="1" applyFill="1" applyBorder="1" applyAlignment="1">
      <alignment horizontal="right" vertical="center"/>
    </xf>
    <xf numFmtId="1" fontId="10" fillId="7" borderId="1" xfId="26" quotePrefix="1" applyNumberFormat="1" applyFont="1" applyFill="1" applyBorder="1" applyAlignment="1">
      <alignment horizontal="center" vertical="center" wrapText="1"/>
    </xf>
    <xf numFmtId="0" fontId="9" fillId="0" borderId="0" xfId="26" applyFont="1" applyAlignment="1">
      <alignment vertical="center" wrapText="1"/>
    </xf>
    <xf numFmtId="0" fontId="10" fillId="0" borderId="1" xfId="26" quotePrefix="1" applyFont="1" applyFill="1" applyBorder="1" applyAlignment="1">
      <alignment vertical="center" wrapText="1"/>
    </xf>
    <xf numFmtId="43" fontId="10" fillId="0" borderId="6" xfId="1" applyFont="1" applyFill="1" applyBorder="1" applyAlignment="1">
      <alignment vertical="center" wrapText="1"/>
    </xf>
    <xf numFmtId="1" fontId="10" fillId="7" borderId="1" xfId="26" quotePrefix="1" applyNumberFormat="1" applyFont="1" applyFill="1" applyBorder="1" applyAlignment="1">
      <alignment vertical="center" wrapText="1"/>
    </xf>
    <xf numFmtId="0" fontId="9" fillId="0" borderId="2" xfId="26" applyFont="1" applyBorder="1" applyAlignment="1">
      <alignment vertical="center" wrapText="1"/>
    </xf>
    <xf numFmtId="0" fontId="9" fillId="0" borderId="15" xfId="26" applyFont="1" applyBorder="1" applyAlignment="1">
      <alignment vertical="center" wrapText="1"/>
    </xf>
    <xf numFmtId="0" fontId="10" fillId="0" borderId="3" xfId="26" quotePrefix="1" applyFont="1" applyFill="1" applyBorder="1" applyAlignment="1">
      <alignment vertical="center" wrapText="1"/>
    </xf>
    <xf numFmtId="43" fontId="10" fillId="0" borderId="1" xfId="1" applyFont="1" applyFill="1" applyBorder="1" applyAlignment="1">
      <alignment vertical="center" wrapText="1"/>
    </xf>
    <xf numFmtId="0" fontId="9" fillId="15" borderId="0" xfId="26" applyFont="1" applyFill="1" applyAlignment="1">
      <alignment horizontal="justify" vertical="center" wrapText="1"/>
    </xf>
    <xf numFmtId="0" fontId="9" fillId="15" borderId="0" xfId="26" applyFont="1" applyFill="1" applyAlignment="1">
      <alignment vertical="center"/>
    </xf>
    <xf numFmtId="0" fontId="9" fillId="15" borderId="2" xfId="26" applyFont="1" applyFill="1" applyBorder="1" applyAlignment="1">
      <alignment horizontal="justify" vertical="center"/>
    </xf>
    <xf numFmtId="1" fontId="9" fillId="15" borderId="4" xfId="26" applyNumberFormat="1" applyFont="1" applyFill="1" applyBorder="1" applyAlignment="1">
      <alignment horizontal="center" vertical="center"/>
    </xf>
    <xf numFmtId="0" fontId="10" fillId="7" borderId="0" xfId="26" applyFont="1" applyFill="1" applyBorder="1" applyAlignment="1">
      <alignment horizontal="center" vertical="center" wrapText="1"/>
    </xf>
    <xf numFmtId="0" fontId="10" fillId="7" borderId="17" xfId="26" applyFont="1" applyFill="1" applyBorder="1" applyAlignment="1">
      <alignment horizontal="center" vertical="center" wrapText="1"/>
    </xf>
    <xf numFmtId="0" fontId="10" fillId="7" borderId="9" xfId="26" applyFont="1" applyFill="1" applyBorder="1" applyAlignment="1">
      <alignment horizontal="center" vertical="center" wrapText="1"/>
    </xf>
    <xf numFmtId="0" fontId="10" fillId="7" borderId="8" xfId="26" applyFont="1" applyFill="1" applyBorder="1" applyAlignment="1">
      <alignment horizontal="center" vertical="center" wrapText="1"/>
    </xf>
    <xf numFmtId="0" fontId="10" fillId="7" borderId="0" xfId="26" applyFont="1" applyFill="1" applyAlignment="1">
      <alignment horizontal="center" vertical="center" wrapText="1"/>
    </xf>
    <xf numFmtId="0" fontId="10" fillId="0" borderId="1" xfId="29" quotePrefix="1" applyFont="1" applyFill="1" applyBorder="1" applyAlignment="1">
      <alignment horizontal="justify" vertical="center" wrapText="1"/>
    </xf>
    <xf numFmtId="43" fontId="10" fillId="0" borderId="1" xfId="1" quotePrefix="1" applyFont="1" applyFill="1" applyBorder="1" applyAlignment="1">
      <alignment vertical="center" wrapText="1"/>
    </xf>
    <xf numFmtId="0" fontId="9" fillId="7" borderId="0" xfId="26" applyFont="1" applyFill="1" applyAlignment="1">
      <alignment vertical="center" wrapText="1"/>
    </xf>
    <xf numFmtId="0" fontId="10" fillId="7" borderId="6" xfId="26" applyFont="1" applyFill="1" applyBorder="1" applyAlignment="1">
      <alignment vertical="center" wrapText="1"/>
    </xf>
    <xf numFmtId="49" fontId="10" fillId="0" borderId="1" xfId="29" quotePrefix="1" applyNumberFormat="1" applyFont="1" applyFill="1" applyBorder="1" applyAlignment="1">
      <alignment horizontal="justify" vertical="center" wrapText="1"/>
    </xf>
    <xf numFmtId="49" fontId="10" fillId="0" borderId="6" xfId="29" quotePrefix="1" applyNumberFormat="1" applyFont="1" applyFill="1" applyBorder="1" applyAlignment="1">
      <alignment horizontal="justify" vertical="center" wrapText="1"/>
    </xf>
    <xf numFmtId="49" fontId="10" fillId="0" borderId="1" xfId="29" applyNumberFormat="1" applyFont="1" applyBorder="1" applyAlignment="1">
      <alignment horizontal="justify" vertical="center" wrapText="1"/>
    </xf>
    <xf numFmtId="0" fontId="10" fillId="7" borderId="2" xfId="26" applyFont="1" applyFill="1" applyBorder="1" applyAlignment="1">
      <alignment horizontal="center" vertical="center" wrapText="1"/>
    </xf>
    <xf numFmtId="0" fontId="10" fillId="7" borderId="15" xfId="26" applyFont="1" applyFill="1" applyBorder="1" applyAlignment="1">
      <alignment horizontal="center" vertical="center" wrapText="1"/>
    </xf>
    <xf numFmtId="0" fontId="10" fillId="0" borderId="13" xfId="26" applyFont="1" applyFill="1" applyBorder="1" applyAlignment="1">
      <alignment horizontal="center" vertical="center" wrapText="1"/>
    </xf>
    <xf numFmtId="0" fontId="10" fillId="7" borderId="18" xfId="26" applyFont="1" applyFill="1" applyBorder="1" applyAlignment="1">
      <alignment horizontal="justify" vertical="center" wrapText="1"/>
    </xf>
    <xf numFmtId="43" fontId="10" fillId="0" borderId="1" xfId="1" quotePrefix="1" applyFont="1" applyFill="1" applyBorder="1" applyAlignment="1">
      <alignment horizontal="center" vertical="center"/>
    </xf>
    <xf numFmtId="0" fontId="10" fillId="0" borderId="1" xfId="26" applyFont="1" applyBorder="1" applyAlignment="1">
      <alignment horizontal="justify" vertical="center" wrapText="1"/>
    </xf>
    <xf numFmtId="9" fontId="10" fillId="0" borderId="1" xfId="13" applyFont="1" applyBorder="1" applyAlignment="1">
      <alignment horizontal="center" vertical="center" wrapText="1"/>
    </xf>
    <xf numFmtId="0" fontId="10" fillId="0" borderId="6" xfId="26" applyFont="1" applyBorder="1" applyAlignment="1">
      <alignment horizontal="justify" vertical="center" wrapText="1"/>
    </xf>
    <xf numFmtId="3" fontId="9" fillId="11" borderId="9" xfId="26" applyNumberFormat="1" applyFont="1" applyFill="1" applyBorder="1" applyAlignment="1">
      <alignment horizontal="justify" vertical="center" wrapText="1"/>
    </xf>
    <xf numFmtId="43" fontId="9" fillId="11" borderId="4" xfId="1" applyFont="1" applyFill="1" applyBorder="1" applyAlignment="1">
      <alignment horizontal="justify" vertical="center"/>
    </xf>
    <xf numFmtId="1" fontId="9" fillId="11" borderId="4" xfId="26" applyNumberFormat="1" applyFont="1" applyFill="1" applyBorder="1" applyAlignment="1">
      <alignment horizontal="center" vertical="center"/>
    </xf>
    <xf numFmtId="43" fontId="9" fillId="11" borderId="5" xfId="11" applyFont="1" applyFill="1" applyBorder="1" applyAlignment="1">
      <alignment horizontal="center" vertical="center"/>
    </xf>
    <xf numFmtId="0" fontId="9" fillId="15" borderId="2" xfId="26" applyFont="1" applyFill="1" applyBorder="1" applyAlignment="1">
      <alignment horizontal="center" vertical="center"/>
    </xf>
    <xf numFmtId="0" fontId="9" fillId="7" borderId="7" xfId="26" applyFont="1" applyFill="1" applyBorder="1" applyAlignment="1">
      <alignment vertical="center" wrapText="1"/>
    </xf>
    <xf numFmtId="9" fontId="10" fillId="7" borderId="1" xfId="13" applyFont="1" applyFill="1" applyBorder="1" applyAlignment="1">
      <alignment horizontal="center" vertical="center" wrapText="1"/>
    </xf>
    <xf numFmtId="43" fontId="10" fillId="0" borderId="1" xfId="1" applyFont="1" applyFill="1" applyBorder="1" applyAlignment="1">
      <alignment vertical="center"/>
    </xf>
    <xf numFmtId="43" fontId="3" fillId="0" borderId="1" xfId="1" applyFont="1" applyBorder="1"/>
    <xf numFmtId="1" fontId="10" fillId="7" borderId="1" xfId="26" applyNumberFormat="1" applyFont="1" applyFill="1" applyBorder="1" applyAlignment="1">
      <alignment horizontal="center" vertical="center"/>
    </xf>
    <xf numFmtId="0" fontId="9" fillId="7" borderId="16" xfId="26" applyFont="1" applyFill="1" applyBorder="1" applyAlignment="1">
      <alignment vertical="center" wrapText="1"/>
    </xf>
    <xf numFmtId="49" fontId="10" fillId="7" borderId="1" xfId="29" applyNumberFormat="1" applyFont="1" applyFill="1" applyBorder="1" applyAlignment="1">
      <alignment horizontal="justify" vertical="center" wrapText="1"/>
    </xf>
    <xf numFmtId="0" fontId="10" fillId="7" borderId="1" xfId="29" applyFont="1" applyFill="1" applyBorder="1" applyAlignment="1">
      <alignment horizontal="justify" vertical="center" wrapText="1"/>
    </xf>
    <xf numFmtId="0" fontId="10" fillId="7" borderId="6" xfId="29" applyFont="1" applyFill="1" applyBorder="1" applyAlignment="1">
      <alignment horizontal="justify" vertical="center" wrapText="1"/>
    </xf>
    <xf numFmtId="43" fontId="3" fillId="0" borderId="6" xfId="1" applyFont="1" applyBorder="1"/>
    <xf numFmtId="1" fontId="10" fillId="7" borderId="6" xfId="26" applyNumberFormat="1" applyFont="1" applyFill="1" applyBorder="1" applyAlignment="1">
      <alignment horizontal="center" vertical="center"/>
    </xf>
    <xf numFmtId="0" fontId="3" fillId="0" borderId="14" xfId="0" applyFont="1" applyBorder="1" applyAlignment="1">
      <alignment vertical="center"/>
    </xf>
    <xf numFmtId="0" fontId="3" fillId="0" borderId="2" xfId="0" applyFont="1" applyBorder="1" applyAlignment="1">
      <alignment vertical="center"/>
    </xf>
    <xf numFmtId="0" fontId="3" fillId="0" borderId="15" xfId="0" applyFont="1" applyBorder="1" applyAlignment="1">
      <alignment vertical="center"/>
    </xf>
    <xf numFmtId="43" fontId="2" fillId="0" borderId="1" xfId="1" applyFont="1" applyBorder="1" applyAlignment="1">
      <alignment vertical="center"/>
    </xf>
    <xf numFmtId="0" fontId="3" fillId="0" borderId="1" xfId="0" applyFont="1" applyBorder="1" applyAlignment="1">
      <alignment horizontal="justify" vertical="center"/>
    </xf>
    <xf numFmtId="0" fontId="3" fillId="0" borderId="0" xfId="0" applyFont="1" applyAlignment="1">
      <alignment horizontal="justify"/>
    </xf>
    <xf numFmtId="171" fontId="3" fillId="0" borderId="0" xfId="0" applyNumberFormat="1" applyFont="1" applyFill="1"/>
    <xf numFmtId="0" fontId="2" fillId="0" borderId="32" xfId="0" applyFont="1" applyBorder="1" applyAlignment="1">
      <alignment horizontal="center" vertical="center" wrapText="1"/>
    </xf>
    <xf numFmtId="0" fontId="2" fillId="0" borderId="29" xfId="0" applyFont="1" applyBorder="1" applyAlignment="1">
      <alignment horizontal="center" vertical="center"/>
    </xf>
    <xf numFmtId="0" fontId="2" fillId="0" borderId="34" xfId="0" applyFont="1" applyBorder="1" applyAlignment="1">
      <alignment horizontal="right" vertical="center"/>
    </xf>
    <xf numFmtId="0" fontId="2" fillId="0" borderId="0" xfId="0" applyFont="1" applyBorder="1" applyAlignment="1">
      <alignment horizontal="center" vertical="center" wrapText="1"/>
    </xf>
    <xf numFmtId="164" fontId="2" fillId="0" borderId="36" xfId="0" applyNumberFormat="1" applyFont="1" applyBorder="1" applyAlignment="1">
      <alignment horizontal="right" vertical="center"/>
    </xf>
    <xf numFmtId="17" fontId="2" fillId="0" borderId="36" xfId="0" applyNumberFormat="1" applyFont="1" applyBorder="1" applyAlignment="1">
      <alignment horizontal="right" vertical="center"/>
    </xf>
    <xf numFmtId="3" fontId="2" fillId="2" borderId="36" xfId="0" applyNumberFormat="1" applyFont="1" applyFill="1" applyBorder="1" applyAlignment="1">
      <alignment horizontal="right" vertical="center" wrapText="1"/>
    </xf>
    <xf numFmtId="171" fontId="2" fillId="0" borderId="4" xfId="0" applyNumberFormat="1" applyFont="1" applyBorder="1" applyAlignment="1">
      <alignment horizontal="center" vertical="center"/>
    </xf>
    <xf numFmtId="9" fontId="2" fillId="0" borderId="4" xfId="0" applyNumberFormat="1" applyFont="1" applyBorder="1" applyAlignment="1">
      <alignment horizontal="center" vertical="center"/>
    </xf>
    <xf numFmtId="0" fontId="2" fillId="0" borderId="4" xfId="0" applyFont="1" applyBorder="1" applyAlignment="1">
      <alignment horizontal="center" vertical="center" wrapText="1"/>
    </xf>
    <xf numFmtId="171" fontId="5" fillId="3" borderId="1" xfId="0" applyNumberFormat="1" applyFont="1" applyFill="1" applyBorder="1" applyAlignment="1">
      <alignment horizontal="center" vertical="center" wrapText="1"/>
    </xf>
    <xf numFmtId="0" fontId="2" fillId="10" borderId="38" xfId="0" applyFont="1" applyFill="1" applyBorder="1" applyAlignment="1">
      <alignment horizontal="center" vertical="center" wrapText="1"/>
    </xf>
    <xf numFmtId="171" fontId="2" fillId="10" borderId="4" xfId="0" applyNumberFormat="1" applyFont="1" applyFill="1" applyBorder="1" applyAlignment="1">
      <alignment vertical="center" wrapText="1"/>
    </xf>
    <xf numFmtId="171" fontId="2" fillId="10" borderId="4" xfId="0" applyNumberFormat="1" applyFont="1" applyFill="1" applyBorder="1" applyAlignment="1">
      <alignment horizontal="center" vertical="center" wrapText="1"/>
    </xf>
    <xf numFmtId="9" fontId="2" fillId="10" borderId="4" xfId="0" applyNumberFormat="1" applyFont="1" applyFill="1" applyBorder="1" applyAlignment="1">
      <alignment horizontal="center" vertical="center" wrapText="1"/>
    </xf>
    <xf numFmtId="0" fontId="2" fillId="10" borderId="39" xfId="0" applyFont="1" applyFill="1" applyBorder="1" applyAlignment="1">
      <alignment horizontal="center" vertical="center" wrapText="1"/>
    </xf>
    <xf numFmtId="1" fontId="9" fillId="11" borderId="5" xfId="0" applyNumberFormat="1" applyFont="1" applyFill="1" applyBorder="1" applyAlignment="1">
      <alignment horizontal="center" vertical="center"/>
    </xf>
    <xf numFmtId="171" fontId="2" fillId="11" borderId="4" xfId="0" applyNumberFormat="1" applyFont="1" applyFill="1" applyBorder="1" applyAlignment="1">
      <alignment vertical="center" wrapText="1"/>
    </xf>
    <xf numFmtId="171" fontId="2" fillId="11" borderId="4" xfId="0" applyNumberFormat="1" applyFont="1" applyFill="1" applyBorder="1" applyAlignment="1">
      <alignment horizontal="center" vertical="center" wrapText="1"/>
    </xf>
    <xf numFmtId="9" fontId="2" fillId="11" borderId="4" xfId="0" applyNumberFormat="1" applyFont="1" applyFill="1" applyBorder="1" applyAlignment="1">
      <alignment horizontal="center" vertical="center" wrapText="1"/>
    </xf>
    <xf numFmtId="0" fontId="2" fillId="11" borderId="39" xfId="0" applyFont="1" applyFill="1" applyBorder="1" applyAlignment="1">
      <alignment horizontal="center" vertical="center" wrapText="1"/>
    </xf>
    <xf numFmtId="1" fontId="9" fillId="12" borderId="1" xfId="0" applyNumberFormat="1" applyFont="1" applyFill="1" applyBorder="1" applyAlignment="1">
      <alignment horizontal="center" vertical="center" wrapText="1"/>
    </xf>
    <xf numFmtId="171" fontId="2" fillId="15" borderId="4" xfId="0" applyNumberFormat="1" applyFont="1" applyFill="1" applyBorder="1" applyAlignment="1">
      <alignment vertical="center" wrapText="1"/>
    </xf>
    <xf numFmtId="171" fontId="2" fillId="15" borderId="4" xfId="0" applyNumberFormat="1" applyFont="1" applyFill="1" applyBorder="1" applyAlignment="1">
      <alignment horizontal="center" vertical="center" wrapText="1"/>
    </xf>
    <xf numFmtId="9" fontId="2" fillId="15" borderId="4" xfId="0" applyNumberFormat="1" applyFont="1" applyFill="1" applyBorder="1" applyAlignment="1">
      <alignment horizontal="center" vertical="center" wrapText="1"/>
    </xf>
    <xf numFmtId="0" fontId="2" fillId="15" borderId="39" xfId="0" applyFont="1" applyFill="1" applyBorder="1" applyAlignment="1">
      <alignment horizontal="center" vertical="center" wrapText="1"/>
    </xf>
    <xf numFmtId="43" fontId="10" fillId="0" borderId="1" xfId="1" applyFont="1" applyBorder="1" applyAlignment="1">
      <alignment horizontal="center" vertical="center" wrapText="1"/>
    </xf>
    <xf numFmtId="0" fontId="9" fillId="12" borderId="39" xfId="0" applyFont="1" applyFill="1" applyBorder="1" applyAlignment="1">
      <alignment vertical="center"/>
    </xf>
    <xf numFmtId="43" fontId="10" fillId="0" borderId="1" xfId="1" applyFont="1" applyBorder="1" applyAlignment="1">
      <alignment horizontal="center" vertical="center"/>
    </xf>
    <xf numFmtId="43" fontId="9" fillId="12" borderId="4" xfId="1" applyFont="1" applyFill="1" applyBorder="1" applyAlignment="1">
      <alignment vertical="center"/>
    </xf>
    <xf numFmtId="0" fontId="9" fillId="11" borderId="39" xfId="0" applyFont="1" applyFill="1" applyBorder="1" applyAlignment="1">
      <alignment vertical="center"/>
    </xf>
    <xf numFmtId="14" fontId="10" fillId="7" borderId="6" xfId="0" applyNumberFormat="1" applyFont="1" applyFill="1" applyBorder="1" applyAlignment="1">
      <alignment horizontal="center" vertical="center" wrapText="1"/>
    </xf>
    <xf numFmtId="14" fontId="10" fillId="7" borderId="13" xfId="0" applyNumberFormat="1" applyFont="1" applyFill="1" applyBorder="1" applyAlignment="1">
      <alignment horizontal="center" vertical="center" wrapText="1"/>
    </xf>
    <xf numFmtId="14" fontId="10" fillId="7" borderId="18" xfId="0" applyNumberFormat="1" applyFont="1" applyFill="1" applyBorder="1" applyAlignment="1">
      <alignment horizontal="center" vertical="center" wrapText="1"/>
    </xf>
    <xf numFmtId="0" fontId="9" fillId="12" borderId="9" xfId="0" applyFont="1" applyFill="1" applyBorder="1" applyAlignment="1">
      <alignment vertical="center"/>
    </xf>
    <xf numFmtId="0" fontId="10" fillId="12" borderId="4" xfId="0" applyFont="1" applyFill="1" applyBorder="1" applyAlignment="1">
      <alignment horizontal="center" vertical="center"/>
    </xf>
    <xf numFmtId="172" fontId="9" fillId="12" borderId="4" xfId="0" applyNumberFormat="1" applyFont="1" applyFill="1" applyBorder="1" applyAlignment="1">
      <alignment horizontal="center" vertical="center"/>
    </xf>
    <xf numFmtId="43" fontId="10" fillId="12" borderId="4" xfId="1" applyFont="1" applyFill="1" applyBorder="1" applyAlignment="1">
      <alignment vertical="center"/>
    </xf>
    <xf numFmtId="43" fontId="9" fillId="12" borderId="5" xfId="1" applyFont="1" applyFill="1" applyBorder="1" applyAlignment="1">
      <alignment horizontal="center" vertical="center"/>
    </xf>
    <xf numFmtId="1" fontId="9" fillId="12" borderId="4" xfId="0" applyNumberFormat="1" applyFont="1" applyFill="1" applyBorder="1" applyAlignment="1">
      <alignment horizontal="center" vertical="center"/>
    </xf>
    <xf numFmtId="173" fontId="10" fillId="12" borderId="4" xfId="1" applyNumberFormat="1" applyFont="1" applyFill="1" applyBorder="1" applyAlignment="1">
      <alignment vertical="center"/>
    </xf>
    <xf numFmtId="173" fontId="10" fillId="12" borderId="4" xfId="1" applyNumberFormat="1" applyFont="1" applyFill="1" applyBorder="1" applyAlignment="1">
      <alignment vertical="center" wrapText="1"/>
    </xf>
    <xf numFmtId="9" fontId="10" fillId="12" borderId="4" xfId="4" applyFont="1" applyFill="1" applyBorder="1" applyAlignment="1">
      <alignment vertical="center"/>
    </xf>
    <xf numFmtId="14" fontId="10" fillId="12" borderId="4" xfId="0" applyNumberFormat="1" applyFont="1" applyFill="1" applyBorder="1" applyAlignment="1">
      <alignment vertical="center"/>
    </xf>
    <xf numFmtId="0" fontId="10" fillId="12" borderId="39" xfId="0" applyFont="1" applyFill="1" applyBorder="1" applyAlignment="1">
      <alignment horizontal="justify" vertical="center" wrapText="1"/>
    </xf>
    <xf numFmtId="43" fontId="29" fillId="0" borderId="47" xfId="1" applyFont="1" applyBorder="1" applyAlignment="1">
      <alignment horizontal="justify" vertical="center" wrapText="1"/>
    </xf>
    <xf numFmtId="0" fontId="10" fillId="0" borderId="1" xfId="0" applyFont="1" applyBorder="1" applyAlignment="1">
      <alignment horizontal="center" vertical="center"/>
    </xf>
    <xf numFmtId="43" fontId="9" fillId="0" borderId="19" xfId="1" applyFont="1" applyBorder="1" applyAlignment="1">
      <alignment horizontal="center" vertical="center"/>
    </xf>
    <xf numFmtId="0" fontId="10" fillId="0" borderId="93" xfId="0" applyFont="1" applyBorder="1" applyAlignment="1">
      <alignment horizontal="center" vertical="center"/>
    </xf>
    <xf numFmtId="0" fontId="10" fillId="0" borderId="69" xfId="0" applyFont="1" applyBorder="1" applyAlignment="1">
      <alignment horizontal="center" vertical="center"/>
    </xf>
    <xf numFmtId="0" fontId="10" fillId="0" borderId="69" xfId="0" applyFont="1" applyBorder="1" applyAlignment="1"/>
    <xf numFmtId="43" fontId="9" fillId="0" borderId="93" xfId="1" applyFont="1" applyBorder="1" applyAlignment="1">
      <alignment horizontal="center" vertical="center"/>
    </xf>
    <xf numFmtId="43" fontId="9" fillId="0" borderId="67" xfId="1" applyFont="1" applyBorder="1" applyAlignment="1">
      <alignment horizontal="center" vertical="center"/>
    </xf>
    <xf numFmtId="0" fontId="10" fillId="0" borderId="66" xfId="0" applyFont="1" applyBorder="1" applyAlignment="1"/>
    <xf numFmtId="171" fontId="3" fillId="0" borderId="0" xfId="0" applyNumberFormat="1" applyFont="1" applyAlignment="1">
      <alignment horizontal="center" vertical="center"/>
    </xf>
    <xf numFmtId="9" fontId="3" fillId="0" borderId="0" xfId="0" applyNumberFormat="1" applyFont="1" applyAlignment="1">
      <alignment horizontal="center" vertical="center"/>
    </xf>
    <xf numFmtId="0" fontId="3" fillId="0" borderId="0" xfId="0" applyFont="1" applyAlignment="1">
      <alignment horizontal="center" vertical="center" wrapText="1"/>
    </xf>
    <xf numFmtId="0" fontId="3" fillId="0" borderId="69" xfId="0" applyFont="1" applyBorder="1" applyProtection="1"/>
    <xf numFmtId="0" fontId="3" fillId="0" borderId="7" xfId="0" applyFont="1" applyBorder="1" applyProtection="1"/>
    <xf numFmtId="0" fontId="3" fillId="0" borderId="9" xfId="0" applyFont="1" applyBorder="1" applyProtection="1"/>
    <xf numFmtId="0" fontId="3" fillId="0" borderId="8" xfId="0" applyFont="1" applyBorder="1" applyProtection="1"/>
    <xf numFmtId="0" fontId="3" fillId="0" borderId="16" xfId="0" applyFont="1" applyBorder="1" applyProtection="1"/>
    <xf numFmtId="0" fontId="3" fillId="0" borderId="17" xfId="0" applyFont="1" applyBorder="1" applyProtection="1"/>
    <xf numFmtId="0" fontId="3" fillId="0" borderId="14" xfId="0" applyFont="1" applyBorder="1" applyProtection="1"/>
    <xf numFmtId="0" fontId="3" fillId="0" borderId="2" xfId="0" applyFont="1" applyBorder="1" applyProtection="1"/>
    <xf numFmtId="0" fontId="3" fillId="0" borderId="15" xfId="0" applyFont="1" applyBorder="1" applyProtection="1"/>
    <xf numFmtId="0" fontId="3" fillId="0" borderId="68" xfId="0" applyFont="1" applyBorder="1" applyProtection="1"/>
    <xf numFmtId="0" fontId="10" fillId="7" borderId="6" xfId="26" applyFont="1" applyFill="1" applyBorder="1" applyAlignment="1">
      <alignment horizontal="center" vertical="center" wrapText="1"/>
    </xf>
    <xf numFmtId="0" fontId="10" fillId="7" borderId="6" xfId="0" applyFont="1" applyFill="1" applyBorder="1" applyAlignment="1">
      <alignment horizontal="justify"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10" fillId="7"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43" fontId="3" fillId="7" borderId="6" xfId="1" applyFont="1" applyFill="1" applyBorder="1" applyAlignment="1">
      <alignment horizontal="center" vertical="center" wrapText="1"/>
    </xf>
    <xf numFmtId="0" fontId="3" fillId="7" borderId="7" xfId="0" applyFont="1" applyFill="1" applyBorder="1" applyAlignment="1">
      <alignment horizontal="justify" vertical="center" wrapText="1"/>
    </xf>
    <xf numFmtId="43" fontId="10" fillId="7" borderId="1" xfId="1" applyFont="1" applyFill="1" applyBorder="1" applyAlignment="1">
      <alignment horizontal="center" vertical="center" wrapText="1"/>
    </xf>
    <xf numFmtId="0" fontId="10" fillId="7" borderId="1" xfId="0" applyFont="1" applyFill="1" applyBorder="1" applyAlignment="1">
      <alignment horizontal="justify" vertical="center" wrapText="1"/>
    </xf>
    <xf numFmtId="43" fontId="3" fillId="0" borderId="6" xfId="1" applyFont="1" applyFill="1" applyBorder="1" applyAlignment="1">
      <alignment horizontal="center" vertical="center" wrapText="1"/>
    </xf>
    <xf numFmtId="0" fontId="3" fillId="7" borderId="6" xfId="0" applyFont="1" applyFill="1" applyBorder="1" applyAlignment="1">
      <alignment horizontal="justify" vertical="center" wrapText="1"/>
    </xf>
    <xf numFmtId="43" fontId="3" fillId="7" borderId="1" xfId="1" applyFont="1" applyFill="1" applyBorder="1" applyAlignment="1">
      <alignment horizontal="center" vertical="center" wrapText="1"/>
    </xf>
    <xf numFmtId="0" fontId="3" fillId="7" borderId="1" xfId="0" applyFont="1" applyFill="1" applyBorder="1" applyAlignment="1">
      <alignment horizontal="justify" vertical="center" wrapText="1"/>
    </xf>
    <xf numFmtId="0" fontId="3" fillId="0" borderId="1" xfId="0" applyFont="1" applyBorder="1" applyAlignment="1">
      <alignment horizontal="justify" vertical="center" wrapText="1"/>
    </xf>
    <xf numFmtId="0" fontId="3" fillId="0" borderId="6" xfId="0" applyFont="1" applyBorder="1" applyAlignment="1">
      <alignment horizontal="justify" vertical="center" wrapText="1"/>
    </xf>
    <xf numFmtId="0" fontId="9" fillId="5" borderId="1" xfId="0" applyFont="1" applyFill="1" applyBorder="1" applyAlignment="1">
      <alignment horizontal="center" vertical="center" wrapText="1"/>
    </xf>
    <xf numFmtId="166" fontId="9" fillId="5" borderId="1" xfId="0" applyNumberFormat="1" applyFont="1" applyFill="1" applyBorder="1" applyAlignment="1">
      <alignment horizontal="center" vertical="center" wrapText="1"/>
    </xf>
    <xf numFmtId="178" fontId="10" fillId="7" borderId="13" xfId="0" applyNumberFormat="1" applyFont="1" applyFill="1" applyBorder="1" applyAlignment="1">
      <alignment horizontal="center" vertical="center" wrapText="1"/>
    </xf>
    <xf numFmtId="0" fontId="10" fillId="7" borderId="6" xfId="0" applyFont="1" applyFill="1" applyBorder="1" applyAlignment="1">
      <alignment horizontal="center" vertical="center"/>
    </xf>
    <xf numFmtId="0" fontId="10" fillId="7" borderId="13" xfId="0" applyFont="1" applyFill="1" applyBorder="1" applyAlignment="1">
      <alignment horizontal="center" vertical="center"/>
    </xf>
    <xf numFmtId="9" fontId="10" fillId="7" borderId="6" xfId="13" applyFont="1" applyFill="1" applyBorder="1" applyAlignment="1">
      <alignment horizontal="center" vertical="center"/>
    </xf>
    <xf numFmtId="9" fontId="10" fillId="7" borderId="13" xfId="13" applyFont="1" applyFill="1" applyBorder="1" applyAlignment="1">
      <alignment horizontal="center" vertical="center"/>
    </xf>
    <xf numFmtId="49" fontId="10" fillId="7" borderId="6" xfId="18" applyNumberFormat="1" applyFont="1" applyFill="1" applyBorder="1" applyAlignment="1">
      <alignment horizontal="center" vertical="center" wrapText="1"/>
    </xf>
    <xf numFmtId="49" fontId="10" fillId="7" borderId="13" xfId="18" applyNumberFormat="1" applyFont="1" applyFill="1" applyBorder="1" applyAlignment="1">
      <alignment horizontal="center" vertical="center" wrapText="1"/>
    </xf>
    <xf numFmtId="0" fontId="3" fillId="0" borderId="6" xfId="0" applyFont="1" applyFill="1" applyBorder="1" applyAlignment="1">
      <alignment horizontal="justify" vertical="center" wrapText="1"/>
    </xf>
    <xf numFmtId="0" fontId="10" fillId="0" borderId="13" xfId="0" applyFont="1" applyFill="1" applyBorder="1" applyAlignment="1">
      <alignment horizontal="justify" vertical="center" wrapText="1"/>
    </xf>
    <xf numFmtId="43" fontId="3" fillId="0" borderId="1" xfId="1" applyFont="1" applyFill="1" applyBorder="1" applyAlignment="1">
      <alignment horizontal="center" vertical="center" wrapText="1"/>
    </xf>
    <xf numFmtId="1" fontId="3" fillId="0" borderId="7"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0" fontId="3" fillId="0" borderId="13" xfId="0" applyFont="1" applyBorder="1" applyAlignment="1">
      <alignment horizontal="center"/>
    </xf>
    <xf numFmtId="0" fontId="3" fillId="0" borderId="47" xfId="0" applyFont="1" applyBorder="1" applyAlignment="1">
      <alignment horizontal="center" vertical="center" wrapText="1"/>
    </xf>
    <xf numFmtId="0" fontId="2" fillId="3" borderId="1"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3" borderId="1" xfId="0" applyFont="1" applyFill="1" applyBorder="1" applyAlignment="1" applyProtection="1">
      <alignment horizontal="justify" vertical="center" wrapText="1"/>
    </xf>
    <xf numFmtId="0" fontId="4" fillId="3" borderId="9" xfId="0" applyFont="1" applyFill="1" applyBorder="1" applyAlignment="1" applyProtection="1">
      <alignment horizontal="center" vertical="center" wrapText="1"/>
    </xf>
    <xf numFmtId="0" fontId="4" fillId="3" borderId="16"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17"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5" fillId="3" borderId="18" xfId="0" applyFont="1" applyFill="1" applyBorder="1" applyAlignment="1" applyProtection="1">
      <alignment horizontal="center" vertical="center" wrapText="1"/>
    </xf>
    <xf numFmtId="3" fontId="4" fillId="4" borderId="3" xfId="0" applyNumberFormat="1" applyFont="1" applyFill="1" applyBorder="1" applyAlignment="1" applyProtection="1">
      <alignment horizontal="center" vertical="center" wrapText="1"/>
    </xf>
    <xf numFmtId="3" fontId="4" fillId="4" borderId="4" xfId="0" applyNumberFormat="1" applyFont="1" applyFill="1" applyBorder="1" applyAlignment="1" applyProtection="1">
      <alignment horizontal="center" vertical="center" wrapText="1"/>
    </xf>
    <xf numFmtId="3" fontId="4" fillId="4" borderId="5" xfId="0" applyNumberFormat="1"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xf numFmtId="0" fontId="4" fillId="4" borderId="4"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9" fontId="2" fillId="3" borderId="1" xfId="0" applyNumberFormat="1" applyFont="1" applyFill="1" applyBorder="1" applyAlignment="1" applyProtection="1">
      <alignment horizontal="center" vertical="center" wrapText="1"/>
    </xf>
    <xf numFmtId="0" fontId="4" fillId="4" borderId="3" xfId="0" applyFont="1" applyFill="1" applyBorder="1" applyAlignment="1" applyProtection="1">
      <alignment horizontal="center" vertical="center"/>
    </xf>
    <xf numFmtId="0" fontId="4" fillId="4" borderId="4" xfId="0" applyFont="1" applyFill="1" applyBorder="1" applyAlignment="1" applyProtection="1">
      <alignment horizontal="center" vertical="center"/>
    </xf>
    <xf numFmtId="0" fontId="4" fillId="4" borderId="5" xfId="0" applyFont="1" applyFill="1" applyBorder="1" applyAlignment="1" applyProtection="1">
      <alignment horizontal="center" vertical="center"/>
    </xf>
    <xf numFmtId="0" fontId="4" fillId="4" borderId="7" xfId="0" applyFont="1" applyFill="1" applyBorder="1" applyAlignment="1" applyProtection="1">
      <alignment horizontal="center" vertical="center" textRotation="90" wrapText="1"/>
    </xf>
    <xf numFmtId="0" fontId="4" fillId="4" borderId="8" xfId="0" applyFont="1" applyFill="1" applyBorder="1" applyAlignment="1" applyProtection="1">
      <alignment horizontal="center" vertical="center" textRotation="90" wrapText="1"/>
    </xf>
    <xf numFmtId="0" fontId="4" fillId="4" borderId="14" xfId="0" applyFont="1" applyFill="1" applyBorder="1" applyAlignment="1" applyProtection="1">
      <alignment horizontal="center" vertical="center" textRotation="90" wrapText="1"/>
    </xf>
    <xf numFmtId="0" fontId="4" fillId="4" borderId="15" xfId="0" applyFont="1" applyFill="1" applyBorder="1" applyAlignment="1" applyProtection="1">
      <alignment horizontal="center" vertical="center" textRotation="90" wrapText="1"/>
    </xf>
    <xf numFmtId="165" fontId="4" fillId="3" borderId="10" xfId="5" applyFont="1" applyFill="1" applyBorder="1" applyAlignment="1" applyProtection="1">
      <alignment horizontal="center" vertical="center"/>
    </xf>
    <xf numFmtId="165" fontId="4" fillId="3" borderId="11" xfId="5" applyFont="1" applyFill="1" applyBorder="1" applyAlignment="1" applyProtection="1">
      <alignment horizontal="center" vertical="center"/>
    </xf>
    <xf numFmtId="165" fontId="4" fillId="3" borderId="12" xfId="5" applyFont="1" applyFill="1" applyBorder="1" applyAlignment="1" applyProtection="1">
      <alignment horizontal="center" vertical="center"/>
    </xf>
    <xf numFmtId="166" fontId="4" fillId="3" borderId="7" xfId="0" applyNumberFormat="1" applyFont="1" applyFill="1" applyBorder="1" applyAlignment="1" applyProtection="1">
      <alignment horizontal="center" vertical="center" wrapText="1"/>
    </xf>
    <xf numFmtId="166" fontId="4" fillId="3" borderId="8" xfId="0" applyNumberFormat="1" applyFont="1" applyFill="1" applyBorder="1" applyAlignment="1" applyProtection="1">
      <alignment horizontal="center" vertical="center" wrapText="1"/>
    </xf>
    <xf numFmtId="166" fontId="4" fillId="3" borderId="14" xfId="0" applyNumberFormat="1" applyFont="1" applyFill="1" applyBorder="1" applyAlignment="1" applyProtection="1">
      <alignment horizontal="center" vertical="center" wrapText="1"/>
    </xf>
    <xf numFmtId="166" fontId="4" fillId="3" borderId="15" xfId="0" applyNumberFormat="1" applyFont="1" applyFill="1" applyBorder="1" applyAlignment="1" applyProtection="1">
      <alignment horizontal="center" vertical="center" wrapText="1"/>
    </xf>
    <xf numFmtId="0" fontId="4" fillId="3" borderId="1" xfId="0" applyFont="1" applyFill="1" applyBorder="1" applyAlignment="1" applyProtection="1">
      <alignment horizontal="center" vertical="center" textRotation="90" wrapText="1"/>
    </xf>
    <xf numFmtId="0" fontId="5" fillId="5" borderId="1" xfId="0" applyFont="1" applyFill="1" applyBorder="1" applyAlignment="1" applyProtection="1">
      <alignment horizontal="center" vertical="center" wrapText="1"/>
    </xf>
    <xf numFmtId="0" fontId="5" fillId="5" borderId="6" xfId="0" applyFont="1" applyFill="1" applyBorder="1" applyAlignment="1" applyProtection="1">
      <alignment horizontal="center" vertical="center" wrapText="1"/>
    </xf>
    <xf numFmtId="0" fontId="5" fillId="5" borderId="18" xfId="0" applyFont="1" applyFill="1" applyBorder="1" applyAlignment="1" applyProtection="1">
      <alignment horizontal="center" vertical="center" wrapText="1"/>
    </xf>
    <xf numFmtId="1" fontId="9" fillId="6" borderId="3" xfId="0" applyNumberFormat="1" applyFont="1" applyFill="1" applyBorder="1" applyAlignment="1" applyProtection="1">
      <alignment horizontal="left" vertical="center" wrapText="1"/>
    </xf>
    <xf numFmtId="1" fontId="9" fillId="6" borderId="4" xfId="0" applyNumberFormat="1" applyFont="1" applyFill="1" applyBorder="1" applyAlignment="1" applyProtection="1">
      <alignment horizontal="left" vertical="center" wrapText="1"/>
    </xf>
    <xf numFmtId="0" fontId="3" fillId="7" borderId="7" xfId="0" applyFont="1" applyFill="1" applyBorder="1" applyAlignment="1" applyProtection="1">
      <alignment horizontal="center" vertical="center" wrapText="1"/>
    </xf>
    <xf numFmtId="0" fontId="3" fillId="7" borderId="16" xfId="0" applyFont="1" applyFill="1" applyBorder="1" applyAlignment="1" applyProtection="1">
      <alignment horizontal="center" vertical="center" wrapText="1"/>
    </xf>
    <xf numFmtId="0" fontId="3" fillId="7" borderId="9" xfId="0" applyFont="1" applyFill="1" applyBorder="1" applyAlignment="1" applyProtection="1">
      <alignment horizontal="center" vertical="center" wrapText="1"/>
    </xf>
    <xf numFmtId="0" fontId="3" fillId="7" borderId="8" xfId="0" applyFont="1" applyFill="1" applyBorder="1" applyAlignment="1" applyProtection="1">
      <alignment horizontal="center" vertical="center" wrapText="1"/>
    </xf>
    <xf numFmtId="0" fontId="3" fillId="7" borderId="0" xfId="0" applyFont="1" applyFill="1" applyBorder="1" applyAlignment="1" applyProtection="1">
      <alignment horizontal="center" vertical="center" wrapText="1"/>
    </xf>
    <xf numFmtId="0" fontId="3" fillId="7" borderId="17" xfId="0" applyFont="1" applyFill="1" applyBorder="1" applyAlignment="1" applyProtection="1">
      <alignment horizontal="center" vertical="center" wrapText="1"/>
    </xf>
    <xf numFmtId="1" fontId="9" fillId="8" borderId="3" xfId="0" applyNumberFormat="1" applyFont="1" applyFill="1" applyBorder="1" applyAlignment="1" applyProtection="1">
      <alignment horizontal="left" vertical="center"/>
    </xf>
    <xf numFmtId="1" fontId="9" fillId="8" borderId="4" xfId="0" applyNumberFormat="1" applyFont="1" applyFill="1" applyBorder="1" applyAlignment="1" applyProtection="1">
      <alignment horizontal="left" vertical="center"/>
    </xf>
    <xf numFmtId="1" fontId="9" fillId="9" borderId="3" xfId="0" applyNumberFormat="1" applyFont="1" applyFill="1" applyBorder="1" applyAlignment="1" applyProtection="1">
      <alignment horizontal="left" vertical="center" wrapText="1"/>
    </xf>
    <xf numFmtId="1" fontId="9" fillId="9" borderId="4" xfId="0" applyNumberFormat="1" applyFont="1" applyFill="1" applyBorder="1" applyAlignment="1" applyProtection="1">
      <alignment horizontal="left" vertical="center" wrapText="1"/>
    </xf>
    <xf numFmtId="3" fontId="5" fillId="5" borderId="1" xfId="0" applyNumberFormat="1" applyFont="1" applyFill="1" applyBorder="1" applyAlignment="1" applyProtection="1">
      <alignment horizontal="center" vertical="center" wrapText="1"/>
    </xf>
    <xf numFmtId="9" fontId="5" fillId="5" borderId="1" xfId="6" applyFont="1" applyFill="1" applyBorder="1" applyAlignment="1" applyProtection="1">
      <alignment horizontal="center" vertical="center" wrapText="1"/>
    </xf>
    <xf numFmtId="3" fontId="2" fillId="3" borderId="1" xfId="0" applyNumberFormat="1" applyFont="1" applyFill="1" applyBorder="1" applyAlignment="1" applyProtection="1">
      <alignment horizontal="center" vertical="center" wrapText="1"/>
    </xf>
    <xf numFmtId="0" fontId="10" fillId="7" borderId="1" xfId="0" applyFont="1" applyFill="1" applyBorder="1" applyAlignment="1" applyProtection="1">
      <alignment horizontal="center" vertical="center" wrapText="1"/>
    </xf>
    <xf numFmtId="0" fontId="10" fillId="0" borderId="1" xfId="0" applyFont="1" applyBorder="1" applyAlignment="1" applyProtection="1">
      <alignment horizontal="justify" vertical="center" wrapText="1"/>
    </xf>
    <xf numFmtId="9" fontId="10" fillId="0" borderId="1" xfId="6" applyNumberFormat="1" applyFont="1" applyBorder="1" applyAlignment="1" applyProtection="1">
      <alignment horizontal="center" vertical="center" wrapText="1"/>
    </xf>
    <xf numFmtId="43" fontId="10" fillId="0" borderId="6" xfId="7" applyFont="1" applyBorder="1" applyAlignment="1" applyProtection="1">
      <alignment horizontal="center" vertical="center" wrapText="1"/>
    </xf>
    <xf numFmtId="43" fontId="10" fillId="0" borderId="18" xfId="7" applyFont="1" applyBorder="1" applyAlignment="1" applyProtection="1">
      <alignment horizontal="center" vertical="center" wrapText="1"/>
    </xf>
    <xf numFmtId="3" fontId="10" fillId="0" borderId="1" xfId="0" applyNumberFormat="1" applyFont="1" applyBorder="1" applyAlignment="1" applyProtection="1">
      <alignment horizontal="justify" vertical="center" wrapText="1"/>
    </xf>
    <xf numFmtId="3" fontId="10" fillId="0" borderId="1" xfId="0" applyNumberFormat="1"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18" xfId="0" applyFont="1" applyBorder="1" applyAlignment="1" applyProtection="1">
      <alignment horizontal="center" vertical="center" wrapText="1"/>
    </xf>
    <xf numFmtId="0" fontId="10" fillId="0" borderId="6" xfId="0" applyFont="1" applyBorder="1" applyAlignment="1" applyProtection="1">
      <alignment horizontal="justify" vertical="center" wrapText="1"/>
    </xf>
    <xf numFmtId="0" fontId="10" fillId="0" borderId="18" xfId="0" applyFont="1" applyBorder="1" applyAlignment="1" applyProtection="1">
      <alignment horizontal="justify" vertical="center" wrapText="1"/>
    </xf>
    <xf numFmtId="0" fontId="10" fillId="0" borderId="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3" fontId="10" fillId="0" borderId="6" xfId="0" applyNumberFormat="1" applyFont="1" applyBorder="1" applyAlignment="1" applyProtection="1">
      <alignment horizontal="center" vertical="center"/>
    </xf>
    <xf numFmtId="3" fontId="10" fillId="0" borderId="18" xfId="0" applyNumberFormat="1" applyFont="1" applyBorder="1" applyAlignment="1" applyProtection="1">
      <alignment horizontal="center" vertical="center"/>
    </xf>
    <xf numFmtId="168" fontId="3" fillId="0" borderId="1" xfId="2" applyNumberFormat="1" applyFont="1" applyBorder="1" applyAlignment="1" applyProtection="1">
      <alignment horizontal="center" vertical="center"/>
    </xf>
    <xf numFmtId="0" fontId="3" fillId="0" borderId="1" xfId="0" applyFont="1" applyBorder="1" applyAlignment="1" applyProtection="1">
      <alignment horizontal="center" vertical="center"/>
    </xf>
    <xf numFmtId="9" fontId="3" fillId="0" borderId="6" xfId="4" applyFont="1" applyBorder="1" applyAlignment="1" applyProtection="1">
      <alignment horizontal="center" vertical="center"/>
    </xf>
    <xf numFmtId="9" fontId="3" fillId="0" borderId="18" xfId="4" applyFont="1" applyBorder="1" applyAlignment="1" applyProtection="1">
      <alignment horizontal="center" vertical="center"/>
    </xf>
    <xf numFmtId="4" fontId="10" fillId="7" borderId="6" xfId="7" applyNumberFormat="1" applyFont="1" applyFill="1" applyBorder="1" applyAlignment="1" applyProtection="1">
      <alignment horizontal="center" vertical="center" wrapText="1"/>
    </xf>
    <xf numFmtId="4" fontId="10" fillId="7" borderId="18" xfId="7" applyNumberFormat="1" applyFont="1" applyFill="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10" fillId="0" borderId="6" xfId="4" applyNumberFormat="1" applyFont="1" applyFill="1" applyBorder="1" applyAlignment="1" applyProtection="1">
      <alignment horizontal="center" vertical="center" wrapText="1"/>
    </xf>
    <xf numFmtId="0" fontId="10" fillId="0" borderId="18" xfId="4" applyNumberFormat="1" applyFont="1" applyFill="1" applyBorder="1" applyAlignment="1" applyProtection="1">
      <alignment horizontal="center" vertical="center" wrapText="1"/>
    </xf>
    <xf numFmtId="14" fontId="3" fillId="0" borderId="1" xfId="0" applyNumberFormat="1" applyFont="1" applyBorder="1" applyAlignment="1" applyProtection="1">
      <alignment horizontal="center" vertical="center"/>
    </xf>
    <xf numFmtId="14" fontId="3" fillId="0" borderId="6" xfId="0" applyNumberFormat="1" applyFont="1" applyBorder="1" applyAlignment="1" applyProtection="1">
      <alignment horizontal="center" vertical="center"/>
    </xf>
    <xf numFmtId="14" fontId="3" fillId="0" borderId="18" xfId="0" applyNumberFormat="1" applyFont="1" applyBorder="1" applyAlignment="1" applyProtection="1">
      <alignment horizontal="center" vertical="center"/>
    </xf>
    <xf numFmtId="0" fontId="3" fillId="0" borderId="1" xfId="0" applyFont="1" applyBorder="1" applyAlignment="1" applyProtection="1">
      <alignment horizontal="center"/>
    </xf>
    <xf numFmtId="0" fontId="10" fillId="2" borderId="1"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0" fontId="10" fillId="2" borderId="1" xfId="0" applyFont="1" applyFill="1" applyBorder="1" applyAlignment="1" applyProtection="1">
      <alignment horizontal="justify" vertical="center" wrapText="1"/>
    </xf>
    <xf numFmtId="0" fontId="10" fillId="2" borderId="6" xfId="0" applyFont="1" applyFill="1" applyBorder="1" applyAlignment="1" applyProtection="1">
      <alignment horizontal="justify" vertical="center" wrapText="1"/>
    </xf>
    <xf numFmtId="43" fontId="10" fillId="2" borderId="6" xfId="7" applyFont="1" applyFill="1" applyBorder="1" applyAlignment="1" applyProtection="1">
      <alignment horizontal="center" vertical="center" wrapText="1"/>
    </xf>
    <xf numFmtId="43" fontId="10" fillId="2" borderId="13" xfId="7" applyFont="1" applyFill="1" applyBorder="1" applyAlignment="1" applyProtection="1">
      <alignment horizontal="center" vertical="center" wrapText="1"/>
    </xf>
    <xf numFmtId="43" fontId="10" fillId="2" borderId="19" xfId="7" applyFont="1" applyFill="1" applyBorder="1" applyAlignment="1" applyProtection="1">
      <alignment horizontal="center" vertical="center" wrapText="1"/>
    </xf>
    <xf numFmtId="3" fontId="10" fillId="0" borderId="13" xfId="0" applyNumberFormat="1" applyFont="1" applyBorder="1" applyAlignment="1" applyProtection="1">
      <alignment horizontal="center" vertical="center"/>
    </xf>
    <xf numFmtId="3" fontId="10" fillId="0" borderId="19" xfId="0" applyNumberFormat="1" applyFont="1" applyBorder="1" applyAlignment="1" applyProtection="1">
      <alignment horizontal="center" vertical="center"/>
    </xf>
    <xf numFmtId="168" fontId="3" fillId="0" borderId="6" xfId="2" applyNumberFormat="1" applyFont="1" applyBorder="1" applyAlignment="1" applyProtection="1">
      <alignment horizontal="center" vertical="center"/>
    </xf>
    <xf numFmtId="168" fontId="3" fillId="0" borderId="13" xfId="2" applyNumberFormat="1" applyFont="1" applyBorder="1" applyAlignment="1" applyProtection="1">
      <alignment horizontal="center" vertical="center"/>
    </xf>
    <xf numFmtId="168" fontId="3" fillId="0" borderId="19" xfId="2" applyNumberFormat="1"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18" xfId="0" applyFont="1" applyBorder="1" applyAlignment="1" applyProtection="1">
      <alignment horizontal="center" vertical="center"/>
    </xf>
    <xf numFmtId="14" fontId="3" fillId="0" borderId="13" xfId="0" applyNumberFormat="1" applyFont="1" applyBorder="1" applyAlignment="1" applyProtection="1">
      <alignment horizontal="center" vertical="center"/>
    </xf>
    <xf numFmtId="14" fontId="3" fillId="0" borderId="19" xfId="0" applyNumberFormat="1" applyFont="1" applyBorder="1" applyAlignment="1" applyProtection="1">
      <alignment horizontal="center" vertical="center"/>
    </xf>
    <xf numFmtId="0" fontId="3" fillId="0" borderId="13"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9" fontId="3" fillId="0" borderId="13" xfId="4" applyFont="1" applyBorder="1" applyAlignment="1" applyProtection="1">
      <alignment horizontal="center" vertical="center"/>
    </xf>
    <xf numFmtId="0" fontId="28" fillId="0" borderId="0" xfId="0" applyFont="1" applyAlignment="1" applyProtection="1">
      <alignment horizontal="center" vertical="center" wrapText="1"/>
    </xf>
    <xf numFmtId="0" fontId="28" fillId="0" borderId="2" xfId="0" applyFont="1" applyBorder="1" applyAlignment="1" applyProtection="1">
      <alignment horizontal="center" vertical="center" wrapText="1"/>
    </xf>
    <xf numFmtId="0" fontId="32" fillId="0" borderId="9" xfId="0" applyFont="1" applyBorder="1" applyAlignment="1" applyProtection="1">
      <alignment horizontal="center" vertical="center"/>
    </xf>
    <xf numFmtId="0" fontId="32" fillId="0" borderId="1" xfId="0" applyFont="1" applyBorder="1" applyAlignment="1" applyProtection="1">
      <alignment horizontal="center" vertical="center"/>
    </xf>
    <xf numFmtId="1" fontId="32" fillId="3" borderId="6" xfId="0" applyNumberFormat="1" applyFont="1" applyFill="1" applyBorder="1" applyAlignment="1" applyProtection="1">
      <alignment horizontal="center" vertical="center" wrapText="1"/>
    </xf>
    <xf numFmtId="1" fontId="32" fillId="3" borderId="13" xfId="0" applyNumberFormat="1" applyFont="1" applyFill="1" applyBorder="1" applyAlignment="1" applyProtection="1">
      <alignment horizontal="center" vertical="center" wrapText="1"/>
    </xf>
    <xf numFmtId="0" fontId="32" fillId="3" borderId="7" xfId="0" applyFont="1" applyFill="1" applyBorder="1" applyAlignment="1" applyProtection="1">
      <alignment horizontal="center" vertical="center" wrapText="1"/>
    </xf>
    <xf numFmtId="0" fontId="32" fillId="3" borderId="8" xfId="0" applyFont="1" applyFill="1" applyBorder="1" applyAlignment="1" applyProtection="1">
      <alignment horizontal="center" vertical="center" wrapText="1"/>
    </xf>
    <xf numFmtId="0" fontId="32" fillId="3" borderId="16" xfId="0" applyFont="1" applyFill="1" applyBorder="1" applyAlignment="1" applyProtection="1">
      <alignment horizontal="center" vertical="center" wrapText="1"/>
    </xf>
    <xf numFmtId="0" fontId="32" fillId="3" borderId="17" xfId="0" applyFont="1" applyFill="1" applyBorder="1" applyAlignment="1" applyProtection="1">
      <alignment horizontal="center" vertical="center" wrapText="1"/>
    </xf>
    <xf numFmtId="0" fontId="32" fillId="3" borderId="6" xfId="0" applyFont="1" applyFill="1" applyBorder="1" applyAlignment="1" applyProtection="1">
      <alignment horizontal="center" vertical="center" wrapText="1"/>
    </xf>
    <xf numFmtId="0" fontId="32" fillId="3" borderId="13" xfId="0" applyFont="1" applyFill="1" applyBorder="1" applyAlignment="1" applyProtection="1">
      <alignment horizontal="center" vertical="center" wrapText="1"/>
    </xf>
    <xf numFmtId="170" fontId="32" fillId="3" borderId="7" xfId="0" applyNumberFormat="1" applyFont="1" applyFill="1" applyBorder="1" applyAlignment="1" applyProtection="1">
      <alignment horizontal="center" vertical="center" wrapText="1"/>
    </xf>
    <xf numFmtId="170" fontId="32" fillId="3" borderId="8" xfId="0" applyNumberFormat="1" applyFont="1" applyFill="1" applyBorder="1" applyAlignment="1" applyProtection="1">
      <alignment horizontal="center" vertical="center" wrapText="1"/>
    </xf>
    <xf numFmtId="170" fontId="32" fillId="3" borderId="14" xfId="0" applyNumberFormat="1" applyFont="1" applyFill="1" applyBorder="1" applyAlignment="1" applyProtection="1">
      <alignment horizontal="center" vertical="center" wrapText="1"/>
    </xf>
    <xf numFmtId="170" fontId="32" fillId="3" borderId="15" xfId="0" applyNumberFormat="1" applyFont="1" applyFill="1" applyBorder="1" applyAlignment="1" applyProtection="1">
      <alignment horizontal="center" vertical="center" wrapText="1"/>
    </xf>
    <xf numFmtId="3" fontId="32" fillId="3" borderId="6" xfId="0" applyNumberFormat="1" applyFont="1" applyFill="1" applyBorder="1" applyAlignment="1" applyProtection="1">
      <alignment horizontal="center" vertical="center" wrapText="1"/>
    </xf>
    <xf numFmtId="3" fontId="32" fillId="3" borderId="13" xfId="0" applyNumberFormat="1" applyFont="1" applyFill="1" applyBorder="1" applyAlignment="1" applyProtection="1">
      <alignment horizontal="center" vertical="center" wrapText="1"/>
    </xf>
    <xf numFmtId="0" fontId="32" fillId="3" borderId="3" xfId="0" applyFont="1" applyFill="1" applyBorder="1" applyAlignment="1" applyProtection="1">
      <alignment horizontal="center" vertical="center" textRotation="90" wrapText="1"/>
    </xf>
    <xf numFmtId="0" fontId="32" fillId="3" borderId="5" xfId="0" applyFont="1" applyFill="1" applyBorder="1" applyAlignment="1" applyProtection="1">
      <alignment horizontal="center" vertical="center" textRotation="90" wrapText="1"/>
    </xf>
    <xf numFmtId="1" fontId="32" fillId="3" borderId="3" xfId="0" applyNumberFormat="1" applyFont="1" applyFill="1" applyBorder="1" applyAlignment="1" applyProtection="1">
      <alignment horizontal="center" vertical="center" textRotation="90" wrapText="1"/>
    </xf>
    <xf numFmtId="1" fontId="32" fillId="3" borderId="5" xfId="0" applyNumberFormat="1" applyFont="1" applyFill="1" applyBorder="1" applyAlignment="1" applyProtection="1">
      <alignment horizontal="center" vertical="center" textRotation="90" wrapText="1"/>
    </xf>
    <xf numFmtId="3" fontId="9" fillId="4" borderId="3" xfId="0" applyNumberFormat="1" applyFont="1" applyFill="1" applyBorder="1" applyAlignment="1" applyProtection="1">
      <alignment horizontal="center" vertical="center" wrapText="1"/>
    </xf>
    <xf numFmtId="3" fontId="9" fillId="4" borderId="4" xfId="0" applyNumberFormat="1" applyFont="1" applyFill="1" applyBorder="1" applyAlignment="1" applyProtection="1">
      <alignment horizontal="center" vertical="center" wrapText="1"/>
    </xf>
    <xf numFmtId="0" fontId="9" fillId="4" borderId="3" xfId="0" applyFont="1" applyFill="1" applyBorder="1" applyAlignment="1" applyProtection="1">
      <alignment horizontal="center" vertical="center" wrapText="1"/>
    </xf>
    <xf numFmtId="0" fontId="9" fillId="4" borderId="4" xfId="0" applyFont="1" applyFill="1" applyBorder="1" applyAlignment="1" applyProtection="1">
      <alignment horizontal="center" vertical="center" wrapText="1"/>
    </xf>
    <xf numFmtId="0" fontId="9" fillId="4" borderId="3" xfId="0" applyFont="1" applyFill="1" applyBorder="1" applyAlignment="1" applyProtection="1">
      <alignment horizontal="center" vertical="center"/>
    </xf>
    <xf numFmtId="0" fontId="9" fillId="4" borderId="4" xfId="0" applyFont="1" applyFill="1" applyBorder="1" applyAlignment="1" applyProtection="1">
      <alignment horizontal="center" vertical="center"/>
    </xf>
    <xf numFmtId="0" fontId="9" fillId="4" borderId="5" xfId="0" applyFont="1" applyFill="1" applyBorder="1" applyAlignment="1" applyProtection="1">
      <alignment horizontal="center" vertical="center" wrapText="1"/>
    </xf>
    <xf numFmtId="170" fontId="32" fillId="4" borderId="7" xfId="0" applyNumberFormat="1" applyFont="1" applyFill="1" applyBorder="1" applyAlignment="1" applyProtection="1">
      <alignment horizontal="center" vertical="center" textRotation="90" wrapText="1"/>
    </xf>
    <xf numFmtId="170" fontId="32" fillId="4" borderId="8" xfId="0" applyNumberFormat="1" applyFont="1" applyFill="1" applyBorder="1" applyAlignment="1" applyProtection="1">
      <alignment horizontal="center" vertical="center" textRotation="90" wrapText="1"/>
    </xf>
    <xf numFmtId="170" fontId="32" fillId="4" borderId="14" xfId="0" applyNumberFormat="1" applyFont="1" applyFill="1" applyBorder="1" applyAlignment="1" applyProtection="1">
      <alignment horizontal="center" vertical="center" textRotation="90" wrapText="1"/>
    </xf>
    <xf numFmtId="170" fontId="32" fillId="4" borderId="15" xfId="0" applyNumberFormat="1" applyFont="1" applyFill="1" applyBorder="1" applyAlignment="1" applyProtection="1">
      <alignment horizontal="center" vertical="center" textRotation="90" wrapText="1"/>
    </xf>
    <xf numFmtId="0" fontId="32" fillId="10" borderId="4" xfId="0" applyFont="1" applyFill="1" applyBorder="1" applyAlignment="1" applyProtection="1">
      <alignment horizontal="left" vertical="center"/>
    </xf>
    <xf numFmtId="0" fontId="32" fillId="11" borderId="4" xfId="0" applyFont="1" applyFill="1" applyBorder="1" applyAlignment="1" applyProtection="1">
      <alignment horizontal="left" vertical="center"/>
    </xf>
    <xf numFmtId="0" fontId="32" fillId="12" borderId="4" xfId="0" applyFont="1" applyFill="1" applyBorder="1" applyAlignment="1" applyProtection="1">
      <alignment horizontal="left" vertical="center"/>
    </xf>
    <xf numFmtId="0" fontId="29" fillId="0" borderId="1" xfId="0" applyFont="1" applyBorder="1" applyAlignment="1" applyProtection="1">
      <alignment horizontal="center" vertical="center" wrapText="1"/>
    </xf>
    <xf numFmtId="0" fontId="29" fillId="0" borderId="1" xfId="0" applyFont="1" applyBorder="1" applyAlignment="1" applyProtection="1">
      <alignment horizontal="justify" vertical="center" wrapText="1"/>
    </xf>
    <xf numFmtId="172" fontId="32" fillId="3" borderId="6" xfId="0" applyNumberFormat="1" applyFont="1" applyFill="1" applyBorder="1" applyAlignment="1" applyProtection="1">
      <alignment horizontal="center" vertical="center" wrapText="1"/>
    </xf>
    <xf numFmtId="172" fontId="32" fillId="3" borderId="13" xfId="0" applyNumberFormat="1" applyFont="1" applyFill="1" applyBorder="1" applyAlignment="1" applyProtection="1">
      <alignment horizontal="center" vertical="center" wrapText="1"/>
    </xf>
    <xf numFmtId="171" fontId="32" fillId="3" borderId="6" xfId="0" applyNumberFormat="1" applyFont="1" applyFill="1" applyBorder="1" applyAlignment="1" applyProtection="1">
      <alignment horizontal="center" vertical="center" wrapText="1"/>
    </xf>
    <xf numFmtId="171" fontId="32" fillId="3" borderId="13" xfId="0" applyNumberFormat="1" applyFont="1" applyFill="1" applyBorder="1" applyAlignment="1" applyProtection="1">
      <alignment horizontal="center" vertical="center" wrapText="1"/>
    </xf>
    <xf numFmtId="41" fontId="32" fillId="3" borderId="7" xfId="9" applyFont="1" applyFill="1" applyBorder="1" applyAlignment="1" applyProtection="1">
      <alignment horizontal="center" vertical="center" wrapText="1"/>
    </xf>
    <xf numFmtId="41" fontId="32" fillId="3" borderId="9" xfId="9" applyFont="1" applyFill="1" applyBorder="1" applyAlignment="1" applyProtection="1">
      <alignment horizontal="center" vertical="center" wrapText="1"/>
    </xf>
    <xf numFmtId="41" fontId="32" fillId="3" borderId="8" xfId="9" applyFont="1" applyFill="1" applyBorder="1" applyAlignment="1" applyProtection="1">
      <alignment horizontal="center" vertical="center" wrapText="1"/>
    </xf>
    <xf numFmtId="41" fontId="32" fillId="3" borderId="14" xfId="9" applyFont="1" applyFill="1" applyBorder="1" applyAlignment="1" applyProtection="1">
      <alignment horizontal="center" vertical="center" wrapText="1"/>
    </xf>
    <xf numFmtId="41" fontId="32" fillId="3" borderId="2" xfId="9" applyFont="1" applyFill="1" applyBorder="1" applyAlignment="1" applyProtection="1">
      <alignment horizontal="center" vertical="center" wrapText="1"/>
    </xf>
    <xf numFmtId="41" fontId="32" fillId="3" borderId="15" xfId="9" applyFont="1" applyFill="1" applyBorder="1" applyAlignment="1" applyProtection="1">
      <alignment horizontal="center" vertical="center" wrapText="1"/>
    </xf>
    <xf numFmtId="0" fontId="32" fillId="3" borderId="1" xfId="0" applyFont="1" applyFill="1" applyBorder="1" applyAlignment="1" applyProtection="1">
      <alignment horizontal="center" vertical="center" wrapText="1"/>
    </xf>
    <xf numFmtId="43" fontId="29" fillId="0" borderId="1" xfId="11" applyFont="1" applyBorder="1" applyAlignment="1" applyProtection="1">
      <alignment horizontal="center" vertical="center" wrapText="1"/>
    </xf>
    <xf numFmtId="0" fontId="29" fillId="0" borderId="6" xfId="0" applyFont="1" applyBorder="1" applyAlignment="1" applyProtection="1">
      <alignment horizontal="justify" vertical="center" wrapText="1"/>
    </xf>
    <xf numFmtId="0" fontId="29" fillId="0" borderId="13" xfId="0" applyFont="1" applyBorder="1" applyAlignment="1" applyProtection="1">
      <alignment horizontal="justify" vertical="center" wrapText="1"/>
    </xf>
    <xf numFmtId="0" fontId="29" fillId="0" borderId="18" xfId="0" applyFont="1" applyBorder="1" applyAlignment="1" applyProtection="1">
      <alignment horizontal="justify" vertical="center" wrapText="1"/>
    </xf>
    <xf numFmtId="0" fontId="29" fillId="0" borderId="1" xfId="11" applyNumberFormat="1" applyFont="1" applyBorder="1" applyAlignment="1" applyProtection="1">
      <alignment horizontal="center" vertical="center"/>
    </xf>
    <xf numFmtId="188" fontId="29" fillId="0" borderId="1" xfId="0" applyNumberFormat="1" applyFont="1" applyBorder="1" applyAlignment="1" applyProtection="1">
      <alignment horizontal="center" vertical="center"/>
    </xf>
    <xf numFmtId="1" fontId="29" fillId="0" borderId="1" xfId="11" applyNumberFormat="1" applyFont="1" applyBorder="1" applyAlignment="1" applyProtection="1">
      <alignment vertical="center" wrapText="1"/>
    </xf>
    <xf numFmtId="0" fontId="29" fillId="0" borderId="6" xfId="0" applyFont="1" applyBorder="1" applyAlignment="1" applyProtection="1">
      <alignment horizontal="center" vertical="center" wrapText="1"/>
    </xf>
    <xf numFmtId="0" fontId="29" fillId="0" borderId="13" xfId="0" applyFont="1" applyBorder="1" applyAlignment="1" applyProtection="1">
      <alignment horizontal="center" vertical="center" wrapText="1"/>
    </xf>
    <xf numFmtId="0" fontId="29" fillId="0" borderId="18" xfId="0" applyFont="1" applyBorder="1" applyAlignment="1" applyProtection="1">
      <alignment horizontal="center" vertical="center" wrapText="1"/>
    </xf>
    <xf numFmtId="9" fontId="29" fillId="0" borderId="3" xfId="13" applyFont="1" applyBorder="1" applyAlignment="1" applyProtection="1">
      <alignment horizontal="center" vertical="center" wrapText="1"/>
    </xf>
    <xf numFmtId="1" fontId="29" fillId="0" borderId="1" xfId="0" applyNumberFormat="1" applyFont="1" applyBorder="1" applyAlignment="1" applyProtection="1">
      <alignment horizontal="center" vertical="center" wrapText="1"/>
    </xf>
    <xf numFmtId="0" fontId="26" fillId="0" borderId="1" xfId="0" applyFont="1" applyBorder="1" applyAlignment="1" applyProtection="1">
      <alignment horizontal="justify" vertical="center" wrapText="1"/>
    </xf>
    <xf numFmtId="0" fontId="29" fillId="0" borderId="1" xfId="0" applyFont="1" applyBorder="1" applyAlignment="1" applyProtection="1">
      <alignment horizontal="center" vertical="center"/>
    </xf>
    <xf numFmtId="0" fontId="29" fillId="0" borderId="6" xfId="0" applyFont="1" applyBorder="1" applyAlignment="1" applyProtection="1">
      <alignment horizontal="center" vertical="center"/>
    </xf>
    <xf numFmtId="0" fontId="29" fillId="0" borderId="13" xfId="0" applyFont="1" applyBorder="1" applyAlignment="1" applyProtection="1">
      <alignment horizontal="center" vertical="center"/>
    </xf>
    <xf numFmtId="0" fontId="29" fillId="0" borderId="18" xfId="0" applyFont="1" applyBorder="1" applyAlignment="1" applyProtection="1">
      <alignment horizontal="center" vertical="center"/>
    </xf>
    <xf numFmtId="43" fontId="29" fillId="0" borderId="1" xfId="1" applyFont="1" applyBorder="1" applyAlignment="1" applyProtection="1">
      <alignment horizontal="center" vertical="center"/>
    </xf>
    <xf numFmtId="9" fontId="29" fillId="0" borderId="1" xfId="4" applyFont="1" applyBorder="1" applyAlignment="1" applyProtection="1">
      <alignment horizontal="center" vertical="center"/>
    </xf>
    <xf numFmtId="188" fontId="29" fillId="0" borderId="1" xfId="0" applyNumberFormat="1" applyFont="1" applyBorder="1" applyAlignment="1" applyProtection="1">
      <alignment horizontal="center" vertical="center" wrapText="1"/>
    </xf>
    <xf numFmtId="0" fontId="29" fillId="0" borderId="1" xfId="0" applyNumberFormat="1" applyFont="1" applyBorder="1" applyAlignment="1" applyProtection="1">
      <alignment horizontal="center" vertical="center"/>
    </xf>
    <xf numFmtId="0" fontId="29" fillId="0" borderId="5" xfId="11" applyNumberFormat="1" applyFont="1" applyBorder="1" applyAlignment="1" applyProtection="1">
      <alignment horizontal="center" vertical="center"/>
    </xf>
    <xf numFmtId="9" fontId="29" fillId="0" borderId="1" xfId="13" applyFont="1" applyBorder="1" applyAlignment="1" applyProtection="1">
      <alignment horizontal="center" vertical="center"/>
    </xf>
    <xf numFmtId="43" fontId="29" fillId="0" borderId="1" xfId="11" applyFont="1" applyBorder="1" applyAlignment="1" applyProtection="1">
      <alignment horizontal="center" vertical="center"/>
    </xf>
    <xf numFmtId="1" fontId="29" fillId="0" borderId="1" xfId="0" applyNumberFormat="1" applyFont="1" applyBorder="1" applyAlignment="1" applyProtection="1">
      <alignment horizontal="justify" vertical="center" wrapText="1"/>
    </xf>
    <xf numFmtId="0" fontId="32" fillId="19" borderId="4" xfId="0" applyFont="1" applyFill="1" applyBorder="1" applyAlignment="1" applyProtection="1">
      <alignment horizontal="left" vertical="center"/>
    </xf>
    <xf numFmtId="9" fontId="29" fillId="0" borderId="6" xfId="4" applyFont="1" applyBorder="1" applyAlignment="1" applyProtection="1">
      <alignment horizontal="center" vertical="center"/>
    </xf>
    <xf numFmtId="9" fontId="29" fillId="0" borderId="13" xfId="4" applyFont="1" applyBorder="1" applyAlignment="1" applyProtection="1">
      <alignment horizontal="center" vertical="center"/>
    </xf>
    <xf numFmtId="9" fontId="29" fillId="0" borderId="18" xfId="4" applyFont="1" applyBorder="1" applyAlignment="1" applyProtection="1">
      <alignment horizontal="center" vertical="center"/>
    </xf>
    <xf numFmtId="43" fontId="29" fillId="0" borderId="6" xfId="0" applyNumberFormat="1" applyFont="1" applyBorder="1" applyAlignment="1" applyProtection="1">
      <alignment horizontal="center" vertical="center"/>
    </xf>
    <xf numFmtId="0" fontId="29" fillId="0" borderId="1" xfId="0" applyFont="1" applyBorder="1" applyAlignment="1" applyProtection="1">
      <alignment vertical="center"/>
    </xf>
    <xf numFmtId="1" fontId="29" fillId="0" borderId="1" xfId="0" applyNumberFormat="1" applyFont="1" applyBorder="1" applyAlignment="1" applyProtection="1">
      <alignment vertical="center" wrapText="1"/>
    </xf>
    <xf numFmtId="1" fontId="29" fillId="0" borderId="1" xfId="0" applyNumberFormat="1" applyFont="1" applyBorder="1" applyAlignment="1" applyProtection="1">
      <alignment horizontal="center" vertical="center"/>
    </xf>
    <xf numFmtId="0" fontId="32" fillId="17" borderId="4" xfId="0" applyFont="1" applyFill="1" applyBorder="1" applyAlignment="1" applyProtection="1">
      <alignment horizontal="left" vertical="center"/>
    </xf>
    <xf numFmtId="1" fontId="29" fillId="0" borderId="3" xfId="0" applyNumberFormat="1" applyFont="1" applyBorder="1" applyAlignment="1" applyProtection="1">
      <alignment horizontal="center" vertical="center" wrapText="1"/>
    </xf>
    <xf numFmtId="172" fontId="29" fillId="0" borderId="3" xfId="0" applyNumberFormat="1" applyFont="1" applyBorder="1" applyAlignment="1" applyProtection="1">
      <alignment horizontal="center" vertical="center" wrapText="1"/>
    </xf>
    <xf numFmtId="14" fontId="29" fillId="0" borderId="6" xfId="0" applyNumberFormat="1" applyFont="1" applyBorder="1" applyAlignment="1" applyProtection="1">
      <alignment horizontal="center" vertical="center"/>
    </xf>
    <xf numFmtId="1" fontId="29" fillId="0" borderId="6" xfId="11" applyNumberFormat="1" applyFont="1" applyBorder="1" applyAlignment="1" applyProtection="1">
      <alignment horizontal="center" vertical="center" wrapText="1"/>
    </xf>
    <xf numFmtId="1" fontId="29" fillId="0" borderId="13" xfId="11" applyNumberFormat="1" applyFont="1" applyBorder="1" applyAlignment="1" applyProtection="1">
      <alignment horizontal="center" vertical="center" wrapText="1"/>
    </xf>
    <xf numFmtId="1" fontId="29" fillId="0" borderId="18" xfId="11" applyNumberFormat="1" applyFont="1" applyBorder="1" applyAlignment="1" applyProtection="1">
      <alignment horizontal="center" vertical="center" wrapText="1"/>
    </xf>
    <xf numFmtId="1" fontId="29" fillId="0" borderId="7" xfId="11" applyNumberFormat="1" applyFont="1" applyBorder="1" applyAlignment="1" applyProtection="1">
      <alignment horizontal="center" vertical="center" wrapText="1"/>
    </xf>
    <xf numFmtId="1" fontId="29" fillId="0" borderId="16" xfId="11" applyNumberFormat="1" applyFont="1" applyBorder="1" applyAlignment="1" applyProtection="1">
      <alignment horizontal="center" vertical="center" wrapText="1"/>
    </xf>
    <xf numFmtId="1" fontId="29" fillId="0" borderId="14" xfId="11" applyNumberFormat="1" applyFont="1" applyBorder="1" applyAlignment="1" applyProtection="1">
      <alignment horizontal="center" vertical="center" wrapText="1"/>
    </xf>
    <xf numFmtId="1" fontId="29" fillId="0" borderId="1" xfId="11" applyNumberFormat="1" applyFont="1" applyBorder="1" applyAlignment="1" applyProtection="1">
      <alignment horizontal="center" vertical="center" wrapText="1"/>
    </xf>
    <xf numFmtId="0" fontId="29" fillId="0" borderId="8" xfId="0" applyFont="1" applyBorder="1" applyAlignment="1" applyProtection="1">
      <alignment horizontal="justify" vertical="center" wrapText="1"/>
    </xf>
    <xf numFmtId="0" fontId="29" fillId="0" borderId="17" xfId="0" applyFont="1" applyBorder="1" applyAlignment="1" applyProtection="1">
      <alignment horizontal="justify" vertical="center" wrapText="1"/>
    </xf>
    <xf numFmtId="43" fontId="29" fillId="0" borderId="6" xfId="11" applyFont="1" applyBorder="1" applyAlignment="1" applyProtection="1">
      <alignment horizontal="center" vertical="center" wrapText="1"/>
    </xf>
    <xf numFmtId="43" fontId="29" fillId="0" borderId="13" xfId="11" applyFont="1" applyBorder="1" applyAlignment="1" applyProtection="1">
      <alignment horizontal="center" vertical="center" wrapText="1"/>
    </xf>
    <xf numFmtId="0" fontId="29" fillId="0" borderId="3" xfId="0" applyFont="1" applyBorder="1" applyAlignment="1" applyProtection="1">
      <alignment horizontal="justify" vertical="center" wrapText="1"/>
    </xf>
    <xf numFmtId="1" fontId="29" fillId="0" borderId="6" xfId="11" applyNumberFormat="1" applyFont="1" applyBorder="1" applyAlignment="1" applyProtection="1">
      <alignment horizontal="center" vertical="center"/>
    </xf>
    <xf numFmtId="1" fontId="29" fillId="0" borderId="13" xfId="11" applyNumberFormat="1" applyFont="1" applyBorder="1" applyAlignment="1" applyProtection="1">
      <alignment horizontal="center" vertical="center"/>
    </xf>
    <xf numFmtId="1" fontId="29" fillId="0" borderId="17" xfId="11" applyNumberFormat="1" applyFont="1" applyBorder="1" applyAlignment="1" applyProtection="1">
      <alignment horizontal="center" vertical="center"/>
    </xf>
    <xf numFmtId="1" fontId="29" fillId="0" borderId="15" xfId="11" applyNumberFormat="1" applyFont="1" applyBorder="1" applyAlignment="1" applyProtection="1">
      <alignment horizontal="center" vertical="center"/>
    </xf>
    <xf numFmtId="9" fontId="29" fillId="0" borderId="6" xfId="13" applyFont="1" applyBorder="1" applyAlignment="1" applyProtection="1">
      <alignment horizontal="center" vertical="center"/>
    </xf>
    <xf numFmtId="9" fontId="29" fillId="0" borderId="13" xfId="13" applyFont="1" applyBorder="1" applyAlignment="1" applyProtection="1">
      <alignment horizontal="center" vertical="center"/>
    </xf>
    <xf numFmtId="0" fontId="26" fillId="0" borderId="6"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0" fontId="26" fillId="0" borderId="6" xfId="0" applyFont="1" applyBorder="1" applyAlignment="1" applyProtection="1">
      <alignment horizontal="justify" vertical="center" wrapText="1"/>
    </xf>
    <xf numFmtId="0" fontId="26" fillId="0" borderId="14" xfId="0" applyFont="1" applyBorder="1" applyAlignment="1" applyProtection="1">
      <alignment horizontal="justify" vertical="center" wrapText="1"/>
    </xf>
    <xf numFmtId="43" fontId="29" fillId="0" borderId="6" xfId="0" applyNumberFormat="1" applyFont="1" applyBorder="1" applyAlignment="1" applyProtection="1">
      <alignment horizontal="center" vertical="center" wrapText="1"/>
    </xf>
    <xf numFmtId="0" fontId="29" fillId="0" borderId="0" xfId="0" applyFont="1" applyAlignment="1" applyProtection="1">
      <alignment horizontal="justify" vertical="center" wrapText="1"/>
    </xf>
    <xf numFmtId="0" fontId="29" fillId="0" borderId="16" xfId="0" applyFont="1" applyBorder="1" applyAlignment="1" applyProtection="1">
      <alignment horizontal="justify" vertical="center" wrapText="1"/>
    </xf>
    <xf numFmtId="0" fontId="29" fillId="0" borderId="47" xfId="0" applyFont="1" applyBorder="1" applyAlignment="1" applyProtection="1">
      <alignment horizontal="center" vertical="center" wrapText="1"/>
    </xf>
    <xf numFmtId="0" fontId="29" fillId="0" borderId="45" xfId="0" applyFont="1" applyBorder="1" applyAlignment="1" applyProtection="1">
      <alignment horizontal="center" vertical="center" wrapText="1"/>
    </xf>
    <xf numFmtId="0" fontId="29" fillId="0" borderId="47" xfId="0" applyFont="1" applyBorder="1" applyAlignment="1" applyProtection="1">
      <alignment horizontal="justify" vertical="center" wrapText="1"/>
    </xf>
    <xf numFmtId="0" fontId="29" fillId="0" borderId="45" xfId="0" applyFont="1" applyBorder="1" applyAlignment="1" applyProtection="1">
      <alignment horizontal="justify" vertical="center" wrapText="1"/>
    </xf>
    <xf numFmtId="188" fontId="29" fillId="0" borderId="6" xfId="0" applyNumberFormat="1" applyFont="1" applyBorder="1" applyAlignment="1" applyProtection="1">
      <alignment horizontal="center" vertical="center"/>
    </xf>
    <xf numFmtId="188" fontId="29" fillId="0" borderId="13" xfId="0" applyNumberFormat="1" applyFont="1" applyBorder="1" applyAlignment="1" applyProtection="1">
      <alignment horizontal="center" vertical="center"/>
    </xf>
    <xf numFmtId="188" fontId="29" fillId="0" borderId="18" xfId="0" applyNumberFormat="1" applyFont="1" applyBorder="1" applyAlignment="1" applyProtection="1">
      <alignment horizontal="center" vertical="center"/>
    </xf>
    <xf numFmtId="14" fontId="29" fillId="0" borderId="6" xfId="0" applyNumberFormat="1" applyFont="1" applyBorder="1" applyAlignment="1" applyProtection="1">
      <alignment horizontal="center" vertical="center" wrapText="1"/>
    </xf>
    <xf numFmtId="1" fontId="29" fillId="0" borderId="6" xfId="0" applyNumberFormat="1" applyFont="1" applyBorder="1" applyAlignment="1" applyProtection="1">
      <alignment horizontal="center" vertical="center" wrapText="1"/>
    </xf>
    <xf numFmtId="1" fontId="29" fillId="0" borderId="13" xfId="0" applyNumberFormat="1" applyFont="1" applyBorder="1" applyAlignment="1" applyProtection="1">
      <alignment horizontal="center" vertical="center" wrapText="1"/>
    </xf>
    <xf numFmtId="1" fontId="29" fillId="0" borderId="18" xfId="0" applyNumberFormat="1" applyFont="1" applyBorder="1" applyAlignment="1" applyProtection="1">
      <alignment horizontal="center" vertical="center" wrapText="1"/>
    </xf>
    <xf numFmtId="0" fontId="26" fillId="0" borderId="7" xfId="0" applyFont="1" applyBorder="1" applyAlignment="1" applyProtection="1">
      <alignment horizontal="left" vertical="center" wrapText="1"/>
    </xf>
    <xf numFmtId="0" fontId="26" fillId="0" borderId="79" xfId="0" applyFont="1" applyBorder="1" applyAlignment="1" applyProtection="1">
      <alignment horizontal="left" vertical="center" wrapText="1"/>
    </xf>
    <xf numFmtId="1" fontId="29" fillId="0" borderId="6" xfId="0" applyNumberFormat="1" applyFont="1" applyBorder="1" applyAlignment="1" applyProtection="1">
      <alignment horizontal="center" vertical="center"/>
    </xf>
    <xf numFmtId="1" fontId="29" fillId="0" borderId="13" xfId="0" applyNumberFormat="1" applyFont="1" applyBorder="1" applyAlignment="1" applyProtection="1">
      <alignment horizontal="center" vertical="center"/>
    </xf>
    <xf numFmtId="172" fontId="29" fillId="0" borderId="6" xfId="0" applyNumberFormat="1" applyFont="1" applyBorder="1" applyAlignment="1" applyProtection="1">
      <alignment horizontal="center" vertical="center"/>
    </xf>
    <xf numFmtId="172" fontId="29" fillId="0" borderId="13" xfId="0" applyNumberFormat="1" applyFont="1" applyBorder="1" applyAlignment="1" applyProtection="1">
      <alignment horizontal="center" vertical="center"/>
    </xf>
    <xf numFmtId="9" fontId="29" fillId="0" borderId="6" xfId="4" applyFont="1" applyBorder="1" applyAlignment="1" applyProtection="1">
      <alignment horizontal="center" vertical="center" wrapText="1"/>
    </xf>
    <xf numFmtId="9" fontId="29" fillId="0" borderId="13" xfId="4" applyFont="1" applyBorder="1" applyAlignment="1" applyProtection="1">
      <alignment horizontal="center" vertical="center" wrapText="1"/>
    </xf>
    <xf numFmtId="9" fontId="29" fillId="0" borderId="18" xfId="4" applyFont="1" applyBorder="1" applyAlignment="1" applyProtection="1">
      <alignment horizontal="center" vertical="center" wrapText="1"/>
    </xf>
    <xf numFmtId="0" fontId="29" fillId="0" borderId="80" xfId="0" applyFont="1" applyBorder="1" applyAlignment="1" applyProtection="1">
      <alignment horizontal="center" vertical="center" wrapText="1"/>
    </xf>
    <xf numFmtId="0" fontId="29" fillId="0" borderId="84" xfId="0" applyFont="1" applyBorder="1" applyAlignment="1" applyProtection="1">
      <alignment horizontal="center" vertical="center" wrapText="1"/>
    </xf>
    <xf numFmtId="43" fontId="29" fillId="0" borderId="47" xfId="11" applyFont="1" applyBorder="1" applyAlignment="1" applyProtection="1">
      <alignment horizontal="center" vertical="center" wrapText="1"/>
    </xf>
    <xf numFmtId="43" fontId="29" fillId="0" borderId="45" xfId="11" applyFont="1" applyBorder="1" applyAlignment="1" applyProtection="1">
      <alignment horizontal="center" vertical="center" wrapText="1"/>
    </xf>
    <xf numFmtId="0" fontId="29" fillId="0" borderId="5" xfId="0" applyFont="1" applyBorder="1" applyAlignment="1" applyProtection="1">
      <alignment horizontal="justify" vertical="center" wrapText="1"/>
    </xf>
    <xf numFmtId="3" fontId="29" fillId="0" borderId="7" xfId="0" applyNumberFormat="1" applyFont="1" applyBorder="1" applyAlignment="1" applyProtection="1">
      <alignment horizontal="justify" vertical="center" wrapText="1"/>
    </xf>
    <xf numFmtId="3" fontId="29" fillId="0" borderId="16" xfId="0" applyNumberFormat="1" applyFont="1" applyBorder="1" applyAlignment="1" applyProtection="1">
      <alignment horizontal="justify" vertical="center" wrapText="1"/>
    </xf>
    <xf numFmtId="3" fontId="29" fillId="0" borderId="14" xfId="0" applyNumberFormat="1" applyFont="1" applyBorder="1" applyAlignment="1" applyProtection="1">
      <alignment horizontal="justify" vertical="center" wrapText="1"/>
    </xf>
    <xf numFmtId="0" fontId="1" fillId="7" borderId="6" xfId="0" applyFont="1" applyFill="1" applyBorder="1" applyAlignment="1" applyProtection="1">
      <alignment horizontal="justify" vertical="center" wrapText="1"/>
    </xf>
    <xf numFmtId="0" fontId="1" fillId="7" borderId="18" xfId="0" applyFont="1" applyFill="1" applyBorder="1" applyAlignment="1" applyProtection="1">
      <alignment horizontal="justify" vertical="center" wrapText="1"/>
    </xf>
    <xf numFmtId="1" fontId="29" fillId="0" borderId="5" xfId="0" applyNumberFormat="1" applyFont="1" applyBorder="1" applyAlignment="1" applyProtection="1">
      <alignment horizontal="center" vertical="center"/>
    </xf>
    <xf numFmtId="9" fontId="29" fillId="0" borderId="47" xfId="13" applyFont="1" applyBorder="1" applyAlignment="1" applyProtection="1">
      <alignment horizontal="center" vertical="center" wrapText="1"/>
    </xf>
    <xf numFmtId="9" fontId="29" fillId="0" borderId="45" xfId="13" applyFont="1" applyBorder="1" applyAlignment="1" applyProtection="1">
      <alignment horizontal="center" vertical="center" wrapText="1"/>
    </xf>
    <xf numFmtId="14" fontId="29" fillId="0" borderId="81" xfId="0" applyNumberFormat="1" applyFont="1" applyBorder="1" applyAlignment="1" applyProtection="1">
      <alignment horizontal="center" vertical="center" wrapText="1"/>
    </xf>
    <xf numFmtId="0" fontId="29" fillId="0" borderId="82" xfId="0" applyFont="1" applyBorder="1" applyAlignment="1" applyProtection="1">
      <alignment horizontal="center" vertical="center" wrapText="1"/>
    </xf>
    <xf numFmtId="0" fontId="29" fillId="0" borderId="85" xfId="0" applyFont="1" applyBorder="1" applyAlignment="1" applyProtection="1">
      <alignment horizontal="center" vertical="center" wrapText="1"/>
    </xf>
    <xf numFmtId="0" fontId="1" fillId="0" borderId="6" xfId="0" applyFont="1" applyBorder="1" applyAlignment="1" applyProtection="1">
      <alignment horizontal="justify" vertical="center" wrapText="1"/>
    </xf>
    <xf numFmtId="0" fontId="1" fillId="0" borderId="18" xfId="0" applyFont="1" applyBorder="1" applyAlignment="1" applyProtection="1">
      <alignment horizontal="justify" vertical="center" wrapText="1"/>
    </xf>
    <xf numFmtId="43" fontId="29" fillId="0" borderId="80" xfId="0" applyNumberFormat="1" applyFont="1" applyBorder="1" applyAlignment="1" applyProtection="1">
      <alignment horizontal="center" vertical="center" wrapText="1"/>
    </xf>
    <xf numFmtId="9" fontId="29" fillId="0" borderId="80" xfId="4" applyFont="1" applyBorder="1" applyAlignment="1" applyProtection="1">
      <alignment horizontal="center" vertical="center" wrapText="1"/>
    </xf>
    <xf numFmtId="9" fontId="29" fillId="0" borderId="47" xfId="4" applyFont="1" applyBorder="1" applyAlignment="1" applyProtection="1">
      <alignment horizontal="center" vertical="center" wrapText="1"/>
    </xf>
    <xf numFmtId="9" fontId="29" fillId="0" borderId="84" xfId="4" applyFont="1" applyBorder="1" applyAlignment="1" applyProtection="1">
      <alignment horizontal="center" vertical="center" wrapText="1"/>
    </xf>
    <xf numFmtId="1" fontId="29" fillId="0" borderId="18" xfId="0" applyNumberFormat="1" applyFont="1" applyBorder="1" applyAlignment="1" applyProtection="1">
      <alignment horizontal="center" vertical="center"/>
    </xf>
    <xf numFmtId="0" fontId="33" fillId="0" borderId="47" xfId="0" applyFont="1" applyBorder="1" applyAlignment="1" applyProtection="1">
      <alignment horizontal="center" vertical="center" wrapText="1"/>
    </xf>
    <xf numFmtId="0" fontId="33" fillId="0" borderId="45" xfId="0" applyFont="1" applyBorder="1" applyAlignment="1" applyProtection="1">
      <alignment horizontal="center" vertical="center" wrapText="1"/>
    </xf>
    <xf numFmtId="0" fontId="33" fillId="0" borderId="47" xfId="0" applyFont="1" applyBorder="1" applyAlignment="1" applyProtection="1">
      <alignment horizontal="justify" vertical="center" wrapText="1"/>
    </xf>
    <xf numFmtId="0" fontId="33" fillId="0" borderId="45" xfId="0" applyFont="1" applyBorder="1" applyAlignment="1" applyProtection="1">
      <alignment horizontal="justify" vertical="center" wrapText="1"/>
    </xf>
    <xf numFmtId="0" fontId="33" fillId="0" borderId="50" xfId="0" applyFont="1" applyBorder="1" applyAlignment="1" applyProtection="1">
      <alignment horizontal="center" vertical="center" wrapText="1"/>
    </xf>
    <xf numFmtId="0" fontId="33" fillId="0" borderId="87" xfId="0" applyFont="1" applyBorder="1" applyAlignment="1" applyProtection="1">
      <alignment horizontal="center" vertical="center" wrapText="1"/>
    </xf>
    <xf numFmtId="2" fontId="33" fillId="0" borderId="47" xfId="0" applyNumberFormat="1" applyFont="1" applyBorder="1" applyAlignment="1" applyProtection="1">
      <alignment horizontal="center" vertical="center" wrapText="1"/>
    </xf>
    <xf numFmtId="2" fontId="33" fillId="0" borderId="45" xfId="0" applyNumberFormat="1" applyFont="1" applyBorder="1" applyAlignment="1" applyProtection="1">
      <alignment horizontal="center" vertical="center" wrapText="1"/>
    </xf>
    <xf numFmtId="14" fontId="29" fillId="0" borderId="80" xfId="0" applyNumberFormat="1" applyFont="1" applyBorder="1" applyAlignment="1" applyProtection="1">
      <alignment horizontal="center" vertical="center" wrapText="1"/>
    </xf>
    <xf numFmtId="0" fontId="13" fillId="0" borderId="86" xfId="20" applyFont="1" applyBorder="1" applyAlignment="1" applyProtection="1">
      <alignment horizontal="justify" vertical="center" wrapText="1"/>
    </xf>
    <xf numFmtId="0" fontId="13" fillId="0" borderId="14" xfId="20" applyFont="1" applyBorder="1" applyAlignment="1" applyProtection="1">
      <alignment horizontal="justify" vertical="center" wrapText="1"/>
    </xf>
    <xf numFmtId="1" fontId="29" fillId="0" borderId="15" xfId="0" applyNumberFormat="1" applyFont="1" applyBorder="1" applyAlignment="1" applyProtection="1">
      <alignment horizontal="center" vertical="center"/>
    </xf>
    <xf numFmtId="1" fontId="29" fillId="0" borderId="18" xfId="0" applyNumberFormat="1" applyFont="1" applyBorder="1" applyAlignment="1" applyProtection="1">
      <alignment vertical="center" wrapText="1"/>
    </xf>
    <xf numFmtId="9" fontId="33" fillId="0" borderId="47" xfId="13" applyFont="1" applyBorder="1" applyAlignment="1" applyProtection="1">
      <alignment horizontal="center" vertical="center" wrapText="1"/>
    </xf>
    <xf numFmtId="9" fontId="33" fillId="0" borderId="45" xfId="13" applyFont="1" applyBorder="1" applyAlignment="1" applyProtection="1">
      <alignment horizontal="center" vertical="center" wrapText="1"/>
    </xf>
    <xf numFmtId="43" fontId="33" fillId="0" borderId="47" xfId="11" applyFont="1" applyBorder="1" applyAlignment="1" applyProtection="1">
      <alignment horizontal="center" vertical="center" wrapText="1"/>
    </xf>
    <xf numFmtId="43" fontId="33" fillId="0" borderId="45" xfId="11" applyFont="1" applyBorder="1" applyAlignment="1" applyProtection="1">
      <alignment horizontal="center" vertical="center" wrapText="1"/>
    </xf>
    <xf numFmtId="0" fontId="0" fillId="7" borderId="7" xfId="20" applyFont="1" applyFill="1" applyBorder="1" applyAlignment="1" applyProtection="1">
      <alignment horizontal="justify" vertical="center" wrapText="1"/>
    </xf>
    <xf numFmtId="0" fontId="0" fillId="7" borderId="14" xfId="20" applyFont="1" applyFill="1" applyBorder="1" applyAlignment="1" applyProtection="1">
      <alignment horizontal="justify" vertical="center" wrapText="1"/>
    </xf>
    <xf numFmtId="0" fontId="13" fillId="0" borderId="7" xfId="20" applyFont="1" applyBorder="1" applyAlignment="1" applyProtection="1">
      <alignment horizontal="justify" vertical="center" wrapText="1"/>
    </xf>
    <xf numFmtId="1" fontId="29" fillId="0" borderId="16" xfId="0" applyNumberFormat="1" applyFont="1" applyBorder="1" applyAlignment="1" applyProtection="1">
      <alignment horizontal="justify"/>
    </xf>
    <xf numFmtId="0" fontId="32" fillId="0" borderId="0" xfId="0" applyFont="1" applyAlignment="1" applyProtection="1">
      <alignment horizontal="justify" vertical="center" wrapText="1"/>
    </xf>
    <xf numFmtId="0" fontId="29" fillId="0" borderId="16" xfId="0" applyFont="1" applyBorder="1" applyAlignment="1" applyProtection="1">
      <alignment horizontal="justify"/>
    </xf>
    <xf numFmtId="0" fontId="29" fillId="0" borderId="0" xfId="0" applyFont="1" applyAlignment="1" applyProtection="1">
      <alignment horizontal="justify"/>
    </xf>
    <xf numFmtId="0" fontId="29" fillId="0" borderId="6" xfId="11" applyNumberFormat="1" applyFont="1" applyBorder="1" applyAlignment="1" applyProtection="1">
      <alignment horizontal="center" vertical="center"/>
    </xf>
    <xf numFmtId="0" fontId="29" fillId="0" borderId="13" xfId="11" applyNumberFormat="1" applyFont="1" applyBorder="1" applyAlignment="1" applyProtection="1">
      <alignment horizontal="center" vertical="center"/>
    </xf>
    <xf numFmtId="0" fontId="29" fillId="0" borderId="17" xfId="11" applyNumberFormat="1" applyFont="1" applyBorder="1" applyAlignment="1" applyProtection="1">
      <alignment horizontal="center" vertical="center"/>
    </xf>
    <xf numFmtId="0" fontId="29" fillId="0" borderId="15" xfId="11" applyNumberFormat="1" applyFont="1" applyBorder="1" applyAlignment="1" applyProtection="1">
      <alignment horizontal="center" vertical="center"/>
    </xf>
    <xf numFmtId="0" fontId="29" fillId="0" borderId="18" xfId="11" applyNumberFormat="1" applyFont="1" applyBorder="1" applyAlignment="1" applyProtection="1">
      <alignment horizontal="center" vertical="center"/>
    </xf>
    <xf numFmtId="0" fontId="29" fillId="0" borderId="47" xfId="0" applyFont="1" applyBorder="1" applyAlignment="1" applyProtection="1">
      <alignment horizontal="justify" vertical="center"/>
    </xf>
    <xf numFmtId="9" fontId="29" fillId="0" borderId="47" xfId="13" applyFont="1" applyBorder="1" applyAlignment="1" applyProtection="1">
      <alignment horizontal="center" vertical="center"/>
    </xf>
    <xf numFmtId="3" fontId="29" fillId="0" borderId="47" xfId="0" applyNumberFormat="1" applyFont="1" applyBorder="1" applyAlignment="1" applyProtection="1">
      <alignment horizontal="center" vertical="center"/>
    </xf>
    <xf numFmtId="43" fontId="29" fillId="0" borderId="45" xfId="11" applyFont="1" applyBorder="1" applyAlignment="1" applyProtection="1">
      <alignment horizontal="center" vertical="center"/>
    </xf>
    <xf numFmtId="43" fontId="29" fillId="0" borderId="48" xfId="11" applyFont="1" applyBorder="1" applyAlignment="1" applyProtection="1">
      <alignment horizontal="center" vertical="center"/>
    </xf>
    <xf numFmtId="1" fontId="29" fillId="0" borderId="45" xfId="0" applyNumberFormat="1" applyFont="1" applyBorder="1" applyAlignment="1" applyProtection="1">
      <alignment horizontal="center" vertical="center" wrapText="1"/>
    </xf>
    <xf numFmtId="1" fontId="29" fillId="0" borderId="48" xfId="0" applyNumberFormat="1" applyFont="1" applyBorder="1" applyAlignment="1" applyProtection="1">
      <alignment horizontal="center" vertical="center" wrapText="1"/>
    </xf>
    <xf numFmtId="0" fontId="3" fillId="0" borderId="6" xfId="0" applyFont="1" applyBorder="1" applyAlignment="1" applyProtection="1">
      <alignment horizontal="justify" vertical="center" wrapText="1"/>
    </xf>
    <xf numFmtId="0" fontId="3" fillId="0" borderId="18" xfId="0" applyFont="1" applyBorder="1" applyAlignment="1" applyProtection="1">
      <alignment horizontal="justify" vertical="center" wrapText="1"/>
    </xf>
    <xf numFmtId="0" fontId="3" fillId="0" borderId="14" xfId="0" applyFont="1" applyBorder="1" applyAlignment="1" applyProtection="1">
      <alignment horizontal="justify" vertical="center" wrapText="1"/>
    </xf>
    <xf numFmtId="0" fontId="3" fillId="0" borderId="7" xfId="0" applyFont="1" applyBorder="1" applyAlignment="1" applyProtection="1">
      <alignment horizontal="justify" vertical="center" wrapText="1"/>
    </xf>
    <xf numFmtId="0" fontId="3" fillId="0" borderId="13" xfId="0" applyFont="1" applyBorder="1" applyAlignment="1" applyProtection="1">
      <alignment horizontal="justify" vertical="center" wrapText="1"/>
    </xf>
    <xf numFmtId="0" fontId="3" fillId="0" borderId="47" xfId="0" applyFont="1" applyBorder="1" applyAlignment="1" applyProtection="1">
      <alignment horizontal="justify" vertical="center" wrapText="1"/>
    </xf>
    <xf numFmtId="43" fontId="29" fillId="0" borderId="65" xfId="11" applyFont="1" applyBorder="1" applyAlignment="1" applyProtection="1">
      <alignment horizontal="center" vertical="center"/>
    </xf>
    <xf numFmtId="43" fontId="29" fillId="0" borderId="88" xfId="11" applyFont="1" applyBorder="1" applyAlignment="1" applyProtection="1">
      <alignment horizontal="center" vertical="center"/>
    </xf>
    <xf numFmtId="0" fontId="29" fillId="0" borderId="6" xfId="11" applyNumberFormat="1" applyFont="1" applyBorder="1" applyAlignment="1" applyProtection="1">
      <alignment horizontal="center" vertical="center" wrapText="1"/>
    </xf>
    <xf numFmtId="0" fontId="29" fillId="0" borderId="13" xfId="11" applyNumberFormat="1" applyFont="1" applyBorder="1" applyAlignment="1" applyProtection="1">
      <alignment horizontal="center" vertical="center" wrapText="1"/>
    </xf>
    <xf numFmtId="0" fontId="29" fillId="0" borderId="18" xfId="11" applyNumberFormat="1" applyFont="1" applyBorder="1" applyAlignment="1" applyProtection="1">
      <alignment horizontal="center" vertical="center" wrapText="1"/>
    </xf>
    <xf numFmtId="14" fontId="29" fillId="0" borderId="6" xfId="11" applyNumberFormat="1" applyFont="1" applyBorder="1" applyAlignment="1" applyProtection="1">
      <alignment horizontal="center" vertical="center"/>
    </xf>
    <xf numFmtId="43" fontId="29" fillId="0" borderId="6" xfId="11" applyNumberFormat="1" applyFont="1" applyBorder="1" applyAlignment="1" applyProtection="1">
      <alignment horizontal="center" vertical="center"/>
    </xf>
    <xf numFmtId="1" fontId="29" fillId="0" borderId="18" xfId="0" applyNumberFormat="1" applyFont="1" applyBorder="1" applyAlignment="1" applyProtection="1">
      <alignment horizontal="justify" vertical="center" wrapText="1"/>
    </xf>
    <xf numFmtId="2" fontId="29" fillId="0" borderId="1" xfId="0" applyNumberFormat="1" applyFont="1" applyBorder="1" applyAlignment="1" applyProtection="1">
      <alignment horizontal="center" vertical="center"/>
    </xf>
    <xf numFmtId="1" fontId="29" fillId="0" borderId="47" xfId="0" applyNumberFormat="1" applyFont="1" applyBorder="1" applyAlignment="1" applyProtection="1">
      <alignment horizontal="center" vertical="center" wrapText="1"/>
    </xf>
    <xf numFmtId="1" fontId="29" fillId="0" borderId="47" xfId="0" applyNumberFormat="1" applyFont="1" applyBorder="1" applyAlignment="1" applyProtection="1">
      <alignment horizontal="center" vertical="center"/>
    </xf>
    <xf numFmtId="1" fontId="29" fillId="0" borderId="6" xfId="0" applyNumberFormat="1" applyFont="1" applyBorder="1" applyAlignment="1" applyProtection="1">
      <alignment vertical="center" wrapText="1"/>
    </xf>
    <xf numFmtId="1" fontId="29" fillId="0" borderId="13" xfId="0" applyNumberFormat="1" applyFont="1" applyBorder="1" applyAlignment="1" applyProtection="1">
      <alignment vertical="center" wrapText="1"/>
    </xf>
    <xf numFmtId="0" fontId="29" fillId="0" borderId="18" xfId="0" applyFont="1" applyBorder="1" applyAlignment="1" applyProtection="1">
      <alignment horizontal="justify" vertical="center"/>
    </xf>
    <xf numFmtId="0" fontId="29" fillId="0" borderId="1" xfId="0" applyFont="1" applyBorder="1" applyAlignment="1" applyProtection="1">
      <alignment horizontal="justify" vertical="center"/>
    </xf>
    <xf numFmtId="9" fontId="29" fillId="0" borderId="18" xfId="13" applyFont="1" applyBorder="1" applyAlignment="1" applyProtection="1">
      <alignment horizontal="center" vertical="center"/>
    </xf>
    <xf numFmtId="171" fontId="29" fillId="0" borderId="18" xfId="0" applyNumberFormat="1" applyFont="1" applyBorder="1" applyAlignment="1" applyProtection="1">
      <alignment horizontal="center" vertical="center"/>
    </xf>
    <xf numFmtId="171" fontId="29" fillId="0" borderId="1" xfId="0" applyNumberFormat="1" applyFont="1" applyBorder="1" applyAlignment="1" applyProtection="1">
      <alignment horizontal="center" vertical="center"/>
    </xf>
    <xf numFmtId="173" fontId="29" fillId="0" borderId="6" xfId="11" applyNumberFormat="1" applyFont="1" applyBorder="1" applyAlignment="1" applyProtection="1">
      <alignment horizontal="center" vertical="center"/>
    </xf>
    <xf numFmtId="173" fontId="29" fillId="0" borderId="13" xfId="11" applyNumberFormat="1" applyFont="1" applyBorder="1" applyAlignment="1" applyProtection="1">
      <alignment horizontal="center" vertical="center"/>
    </xf>
    <xf numFmtId="173" fontId="29" fillId="0" borderId="18" xfId="11" applyNumberFormat="1" applyFont="1" applyBorder="1" applyAlignment="1" applyProtection="1">
      <alignment horizontal="center" vertical="center"/>
    </xf>
    <xf numFmtId="0" fontId="3" fillId="0" borderId="47" xfId="0" applyFont="1" applyBorder="1" applyAlignment="1" applyProtection="1">
      <alignment horizontal="center" vertical="center" wrapText="1"/>
    </xf>
    <xf numFmtId="0" fontId="3" fillId="0" borderId="46" xfId="0" applyFont="1" applyBorder="1" applyAlignment="1" applyProtection="1">
      <alignment horizontal="justify" vertical="center" wrapText="1"/>
    </xf>
    <xf numFmtId="1" fontId="3" fillId="0" borderId="6" xfId="0" applyNumberFormat="1" applyFont="1" applyBorder="1" applyAlignment="1" applyProtection="1">
      <alignment horizontal="center" vertical="center"/>
    </xf>
    <xf numFmtId="1" fontId="3" fillId="0" borderId="18" xfId="0" applyNumberFormat="1" applyFont="1" applyBorder="1" applyAlignment="1" applyProtection="1">
      <alignment horizontal="center" vertical="center"/>
    </xf>
    <xf numFmtId="2" fontId="29" fillId="0" borderId="1" xfId="0" applyNumberFormat="1" applyFont="1" applyBorder="1" applyAlignment="1" applyProtection="1">
      <alignment horizontal="center" vertical="center" wrapText="1"/>
    </xf>
    <xf numFmtId="2" fontId="29" fillId="0" borderId="6" xfId="0" applyNumberFormat="1" applyFont="1" applyBorder="1" applyAlignment="1" applyProtection="1">
      <alignment horizontal="center" vertical="center" wrapText="1"/>
    </xf>
    <xf numFmtId="0" fontId="29" fillId="0" borderId="6" xfId="0" applyFont="1" applyBorder="1" applyAlignment="1" applyProtection="1">
      <alignment horizontal="justify" vertical="center"/>
    </xf>
    <xf numFmtId="10" fontId="29" fillId="0" borderId="6" xfId="13" applyNumberFormat="1" applyFont="1" applyBorder="1" applyAlignment="1" applyProtection="1">
      <alignment horizontal="center" vertical="center"/>
    </xf>
    <xf numFmtId="10" fontId="29" fillId="0" borderId="18" xfId="13" applyNumberFormat="1" applyFont="1" applyBorder="1" applyAlignment="1" applyProtection="1">
      <alignment horizontal="center" vertical="center"/>
    </xf>
    <xf numFmtId="3" fontId="29" fillId="0" borderId="1" xfId="0" applyNumberFormat="1" applyFont="1" applyBorder="1" applyAlignment="1" applyProtection="1">
      <alignment horizontal="center" vertical="center" wrapText="1"/>
    </xf>
    <xf numFmtId="3" fontId="29" fillId="0" borderId="6" xfId="0" applyNumberFormat="1" applyFont="1" applyBorder="1" applyAlignment="1" applyProtection="1">
      <alignment horizontal="center" vertical="center" wrapText="1"/>
    </xf>
    <xf numFmtId="0" fontId="29" fillId="0" borderId="89" xfId="0" applyFont="1" applyBorder="1" applyAlignment="1" applyProtection="1">
      <alignment horizontal="justify" vertical="center" wrapText="1"/>
    </xf>
    <xf numFmtId="0" fontId="29" fillId="0" borderId="90" xfId="0" applyFont="1" applyBorder="1" applyAlignment="1" applyProtection="1">
      <alignment horizontal="justify" vertical="center" wrapText="1"/>
    </xf>
    <xf numFmtId="0" fontId="34" fillId="7" borderId="46" xfId="25" applyFont="1" applyFill="1" applyBorder="1" applyAlignment="1" applyProtection="1">
      <alignment horizontal="justify" vertical="center" wrapText="1"/>
    </xf>
    <xf numFmtId="0" fontId="34" fillId="7" borderId="47" xfId="25" applyFont="1" applyFill="1" applyBorder="1" applyAlignment="1" applyProtection="1">
      <alignment horizontal="justify" vertical="center" wrapText="1"/>
    </xf>
    <xf numFmtId="1" fontId="29" fillId="0" borderId="19" xfId="0" applyNumberFormat="1" applyFont="1" applyBorder="1" applyAlignment="1" applyProtection="1">
      <alignment horizontal="center" vertical="center"/>
    </xf>
    <xf numFmtId="0" fontId="34" fillId="7" borderId="49" xfId="25" applyFont="1" applyFill="1" applyBorder="1" applyAlignment="1" applyProtection="1">
      <alignment horizontal="justify" vertical="center" wrapText="1"/>
    </xf>
    <xf numFmtId="0" fontId="34" fillId="7" borderId="14" xfId="25" applyFont="1" applyFill="1" applyBorder="1" applyAlignment="1" applyProtection="1">
      <alignment horizontal="justify" vertical="center" wrapText="1"/>
    </xf>
    <xf numFmtId="0" fontId="3" fillId="7" borderId="6" xfId="25" applyFont="1" applyFill="1" applyBorder="1" applyAlignment="1" applyProtection="1">
      <alignment horizontal="justify" vertical="center" wrapText="1"/>
    </xf>
    <xf numFmtId="0" fontId="3" fillId="7" borderId="18" xfId="25" applyFont="1" applyFill="1" applyBorder="1" applyAlignment="1" applyProtection="1">
      <alignment horizontal="justify" vertical="center" wrapText="1"/>
    </xf>
    <xf numFmtId="0" fontId="34" fillId="7" borderId="6" xfId="25" applyFont="1" applyFill="1" applyBorder="1" applyAlignment="1" applyProtection="1">
      <alignment horizontal="justify" vertical="center" wrapText="1"/>
    </xf>
    <xf numFmtId="0" fontId="34" fillId="7" borderId="18" xfId="25" applyFont="1" applyFill="1" applyBorder="1" applyAlignment="1" applyProtection="1">
      <alignment horizontal="justify" vertical="center" wrapText="1"/>
    </xf>
    <xf numFmtId="0" fontId="3" fillId="7" borderId="6" xfId="0" applyFont="1" applyFill="1" applyBorder="1" applyAlignment="1" applyProtection="1">
      <alignment horizontal="justify" vertical="center"/>
    </xf>
    <xf numFmtId="0" fontId="3" fillId="7" borderId="13" xfId="0" applyFont="1" applyFill="1" applyBorder="1" applyAlignment="1" applyProtection="1">
      <alignment horizontal="justify" vertical="center"/>
    </xf>
    <xf numFmtId="0" fontId="3" fillId="7" borderId="18" xfId="0" applyFont="1" applyFill="1" applyBorder="1" applyAlignment="1" applyProtection="1">
      <alignment horizontal="justify" vertical="center"/>
    </xf>
    <xf numFmtId="1" fontId="3" fillId="0" borderId="13" xfId="0" applyNumberFormat="1" applyFont="1" applyBorder="1" applyAlignment="1" applyProtection="1">
      <alignment horizontal="center" vertical="center"/>
    </xf>
    <xf numFmtId="10" fontId="29" fillId="0" borderId="13" xfId="13" applyNumberFormat="1" applyFont="1" applyBorder="1" applyAlignment="1" applyProtection="1">
      <alignment horizontal="center" vertical="center"/>
    </xf>
    <xf numFmtId="43" fontId="29" fillId="0" borderId="6" xfId="1" applyFont="1" applyBorder="1" applyAlignment="1" applyProtection="1">
      <alignment horizontal="center" vertical="center"/>
    </xf>
    <xf numFmtId="43" fontId="29" fillId="0" borderId="13" xfId="1" applyFont="1" applyBorder="1" applyAlignment="1" applyProtection="1">
      <alignment horizontal="center" vertical="center"/>
    </xf>
    <xf numFmtId="43" fontId="29" fillId="0" borderId="19" xfId="1" applyFont="1" applyBorder="1" applyAlignment="1" applyProtection="1">
      <alignment horizontal="center" vertical="center"/>
    </xf>
    <xf numFmtId="9" fontId="29" fillId="0" borderId="19" xfId="4" applyFont="1" applyBorder="1" applyAlignment="1" applyProtection="1">
      <alignment horizontal="center" vertical="center"/>
    </xf>
    <xf numFmtId="0" fontId="3" fillId="0" borderId="19" xfId="0" applyFont="1" applyBorder="1" applyAlignment="1" applyProtection="1">
      <alignment horizontal="justify" vertical="center" wrapText="1"/>
    </xf>
    <xf numFmtId="0" fontId="3" fillId="7" borderId="6" xfId="0" applyFont="1" applyFill="1" applyBorder="1" applyAlignment="1" applyProtection="1">
      <alignment horizontal="center" vertical="center"/>
    </xf>
    <xf numFmtId="0" fontId="3" fillId="7" borderId="19" xfId="0" applyFont="1" applyFill="1" applyBorder="1" applyAlignment="1" applyProtection="1">
      <alignment horizontal="center" vertical="center"/>
    </xf>
    <xf numFmtId="1" fontId="3" fillId="0" borderId="19" xfId="0" applyNumberFormat="1" applyFont="1" applyBorder="1" applyAlignment="1" applyProtection="1">
      <alignment horizontal="center" vertical="center"/>
    </xf>
    <xf numFmtId="10" fontId="29" fillId="0" borderId="19" xfId="13" applyNumberFormat="1" applyFont="1" applyBorder="1" applyAlignment="1" applyProtection="1">
      <alignment horizontal="center" vertical="center"/>
    </xf>
    <xf numFmtId="0" fontId="34" fillId="0" borderId="47" xfId="0" applyFont="1" applyBorder="1" applyAlignment="1" applyProtection="1">
      <alignment horizontal="center" vertical="center" wrapText="1"/>
    </xf>
    <xf numFmtId="0" fontId="3" fillId="7" borderId="63" xfId="0" applyFont="1" applyFill="1" applyBorder="1" applyAlignment="1" applyProtection="1">
      <alignment horizontal="justify" vertical="center"/>
    </xf>
    <xf numFmtId="0" fontId="3" fillId="7" borderId="64" xfId="0" applyFont="1" applyFill="1" applyBorder="1" applyAlignment="1" applyProtection="1">
      <alignment horizontal="justify" vertical="center"/>
    </xf>
    <xf numFmtId="0" fontId="3" fillId="7" borderId="92" xfId="0" applyFont="1" applyFill="1" applyBorder="1" applyAlignment="1" applyProtection="1">
      <alignment horizontal="justify" vertical="center"/>
    </xf>
    <xf numFmtId="10" fontId="29" fillId="0" borderId="6" xfId="4" applyNumberFormat="1" applyFont="1" applyBorder="1" applyAlignment="1" applyProtection="1">
      <alignment horizontal="center" vertical="center"/>
    </xf>
    <xf numFmtId="10" fontId="29" fillId="0" borderId="13" xfId="4" applyNumberFormat="1" applyFont="1" applyBorder="1" applyAlignment="1" applyProtection="1">
      <alignment horizontal="center" vertical="center"/>
    </xf>
    <xf numFmtId="10" fontId="29" fillId="0" borderId="18" xfId="4" applyNumberFormat="1" applyFont="1" applyBorder="1" applyAlignment="1" applyProtection="1">
      <alignment horizontal="center" vertical="center"/>
    </xf>
    <xf numFmtId="0" fontId="12" fillId="0" borderId="31" xfId="0" applyFont="1" applyBorder="1" applyAlignment="1" applyProtection="1">
      <alignment horizontal="center" vertical="center" wrapText="1"/>
    </xf>
    <xf numFmtId="0" fontId="12" fillId="0" borderId="32" xfId="0" applyFont="1" applyBorder="1" applyAlignment="1" applyProtection="1">
      <alignment horizontal="center" vertical="center" wrapText="1"/>
    </xf>
    <xf numFmtId="0" fontId="12" fillId="0" borderId="35" xfId="0" applyFont="1" applyBorder="1" applyAlignment="1" applyProtection="1">
      <alignment horizontal="center" vertical="center" wrapText="1"/>
    </xf>
    <xf numFmtId="0" fontId="12" fillId="0" borderId="0" xfId="0" applyFont="1" applyAlignment="1" applyProtection="1">
      <alignment horizontal="center" vertical="center" wrapText="1"/>
    </xf>
    <xf numFmtId="0" fontId="12" fillId="0" borderId="37"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9" fillId="0" borderId="54"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14" xfId="0" applyFont="1" applyBorder="1" applyAlignment="1" applyProtection="1">
      <alignment horizontal="center" vertical="center"/>
    </xf>
    <xf numFmtId="0" fontId="9" fillId="0" borderId="15" xfId="0" applyFont="1" applyBorder="1" applyAlignment="1" applyProtection="1">
      <alignment horizontal="center" vertical="center"/>
    </xf>
    <xf numFmtId="1" fontId="9" fillId="3" borderId="1" xfId="0" applyNumberFormat="1"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172" fontId="9" fillId="3" borderId="1" xfId="0" applyNumberFormat="1" applyFont="1" applyFill="1" applyBorder="1" applyAlignment="1" applyProtection="1">
      <alignment horizontal="center" vertical="center" wrapText="1"/>
    </xf>
    <xf numFmtId="183" fontId="9" fillId="3" borderId="1" xfId="21" applyNumberFormat="1" applyFont="1" applyFill="1" applyBorder="1" applyAlignment="1" applyProtection="1">
      <alignment horizontal="center" vertical="center" wrapText="1"/>
    </xf>
    <xf numFmtId="170" fontId="9"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textRotation="90" wrapText="1"/>
    </xf>
    <xf numFmtId="0" fontId="5" fillId="3" borderId="5" xfId="0" applyFont="1" applyFill="1" applyBorder="1" applyAlignment="1" applyProtection="1">
      <alignment horizontal="center" vertical="center" textRotation="90" wrapText="1"/>
    </xf>
    <xf numFmtId="171" fontId="9" fillId="3" borderId="1" xfId="0" applyNumberFormat="1" applyFont="1" applyFill="1" applyBorder="1" applyAlignment="1" applyProtection="1">
      <alignment horizontal="center" vertical="center" wrapText="1"/>
    </xf>
    <xf numFmtId="0" fontId="9" fillId="4" borderId="7" xfId="0" applyFont="1" applyFill="1" applyBorder="1" applyAlignment="1" applyProtection="1">
      <alignment horizontal="center" vertical="center" textRotation="90" wrapText="1"/>
    </xf>
    <xf numFmtId="0" fontId="9" fillId="4" borderId="8" xfId="0" applyFont="1" applyFill="1" applyBorder="1" applyAlignment="1" applyProtection="1">
      <alignment horizontal="center" vertical="center" textRotation="90" wrapText="1"/>
    </xf>
    <xf numFmtId="0" fontId="9" fillId="4" borderId="14" xfId="0" applyFont="1" applyFill="1" applyBorder="1" applyAlignment="1" applyProtection="1">
      <alignment horizontal="center" vertical="center" textRotation="90" wrapText="1"/>
    </xf>
    <xf numFmtId="0" fontId="9" fillId="4" borderId="15" xfId="0" applyFont="1" applyFill="1" applyBorder="1" applyAlignment="1" applyProtection="1">
      <alignment horizontal="center" vertical="center" textRotation="90" wrapText="1"/>
    </xf>
    <xf numFmtId="0" fontId="10" fillId="0" borderId="5" xfId="0" applyFont="1" applyBorder="1" applyAlignment="1" applyProtection="1">
      <alignment horizontal="center" vertical="center" wrapText="1"/>
    </xf>
    <xf numFmtId="9" fontId="10" fillId="0" borderId="6" xfId="4" applyFont="1" applyBorder="1" applyAlignment="1" applyProtection="1">
      <alignment horizontal="center" vertical="center" wrapText="1"/>
    </xf>
    <xf numFmtId="9" fontId="10" fillId="0" borderId="18" xfId="4" applyFont="1" applyBorder="1" applyAlignment="1" applyProtection="1">
      <alignment horizontal="center" vertical="center" wrapText="1"/>
    </xf>
    <xf numFmtId="43" fontId="10" fillId="0" borderId="1" xfId="1" applyFont="1" applyBorder="1" applyAlignment="1" applyProtection="1">
      <alignment horizontal="justify" vertical="center" wrapText="1"/>
    </xf>
    <xf numFmtId="0" fontId="10" fillId="0" borderId="6" xfId="0" applyFont="1" applyBorder="1" applyAlignment="1" applyProtection="1">
      <alignment horizontal="left" vertical="center" wrapText="1"/>
    </xf>
    <xf numFmtId="0" fontId="10" fillId="0" borderId="18" xfId="0" applyFont="1" applyBorder="1" applyAlignment="1" applyProtection="1">
      <alignment horizontal="left" vertical="center" wrapText="1"/>
    </xf>
    <xf numFmtId="9" fontId="10" fillId="0" borderId="1" xfId="4" applyFont="1" applyBorder="1" applyAlignment="1" applyProtection="1">
      <alignment horizontal="center" vertical="center" wrapText="1"/>
    </xf>
    <xf numFmtId="1" fontId="10" fillId="7" borderId="8" xfId="0" applyNumberFormat="1" applyFont="1" applyFill="1" applyBorder="1" applyAlignment="1" applyProtection="1">
      <alignment horizontal="center" vertical="center" wrapText="1"/>
    </xf>
    <xf numFmtId="1" fontId="10" fillId="7" borderId="17" xfId="0" applyNumberFormat="1" applyFont="1" applyFill="1" applyBorder="1" applyAlignment="1" applyProtection="1">
      <alignment horizontal="center" vertical="center" wrapText="1"/>
    </xf>
    <xf numFmtId="1" fontId="10" fillId="7" borderId="15" xfId="0" applyNumberFormat="1" applyFont="1" applyFill="1" applyBorder="1" applyAlignment="1" applyProtection="1">
      <alignment horizontal="center" vertical="center" wrapText="1"/>
    </xf>
    <xf numFmtId="0" fontId="10" fillId="0" borderId="6" xfId="0" applyFont="1" applyBorder="1" applyAlignment="1" applyProtection="1">
      <alignment horizontal="left" vertical="center" wrapText="1" readingOrder="2"/>
    </xf>
    <xf numFmtId="0" fontId="10" fillId="0" borderId="18" xfId="0" applyFont="1" applyBorder="1" applyAlignment="1" applyProtection="1">
      <alignment horizontal="left" vertical="center" wrapText="1" readingOrder="2"/>
    </xf>
    <xf numFmtId="0" fontId="10" fillId="0" borderId="13"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43" fontId="10" fillId="0" borderId="6" xfId="1" applyFont="1" applyBorder="1" applyAlignment="1" applyProtection="1">
      <alignment horizontal="center" vertical="center" wrapText="1"/>
    </xf>
    <xf numFmtId="43" fontId="10" fillId="0" borderId="13" xfId="1" applyFont="1" applyBorder="1" applyAlignment="1" applyProtection="1">
      <alignment horizontal="center" vertical="center" wrapText="1"/>
    </xf>
    <xf numFmtId="43" fontId="10" fillId="0" borderId="18" xfId="1" applyFont="1" applyBorder="1" applyAlignment="1" applyProtection="1">
      <alignment horizontal="center" vertical="center" wrapText="1"/>
    </xf>
    <xf numFmtId="1" fontId="10" fillId="0" borderId="17" xfId="22" applyNumberFormat="1" applyFont="1" applyBorder="1" applyAlignment="1" applyProtection="1">
      <alignment horizontal="center" vertical="center" wrapText="1"/>
    </xf>
    <xf numFmtId="43" fontId="10" fillId="0" borderId="1" xfId="1" applyFont="1" applyBorder="1" applyAlignment="1" applyProtection="1">
      <alignment horizontal="right" vertical="center" wrapText="1"/>
    </xf>
    <xf numFmtId="166" fontId="10" fillId="0" borderId="6" xfId="0" applyNumberFormat="1" applyFont="1" applyBorder="1" applyAlignment="1" applyProtection="1">
      <alignment horizontal="center" vertical="center" wrapText="1"/>
    </xf>
    <xf numFmtId="166" fontId="10" fillId="0" borderId="13" xfId="0" applyNumberFormat="1" applyFont="1" applyBorder="1" applyAlignment="1" applyProtection="1">
      <alignment horizontal="center" vertical="center" wrapText="1"/>
    </xf>
    <xf numFmtId="166" fontId="10" fillId="0" borderId="18" xfId="0" applyNumberFormat="1" applyFont="1" applyBorder="1" applyAlignment="1" applyProtection="1">
      <alignment horizontal="center" vertical="center" wrapText="1"/>
    </xf>
    <xf numFmtId="3" fontId="10" fillId="0" borderId="36" xfId="0" applyNumberFormat="1" applyFont="1" applyBorder="1" applyAlignment="1" applyProtection="1">
      <alignment horizontal="center" vertical="center" wrapText="1"/>
    </xf>
    <xf numFmtId="0" fontId="10" fillId="7" borderId="0" xfId="0" applyFont="1" applyFill="1" applyAlignment="1" applyProtection="1">
      <alignment horizontal="center" vertical="center" wrapText="1"/>
    </xf>
    <xf numFmtId="0" fontId="10" fillId="0" borderId="5" xfId="0" applyFont="1" applyBorder="1" applyAlignment="1" applyProtection="1">
      <alignment horizontal="justify" vertical="center" wrapText="1"/>
    </xf>
    <xf numFmtId="10" fontId="10" fillId="0" borderId="6" xfId="0" applyNumberFormat="1" applyFont="1" applyBorder="1" applyAlignment="1" applyProtection="1">
      <alignment horizontal="center" vertical="center"/>
    </xf>
    <xf numFmtId="10" fontId="10" fillId="0" borderId="13" xfId="0" applyNumberFormat="1" applyFont="1" applyBorder="1" applyAlignment="1" applyProtection="1">
      <alignment horizontal="center" vertical="center"/>
    </xf>
    <xf numFmtId="10" fontId="10" fillId="0" borderId="18" xfId="0" applyNumberFormat="1" applyFont="1" applyBorder="1" applyAlignment="1" applyProtection="1">
      <alignment horizontal="center" vertical="center"/>
    </xf>
    <xf numFmtId="3" fontId="10" fillId="0" borderId="6" xfId="0" applyNumberFormat="1" applyFont="1" applyBorder="1" applyAlignment="1" applyProtection="1">
      <alignment horizontal="center" vertical="center" wrapText="1"/>
    </xf>
    <xf numFmtId="3" fontId="10" fillId="0" borderId="13" xfId="0" applyNumberFormat="1" applyFont="1" applyBorder="1" applyAlignment="1" applyProtection="1">
      <alignment horizontal="center" vertical="center" wrapText="1"/>
    </xf>
    <xf numFmtId="3" fontId="10" fillId="0" borderId="18" xfId="0" applyNumberFormat="1" applyFont="1" applyBorder="1" applyAlignment="1" applyProtection="1">
      <alignment horizontal="center" vertical="center" wrapText="1"/>
    </xf>
    <xf numFmtId="1" fontId="10" fillId="7" borderId="63" xfId="0" applyNumberFormat="1" applyFont="1" applyFill="1" applyBorder="1" applyAlignment="1" applyProtection="1">
      <alignment horizontal="center" vertical="center" wrapText="1"/>
    </xf>
    <xf numFmtId="1" fontId="10" fillId="7" borderId="64" xfId="0" applyNumberFormat="1" applyFont="1" applyFill="1" applyBorder="1" applyAlignment="1" applyProtection="1">
      <alignment horizontal="center" vertical="center" wrapText="1"/>
    </xf>
    <xf numFmtId="0" fontId="10" fillId="0" borderId="19" xfId="0" applyFont="1" applyBorder="1" applyAlignment="1" applyProtection="1">
      <alignment horizontal="left" vertical="center" wrapText="1"/>
    </xf>
    <xf numFmtId="3" fontId="10" fillId="7" borderId="6" xfId="0" applyNumberFormat="1" applyFont="1" applyFill="1" applyBorder="1" applyAlignment="1" applyProtection="1">
      <alignment horizontal="center" vertical="center" wrapText="1"/>
    </xf>
    <xf numFmtId="3" fontId="10" fillId="7" borderId="13" xfId="0" applyNumberFormat="1" applyFont="1" applyFill="1" applyBorder="1" applyAlignment="1" applyProtection="1">
      <alignment horizontal="center" vertical="center" wrapText="1"/>
    </xf>
    <xf numFmtId="3" fontId="10" fillId="7" borderId="19" xfId="0" applyNumberFormat="1" applyFont="1" applyFill="1" applyBorder="1" applyAlignment="1" applyProtection="1">
      <alignment horizontal="center" vertical="center" wrapText="1"/>
    </xf>
    <xf numFmtId="0" fontId="9" fillId="0" borderId="0" xfId="0" applyFont="1" applyAlignment="1" applyProtection="1">
      <alignment horizontal="center" vertical="center"/>
    </xf>
    <xf numFmtId="171" fontId="9" fillId="0" borderId="0" xfId="0" applyNumberFormat="1" applyFont="1" applyAlignment="1" applyProtection="1">
      <alignment horizontal="justify" vertical="center"/>
    </xf>
    <xf numFmtId="0" fontId="9" fillId="0" borderId="0" xfId="0" applyFont="1" applyAlignment="1" applyProtection="1">
      <alignment horizontal="justify"/>
    </xf>
    <xf numFmtId="0" fontId="10" fillId="0" borderId="0" xfId="0" applyFont="1" applyAlignment="1" applyProtection="1">
      <alignment horizontal="justify"/>
    </xf>
    <xf numFmtId="166" fontId="10" fillId="0" borderId="1" xfId="0" applyNumberFormat="1" applyFont="1" applyBorder="1" applyAlignment="1" applyProtection="1">
      <alignment horizontal="center" vertical="center" wrapText="1"/>
    </xf>
    <xf numFmtId="166" fontId="10" fillId="0" borderId="19" xfId="0" applyNumberFormat="1" applyFont="1" applyBorder="1" applyAlignment="1" applyProtection="1">
      <alignment horizontal="center" vertical="center" wrapText="1"/>
    </xf>
    <xf numFmtId="0" fontId="10" fillId="0" borderId="19" xfId="0" applyFont="1" applyBorder="1" applyAlignment="1" applyProtection="1">
      <alignment horizontal="center" vertical="center" wrapText="1"/>
    </xf>
    <xf numFmtId="9" fontId="10" fillId="0" borderId="19" xfId="4" applyFont="1" applyBorder="1" applyAlignment="1" applyProtection="1">
      <alignment horizontal="center" vertical="center" wrapText="1"/>
    </xf>
    <xf numFmtId="9" fontId="10" fillId="0" borderId="6" xfId="4" applyFont="1" applyBorder="1" applyAlignment="1" applyProtection="1">
      <alignment horizontal="center" vertical="center"/>
    </xf>
    <xf numFmtId="9" fontId="10" fillId="0" borderId="13" xfId="4" applyFont="1" applyBorder="1" applyAlignment="1" applyProtection="1">
      <alignment horizontal="center" vertical="center"/>
    </xf>
    <xf numFmtId="9" fontId="10" fillId="0" borderId="19" xfId="4" applyFont="1" applyBorder="1" applyAlignment="1" applyProtection="1">
      <alignment horizontal="center" vertical="center"/>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3" borderId="13"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8" xfId="0" applyFont="1" applyFill="1" applyBorder="1" applyAlignment="1">
      <alignment horizontal="center" vertical="center" wrapText="1"/>
    </xf>
    <xf numFmtId="3" fontId="2" fillId="3" borderId="6" xfId="0" applyNumberFormat="1" applyFont="1" applyFill="1" applyBorder="1" applyAlignment="1">
      <alignment horizontal="center" vertical="center" wrapText="1"/>
    </xf>
    <xf numFmtId="3" fontId="2" fillId="3" borderId="13" xfId="0" applyNumberFormat="1" applyFont="1" applyFill="1" applyBorder="1" applyAlignment="1">
      <alignment horizontal="center" vertical="center" wrapText="1"/>
    </xf>
    <xf numFmtId="3" fontId="2" fillId="3" borderId="18" xfId="0" applyNumberFormat="1" applyFont="1" applyFill="1" applyBorder="1" applyAlignment="1">
      <alignment horizontal="center" vertical="center" wrapText="1"/>
    </xf>
    <xf numFmtId="3" fontId="5" fillId="5" borderId="6" xfId="0" applyNumberFormat="1" applyFont="1" applyFill="1" applyBorder="1" applyAlignment="1">
      <alignment horizontal="center" vertical="center" wrapText="1"/>
    </xf>
    <xf numFmtId="3" fontId="5" fillId="5" borderId="18"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8" xfId="0" applyFont="1" applyFill="1" applyBorder="1" applyAlignment="1">
      <alignment horizontal="center" vertical="center" wrapText="1"/>
    </xf>
    <xf numFmtId="9" fontId="5" fillId="5" borderId="6" xfId="6" applyFont="1" applyFill="1" applyBorder="1" applyAlignment="1">
      <alignment horizontal="center" vertical="center" wrapText="1"/>
    </xf>
    <xf numFmtId="9" fontId="5" fillId="5" borderId="18" xfId="6"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textRotation="90" wrapText="1"/>
    </xf>
    <xf numFmtId="0" fontId="4" fillId="4" borderId="17" xfId="0" applyFont="1" applyFill="1" applyBorder="1" applyAlignment="1">
      <alignment horizontal="center" vertical="center" textRotation="90" wrapText="1"/>
    </xf>
    <xf numFmtId="0" fontId="4" fillId="4" borderId="14" xfId="0" applyFont="1" applyFill="1" applyBorder="1" applyAlignment="1">
      <alignment horizontal="center" vertical="center" textRotation="90" wrapText="1"/>
    </xf>
    <xf numFmtId="0" fontId="4" fillId="4" borderId="15" xfId="0" applyFont="1" applyFill="1" applyBorder="1" applyAlignment="1">
      <alignment horizontal="center" vertical="center" textRotation="90" wrapText="1"/>
    </xf>
    <xf numFmtId="165" fontId="4" fillId="3" borderId="14" xfId="5" applyFont="1" applyFill="1" applyBorder="1" applyAlignment="1">
      <alignment horizontal="center" vertical="center"/>
    </xf>
    <xf numFmtId="165" fontId="4" fillId="3" borderId="2" xfId="5" applyFont="1" applyFill="1" applyBorder="1" applyAlignment="1">
      <alignment horizontal="center" vertical="center"/>
    </xf>
    <xf numFmtId="165" fontId="4" fillId="3" borderId="15" xfId="5" applyFont="1" applyFill="1" applyBorder="1" applyAlignment="1">
      <alignment horizontal="center" vertical="center"/>
    </xf>
    <xf numFmtId="166" fontId="4" fillId="3" borderId="16" xfId="0" applyNumberFormat="1" applyFont="1" applyFill="1" applyBorder="1" applyAlignment="1">
      <alignment horizontal="center" vertical="center" wrapText="1"/>
    </xf>
    <xf numFmtId="166" fontId="4" fillId="3" borderId="17" xfId="0" applyNumberFormat="1" applyFont="1" applyFill="1" applyBorder="1" applyAlignment="1">
      <alignment horizontal="center" vertical="center" wrapText="1"/>
    </xf>
    <xf numFmtId="166" fontId="4" fillId="3" borderId="14" xfId="0" applyNumberFormat="1" applyFont="1" applyFill="1" applyBorder="1" applyAlignment="1">
      <alignment horizontal="center" vertical="center" wrapText="1"/>
    </xf>
    <xf numFmtId="166" fontId="4" fillId="3" borderId="15" xfId="0" applyNumberFormat="1" applyFont="1" applyFill="1" applyBorder="1" applyAlignment="1">
      <alignment horizontal="center" vertical="center" wrapText="1"/>
    </xf>
    <xf numFmtId="166" fontId="4" fillId="3" borderId="8" xfId="0" applyNumberFormat="1"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0" fillId="7" borderId="6" xfId="0" applyFont="1" applyFill="1" applyBorder="1" applyAlignment="1">
      <alignment horizontal="justify" vertical="center" wrapText="1"/>
    </xf>
    <xf numFmtId="0" fontId="10" fillId="7" borderId="13" xfId="0" applyFont="1" applyFill="1" applyBorder="1" applyAlignment="1">
      <alignment horizontal="justify" vertical="center" wrapText="1"/>
    </xf>
    <xf numFmtId="0" fontId="10" fillId="7" borderId="18" xfId="0" applyFont="1" applyFill="1" applyBorder="1" applyAlignment="1">
      <alignment horizontal="justify" vertical="center" wrapText="1"/>
    </xf>
    <xf numFmtId="9" fontId="10" fillId="7" borderId="6" xfId="4" applyFont="1" applyFill="1" applyBorder="1" applyAlignment="1">
      <alignment horizontal="center" vertical="center" wrapText="1"/>
    </xf>
    <xf numFmtId="9" fontId="10" fillId="7" borderId="13" xfId="4" applyFont="1" applyFill="1" applyBorder="1" applyAlignment="1">
      <alignment horizontal="center" vertical="center" wrapText="1"/>
    </xf>
    <xf numFmtId="9" fontId="10" fillId="7" borderId="18" xfId="4" applyFont="1" applyFill="1" applyBorder="1" applyAlignment="1">
      <alignment horizontal="center" vertical="center" wrapText="1"/>
    </xf>
    <xf numFmtId="43" fontId="10" fillId="7" borderId="6" xfId="1" applyFont="1" applyFill="1" applyBorder="1" applyAlignment="1">
      <alignment horizontal="center" vertical="center" wrapText="1"/>
    </xf>
    <xf numFmtId="43" fontId="10" fillId="7" borderId="13" xfId="1" applyFont="1" applyFill="1" applyBorder="1" applyAlignment="1">
      <alignment horizontal="center" vertical="center" wrapText="1"/>
    </xf>
    <xf numFmtId="43" fontId="10" fillId="7" borderId="18" xfId="1" applyFont="1" applyFill="1" applyBorder="1" applyAlignment="1">
      <alignment horizontal="center" vertical="center" wrapText="1"/>
    </xf>
    <xf numFmtId="3" fontId="10" fillId="7" borderId="6" xfId="0" applyNumberFormat="1" applyFont="1" applyFill="1" applyBorder="1" applyAlignment="1">
      <alignment horizontal="center" vertical="center" wrapText="1"/>
    </xf>
    <xf numFmtId="3" fontId="10" fillId="7" borderId="18" xfId="0" applyNumberFormat="1"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8" xfId="0" applyFont="1" applyBorder="1" applyAlignment="1">
      <alignment horizontal="center" vertical="center" wrapText="1"/>
    </xf>
    <xf numFmtId="3" fontId="8" fillId="0" borderId="6" xfId="0" applyNumberFormat="1" applyFont="1" applyBorder="1" applyAlignment="1">
      <alignment horizontal="center" vertical="center"/>
    </xf>
    <xf numFmtId="3" fontId="8" fillId="0" borderId="13" xfId="0" applyNumberFormat="1" applyFont="1" applyBorder="1" applyAlignment="1">
      <alignment horizontal="center" vertical="center"/>
    </xf>
    <xf numFmtId="3" fontId="8" fillId="0" borderId="18" xfId="0" applyNumberFormat="1" applyFont="1" applyBorder="1" applyAlignment="1">
      <alignment horizontal="center" vertical="center"/>
    </xf>
    <xf numFmtId="0" fontId="10" fillId="0" borderId="6" xfId="0" applyFont="1" applyBorder="1" applyAlignment="1">
      <alignment horizontal="justify" vertical="center" wrapText="1"/>
    </xf>
    <xf numFmtId="0" fontId="10" fillId="0" borderId="13" xfId="0" applyFont="1" applyBorder="1" applyAlignment="1">
      <alignment horizontal="justify" vertical="center" wrapText="1"/>
    </xf>
    <xf numFmtId="0" fontId="10" fillId="0" borderId="18" xfId="0" applyFont="1" applyBorder="1" applyAlignment="1">
      <alignment horizontal="justify" vertical="center" wrapText="1"/>
    </xf>
    <xf numFmtId="9" fontId="3" fillId="0" borderId="6" xfId="4" applyFont="1" applyBorder="1" applyAlignment="1">
      <alignment horizontal="center" vertical="center" wrapText="1"/>
    </xf>
    <xf numFmtId="9" fontId="3" fillId="0" borderId="13" xfId="4" applyFont="1" applyBorder="1" applyAlignment="1">
      <alignment horizontal="center" vertical="center" wrapText="1"/>
    </xf>
    <xf numFmtId="9" fontId="3" fillId="0" borderId="18" xfId="4" applyFont="1" applyBorder="1" applyAlignment="1">
      <alignment horizontal="center" vertical="center" wrapText="1"/>
    </xf>
    <xf numFmtId="0" fontId="3" fillId="7" borderId="6"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8" xfId="0" applyFont="1" applyFill="1" applyBorder="1" applyAlignment="1">
      <alignment horizontal="center" vertical="center" wrapText="1"/>
    </xf>
    <xf numFmtId="43" fontId="3" fillId="0" borderId="6" xfId="1" applyFont="1" applyBorder="1" applyAlignment="1">
      <alignment horizontal="center" vertical="center" wrapText="1"/>
    </xf>
    <xf numFmtId="43" fontId="3" fillId="0" borderId="13" xfId="1" applyFont="1" applyBorder="1" applyAlignment="1">
      <alignment horizontal="center" vertical="center" wrapText="1"/>
    </xf>
    <xf numFmtId="43" fontId="3" fillId="0" borderId="18" xfId="1" applyFont="1" applyBorder="1" applyAlignment="1">
      <alignment horizontal="center" vertical="center" wrapText="1"/>
    </xf>
    <xf numFmtId="166" fontId="3" fillId="0" borderId="6" xfId="0" applyNumberFormat="1" applyFont="1" applyBorder="1" applyAlignment="1">
      <alignment horizontal="center" vertical="center" wrapText="1"/>
    </xf>
    <xf numFmtId="166" fontId="3" fillId="0" borderId="13" xfId="0" applyNumberFormat="1" applyFont="1" applyBorder="1" applyAlignment="1">
      <alignment horizontal="center" vertical="center" wrapText="1"/>
    </xf>
    <xf numFmtId="166" fontId="3" fillId="0" borderId="18" xfId="0" applyNumberFormat="1" applyFont="1" applyBorder="1" applyAlignment="1">
      <alignment horizontal="center" vertical="center" wrapText="1"/>
    </xf>
    <xf numFmtId="3" fontId="3" fillId="0" borderId="6"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3" fillId="0" borderId="18" xfId="0" applyNumberFormat="1" applyFont="1" applyBorder="1" applyAlignment="1">
      <alignment horizontal="center" vertical="center" wrapText="1"/>
    </xf>
    <xf numFmtId="3" fontId="10" fillId="7" borderId="6" xfId="0" applyNumberFormat="1" applyFont="1" applyFill="1" applyBorder="1" applyAlignment="1">
      <alignment horizontal="justify" vertical="center" wrapText="1"/>
    </xf>
    <xf numFmtId="3" fontId="10" fillId="7" borderId="18" xfId="0" applyNumberFormat="1" applyFont="1" applyFill="1" applyBorder="1" applyAlignment="1">
      <alignment horizontal="justify" vertical="center" wrapText="1"/>
    </xf>
    <xf numFmtId="1" fontId="10" fillId="7" borderId="6" xfId="0" applyNumberFormat="1" applyFont="1" applyFill="1" applyBorder="1" applyAlignment="1">
      <alignment horizontal="center" vertical="center" wrapText="1"/>
    </xf>
    <xf numFmtId="1" fontId="10" fillId="7" borderId="18" xfId="0" applyNumberFormat="1" applyFont="1" applyFill="1" applyBorder="1" applyAlignment="1">
      <alignment horizontal="center" vertical="center" wrapText="1"/>
    </xf>
    <xf numFmtId="3" fontId="8" fillId="7" borderId="6" xfId="0" applyNumberFormat="1" applyFont="1" applyFill="1" applyBorder="1" applyAlignment="1">
      <alignment horizontal="center" vertical="center"/>
    </xf>
    <xf numFmtId="3" fontId="8" fillId="7" borderId="18" xfId="0" applyNumberFormat="1" applyFont="1" applyFill="1" applyBorder="1" applyAlignment="1">
      <alignment horizontal="center" vertical="center"/>
    </xf>
    <xf numFmtId="43" fontId="8" fillId="0" borderId="6" xfId="1" applyFont="1" applyBorder="1" applyAlignment="1">
      <alignment horizontal="center" vertical="center"/>
    </xf>
    <xf numFmtId="43" fontId="8" fillId="0" borderId="18" xfId="1" applyFont="1" applyBorder="1" applyAlignment="1">
      <alignment horizontal="center" vertical="center"/>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5" xfId="0" applyFont="1" applyFill="1" applyBorder="1" applyAlignment="1">
      <alignment horizontal="center" vertical="center" wrapText="1"/>
    </xf>
    <xf numFmtId="171" fontId="3" fillId="11" borderId="3" xfId="0" applyNumberFormat="1" applyFont="1" applyFill="1" applyBorder="1" applyAlignment="1">
      <alignment horizontal="center" vertical="center"/>
    </xf>
    <xf numFmtId="171" fontId="3" fillId="11" borderId="4" xfId="0" applyNumberFormat="1" applyFont="1" applyFill="1" applyBorder="1" applyAlignment="1">
      <alignment horizontal="center" vertical="center"/>
    </xf>
    <xf numFmtId="171" fontId="3" fillId="11" borderId="5" xfId="0" applyNumberFormat="1" applyFont="1" applyFill="1" applyBorder="1" applyAlignment="1">
      <alignment horizontal="center" vertical="center"/>
    </xf>
    <xf numFmtId="0" fontId="10" fillId="7" borderId="9"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2" xfId="0" applyFont="1" applyFill="1" applyBorder="1" applyAlignment="1">
      <alignment horizontal="center" vertical="center" wrapText="1"/>
    </xf>
    <xf numFmtId="171" fontId="3" fillId="12" borderId="3" xfId="0" applyNumberFormat="1" applyFont="1" applyFill="1" applyBorder="1" applyAlignment="1">
      <alignment horizontal="center" vertical="center"/>
    </xf>
    <xf numFmtId="171" fontId="3" fillId="12" borderId="4" xfId="0" applyNumberFormat="1" applyFont="1" applyFill="1" applyBorder="1" applyAlignment="1">
      <alignment horizontal="center" vertical="center"/>
    </xf>
    <xf numFmtId="171" fontId="3" fillId="12" borderId="5" xfId="0" applyNumberFormat="1" applyFont="1" applyFill="1" applyBorder="1" applyAlignment="1">
      <alignment horizontal="center" vertical="center"/>
    </xf>
    <xf numFmtId="1" fontId="10" fillId="7" borderId="13" xfId="0" applyNumberFormat="1" applyFont="1" applyFill="1" applyBorder="1" applyAlignment="1">
      <alignment horizontal="center" vertical="center" wrapText="1"/>
    </xf>
    <xf numFmtId="171" fontId="3" fillId="10" borderId="3" xfId="0" applyNumberFormat="1" applyFont="1" applyFill="1" applyBorder="1" applyAlignment="1">
      <alignment horizontal="center" vertical="center"/>
    </xf>
    <xf numFmtId="171" fontId="3" fillId="10" borderId="4" xfId="0" applyNumberFormat="1" applyFont="1" applyFill="1" applyBorder="1" applyAlignment="1">
      <alignment horizontal="center" vertical="center"/>
    </xf>
    <xf numFmtId="171" fontId="3" fillId="10" borderId="5" xfId="0" applyNumberFormat="1" applyFont="1" applyFill="1" applyBorder="1" applyAlignment="1">
      <alignment horizontal="center" vertical="center"/>
    </xf>
    <xf numFmtId="3" fontId="8" fillId="0" borderId="1" xfId="0" applyNumberFormat="1" applyFont="1" applyBorder="1" applyAlignment="1">
      <alignment horizontal="center" vertical="center"/>
    </xf>
    <xf numFmtId="3" fontId="10" fillId="7" borderId="13" xfId="0" applyNumberFormat="1" applyFont="1" applyFill="1" applyBorder="1" applyAlignment="1">
      <alignment horizontal="center" vertical="center" wrapText="1"/>
    </xf>
    <xf numFmtId="0" fontId="10" fillId="7" borderId="42" xfId="0" applyFont="1" applyFill="1" applyBorder="1" applyAlignment="1">
      <alignment horizontal="justify" vertical="center" wrapText="1"/>
    </xf>
    <xf numFmtId="0" fontId="10" fillId="7" borderId="43" xfId="0" applyFont="1" applyFill="1" applyBorder="1" applyAlignment="1">
      <alignment horizontal="justify" vertical="center" wrapText="1"/>
    </xf>
    <xf numFmtId="0" fontId="10" fillId="7" borderId="44" xfId="0" applyFont="1" applyFill="1" applyBorder="1" applyAlignment="1">
      <alignment horizontal="justify" vertical="center" wrapText="1"/>
    </xf>
    <xf numFmtId="0" fontId="10" fillId="0" borderId="71" xfId="0" applyFont="1" applyBorder="1" applyAlignment="1">
      <alignment horizontal="left" vertical="center" wrapText="1"/>
    </xf>
    <xf numFmtId="0" fontId="10" fillId="0" borderId="52" xfId="0" applyFont="1" applyBorder="1" applyAlignment="1">
      <alignment horizontal="left" vertical="center" wrapText="1"/>
    </xf>
    <xf numFmtId="0" fontId="10" fillId="0" borderId="40" xfId="0" applyFont="1" applyBorder="1" applyAlignment="1">
      <alignment horizontal="left" vertical="center" wrapText="1"/>
    </xf>
    <xf numFmtId="0" fontId="3" fillId="7" borderId="1" xfId="0" applyFont="1" applyFill="1" applyBorder="1" applyAlignment="1">
      <alignment horizontal="center" vertical="center" wrapText="1"/>
    </xf>
    <xf numFmtId="3" fontId="10" fillId="12" borderId="31" xfId="20" applyNumberFormat="1" applyFont="1" applyFill="1" applyBorder="1" applyAlignment="1">
      <alignment horizontal="center" vertical="center"/>
    </xf>
    <xf numFmtId="3" fontId="10" fillId="12" borderId="32" xfId="20" applyNumberFormat="1" applyFont="1" applyFill="1" applyBorder="1" applyAlignment="1">
      <alignment horizontal="center" vertical="center"/>
    </xf>
    <xf numFmtId="3" fontId="10" fillId="12" borderId="74" xfId="20" applyNumberFormat="1" applyFont="1" applyFill="1" applyBorder="1" applyAlignment="1">
      <alignment horizontal="center" vertical="center"/>
    </xf>
    <xf numFmtId="0" fontId="9" fillId="0" borderId="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8"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8" xfId="0" applyFont="1" applyBorder="1" applyAlignment="1">
      <alignment horizontal="center" vertical="center" wrapText="1"/>
    </xf>
    <xf numFmtId="166"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43" fontId="3" fillId="0" borderId="1" xfId="1" applyFont="1" applyBorder="1" applyAlignment="1">
      <alignment horizontal="center" vertical="center" wrapText="1"/>
    </xf>
    <xf numFmtId="185" fontId="3" fillId="0" borderId="1" xfId="0" applyNumberFormat="1" applyFont="1" applyBorder="1" applyAlignment="1">
      <alignment horizontal="center" vertical="center" wrapText="1"/>
    </xf>
    <xf numFmtId="185" fontId="3" fillId="0" borderId="6"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9" fontId="3" fillId="0" borderId="6" xfId="0" applyNumberFormat="1" applyFont="1" applyBorder="1" applyAlignment="1">
      <alignment horizontal="center" vertical="center" wrapText="1"/>
    </xf>
    <xf numFmtId="0" fontId="3" fillId="0" borderId="1" xfId="0" applyFont="1" applyBorder="1" applyAlignment="1">
      <alignment horizontal="center" vertical="center" wrapText="1"/>
    </xf>
    <xf numFmtId="3" fontId="10" fillId="0" borderId="75" xfId="0" applyNumberFormat="1" applyFont="1" applyBorder="1" applyAlignment="1">
      <alignment horizontal="center" vertical="center" wrapText="1"/>
    </xf>
    <xf numFmtId="3" fontId="10" fillId="0" borderId="13" xfId="0" applyNumberFormat="1" applyFont="1" applyBorder="1" applyAlignment="1">
      <alignment horizontal="center" vertical="center" wrapText="1"/>
    </xf>
    <xf numFmtId="3" fontId="10" fillId="0" borderId="19" xfId="0" applyNumberFormat="1" applyFont="1" applyBorder="1" applyAlignment="1">
      <alignment horizontal="center" vertical="center" wrapText="1"/>
    </xf>
    <xf numFmtId="0" fontId="10" fillId="7" borderId="42" xfId="0" applyFont="1" applyFill="1" applyBorder="1" applyAlignment="1">
      <alignment horizontal="center" vertical="center" wrapText="1"/>
    </xf>
    <xf numFmtId="0" fontId="10" fillId="7" borderId="43" xfId="0" applyFont="1" applyFill="1" applyBorder="1" applyAlignment="1">
      <alignment horizontal="center" vertical="center" wrapText="1"/>
    </xf>
    <xf numFmtId="0" fontId="10" fillId="7" borderId="44" xfId="0" applyFont="1" applyFill="1" applyBorder="1" applyAlignment="1">
      <alignment horizontal="center" vertical="center" wrapText="1"/>
    </xf>
    <xf numFmtId="3" fontId="10" fillId="0" borderId="71" xfId="0" applyNumberFormat="1" applyFont="1" applyBorder="1" applyAlignment="1">
      <alignment horizontal="center" vertical="center" wrapText="1"/>
    </xf>
    <xf numFmtId="3" fontId="10" fillId="0" borderId="41" xfId="0" applyNumberFormat="1" applyFont="1" applyBorder="1" applyAlignment="1">
      <alignment horizontal="center" vertical="center" wrapText="1"/>
    </xf>
    <xf numFmtId="3" fontId="10" fillId="0" borderId="77" xfId="0" applyNumberFormat="1" applyFont="1" applyBorder="1" applyAlignment="1">
      <alignment horizontal="center" vertical="center" wrapText="1"/>
    </xf>
    <xf numFmtId="0" fontId="10" fillId="7" borderId="40" xfId="0" applyFont="1" applyFill="1" applyBorder="1" applyAlignment="1">
      <alignment horizontal="left" vertical="center" wrapText="1"/>
    </xf>
    <xf numFmtId="0" fontId="10" fillId="7" borderId="52" xfId="0" applyFont="1" applyFill="1" applyBorder="1" applyAlignment="1">
      <alignment horizontal="left" vertical="center" wrapText="1"/>
    </xf>
    <xf numFmtId="10" fontId="10" fillId="0" borderId="6" xfId="4" applyNumberFormat="1" applyFont="1" applyBorder="1" applyAlignment="1">
      <alignment horizontal="center" vertical="center" wrapText="1"/>
    </xf>
    <xf numFmtId="10" fontId="10" fillId="0" borderId="13" xfId="4" applyNumberFormat="1" applyFont="1" applyBorder="1" applyAlignment="1">
      <alignment horizontal="center" vertical="center" wrapText="1"/>
    </xf>
    <xf numFmtId="0" fontId="10" fillId="0" borderId="75" xfId="0" applyFont="1" applyBorder="1" applyAlignment="1">
      <alignment horizontal="center" vertical="center" wrapText="1"/>
    </xf>
    <xf numFmtId="0" fontId="10" fillId="0" borderId="19" xfId="0" applyFont="1" applyBorder="1" applyAlignment="1">
      <alignment horizontal="center" vertical="center" wrapText="1"/>
    </xf>
    <xf numFmtId="1" fontId="10" fillId="0" borderId="75" xfId="0" applyNumberFormat="1" applyFont="1" applyBorder="1" applyAlignment="1">
      <alignment horizontal="center" vertical="center" wrapText="1"/>
    </xf>
    <xf numFmtId="1" fontId="10" fillId="0" borderId="13" xfId="0" applyNumberFormat="1" applyFont="1" applyBorder="1" applyAlignment="1">
      <alignment horizontal="center" vertical="center" wrapText="1"/>
    </xf>
    <xf numFmtId="1" fontId="10" fillId="0" borderId="19" xfId="0" applyNumberFormat="1" applyFont="1" applyBorder="1" applyAlignment="1">
      <alignment horizontal="center" vertical="center" wrapText="1"/>
    </xf>
    <xf numFmtId="0" fontId="10" fillId="0" borderId="75"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19" xfId="0" applyNumberFormat="1" applyFont="1" applyBorder="1" applyAlignment="1">
      <alignment horizontal="center" vertical="center" wrapText="1"/>
    </xf>
    <xf numFmtId="0" fontId="3" fillId="0" borderId="29" xfId="0" applyFont="1" applyBorder="1" applyAlignment="1">
      <alignment horizontal="center" vertical="center" wrapText="1"/>
    </xf>
    <xf numFmtId="0" fontId="3" fillId="0" borderId="1" xfId="0" applyFont="1" applyBorder="1" applyAlignment="1">
      <alignment horizontal="center" vertical="center"/>
    </xf>
    <xf numFmtId="0" fontId="3" fillId="0" borderId="30" xfId="0" applyFont="1" applyBorder="1" applyAlignment="1">
      <alignment horizontal="center" vertical="center"/>
    </xf>
    <xf numFmtId="14" fontId="3" fillId="0" borderId="29" xfId="0" applyNumberFormat="1" applyFont="1" applyBorder="1" applyAlignment="1">
      <alignment horizontal="center" vertical="center"/>
    </xf>
    <xf numFmtId="0" fontId="3" fillId="0" borderId="34"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29" xfId="0" applyFont="1" applyBorder="1" applyAlignment="1">
      <alignment horizontal="center" vertical="center"/>
    </xf>
    <xf numFmtId="0" fontId="3" fillId="7" borderId="29" xfId="0" applyFont="1" applyFill="1" applyBorder="1" applyAlignment="1">
      <alignment horizontal="center" vertical="center"/>
    </xf>
    <xf numFmtId="0" fontId="3" fillId="7" borderId="1" xfId="0" applyFont="1" applyFill="1" applyBorder="1" applyAlignment="1">
      <alignment horizontal="center" vertical="center"/>
    </xf>
    <xf numFmtId="0" fontId="3" fillId="7" borderId="30" xfId="0" applyFont="1" applyFill="1" applyBorder="1" applyAlignment="1">
      <alignment horizontal="center" vertical="center"/>
    </xf>
    <xf numFmtId="43" fontId="3" fillId="0" borderId="29" xfId="1" applyFont="1" applyBorder="1" applyAlignment="1">
      <alignment horizontal="center" vertical="center"/>
    </xf>
    <xf numFmtId="43" fontId="3" fillId="0" borderId="1" xfId="1" applyFont="1" applyBorder="1" applyAlignment="1">
      <alignment horizontal="center" vertical="center"/>
    </xf>
    <xf numFmtId="43" fontId="3" fillId="0" borderId="30" xfId="1" applyFont="1" applyBorder="1" applyAlignment="1">
      <alignment horizontal="center" vertical="center"/>
    </xf>
    <xf numFmtId="44" fontId="3" fillId="0" borderId="29" xfId="3" applyFont="1" applyBorder="1" applyAlignment="1">
      <alignment horizontal="center" vertical="center"/>
    </xf>
    <xf numFmtId="44" fontId="3" fillId="0" borderId="1" xfId="3" applyFont="1" applyBorder="1" applyAlignment="1">
      <alignment horizontal="center" vertical="center"/>
    </xf>
    <xf numFmtId="44" fontId="3" fillId="0" borderId="30" xfId="3" applyFont="1" applyBorder="1" applyAlignment="1">
      <alignment horizontal="center" vertical="center"/>
    </xf>
    <xf numFmtId="9" fontId="3" fillId="0" borderId="29" xfId="4" applyFont="1" applyBorder="1" applyAlignment="1">
      <alignment horizontal="center" vertical="center"/>
    </xf>
    <xf numFmtId="9" fontId="3" fillId="0" borderId="1" xfId="4" applyFont="1" applyBorder="1" applyAlignment="1">
      <alignment horizontal="center" vertical="center"/>
    </xf>
    <xf numFmtId="9" fontId="3" fillId="0" borderId="30" xfId="4" applyFont="1" applyBorder="1" applyAlignment="1">
      <alignment horizontal="center" vertical="center"/>
    </xf>
    <xf numFmtId="0" fontId="3" fillId="7" borderId="29" xfId="0" applyNumberFormat="1" applyFont="1" applyFill="1" applyBorder="1" applyAlignment="1">
      <alignment horizontal="center" vertical="center"/>
    </xf>
    <xf numFmtId="0" fontId="3" fillId="7" borderId="1" xfId="0" applyNumberFormat="1" applyFont="1" applyFill="1" applyBorder="1" applyAlignment="1">
      <alignment horizontal="center" vertical="center"/>
    </xf>
    <xf numFmtId="0" fontId="3" fillId="7" borderId="30" xfId="0" applyNumberFormat="1" applyFont="1" applyFill="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10" fontId="10" fillId="7" borderId="6" xfId="4" applyNumberFormat="1" applyFont="1" applyFill="1" applyBorder="1" applyAlignment="1">
      <alignment horizontal="center" vertical="center" wrapText="1"/>
    </xf>
    <xf numFmtId="10" fontId="10" fillId="7" borderId="18" xfId="4" applyNumberFormat="1" applyFont="1" applyFill="1" applyBorder="1" applyAlignment="1">
      <alignment horizontal="center" vertical="center" wrapText="1"/>
    </xf>
    <xf numFmtId="1" fontId="9" fillId="7" borderId="1" xfId="0" applyNumberFormat="1" applyFont="1" applyFill="1" applyBorder="1" applyAlignment="1">
      <alignment horizontal="center" vertical="center" wrapText="1"/>
    </xf>
    <xf numFmtId="0" fontId="10" fillId="0" borderId="1" xfId="0" applyFont="1" applyBorder="1" applyAlignment="1">
      <alignment horizontal="justify" vertical="center" wrapText="1"/>
    </xf>
    <xf numFmtId="0" fontId="10" fillId="7" borderId="1" xfId="0" applyFont="1" applyFill="1" applyBorder="1" applyAlignment="1">
      <alignment horizontal="center" vertical="center" wrapText="1"/>
    </xf>
    <xf numFmtId="10" fontId="10" fillId="7" borderId="1" xfId="4"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9"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7" xfId="0" applyFont="1" applyFill="1" applyBorder="1" applyAlignment="1">
      <alignment horizontal="center" vertical="center" textRotation="90" wrapText="1"/>
    </xf>
    <xf numFmtId="0" fontId="19" fillId="4" borderId="9" xfId="0" applyFont="1" applyFill="1" applyBorder="1" applyAlignment="1">
      <alignment horizontal="center" vertical="center" textRotation="90" wrapText="1"/>
    </xf>
    <xf numFmtId="0" fontId="19" fillId="4" borderId="14" xfId="0" applyFont="1" applyFill="1" applyBorder="1" applyAlignment="1">
      <alignment horizontal="center" vertical="center" textRotation="90" wrapText="1"/>
    </xf>
    <xf numFmtId="0" fontId="19" fillId="4" borderId="2" xfId="0" applyFont="1" applyFill="1" applyBorder="1" applyAlignment="1">
      <alignment horizontal="center" vertical="center" textRotation="90" wrapText="1"/>
    </xf>
    <xf numFmtId="1" fontId="9" fillId="3" borderId="38"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2" xfId="0" applyFont="1" applyBorder="1" applyAlignment="1">
      <alignment horizontal="center" vertical="center" wrapText="1"/>
    </xf>
    <xf numFmtId="0" fontId="2" fillId="0" borderId="10" xfId="0" applyFont="1" applyBorder="1" applyAlignment="1">
      <alignment horizontal="right" vertical="center" wrapText="1"/>
    </xf>
    <xf numFmtId="0" fontId="2" fillId="0" borderId="78" xfId="0" applyFont="1" applyBorder="1" applyAlignment="1">
      <alignment horizontal="right" vertical="center" wrapText="1"/>
    </xf>
    <xf numFmtId="0" fontId="2" fillId="0" borderId="3" xfId="0" applyFont="1" applyBorder="1" applyAlignment="1">
      <alignment horizontal="right" vertical="center" wrapText="1"/>
    </xf>
    <xf numFmtId="0" fontId="2" fillId="0" borderId="39" xfId="0" applyFont="1" applyBorder="1" applyAlignment="1">
      <alignment horizontal="right" vertical="center" wrapText="1"/>
    </xf>
    <xf numFmtId="3" fontId="2" fillId="0" borderId="3" xfId="0" applyNumberFormat="1" applyFont="1" applyBorder="1" applyAlignment="1">
      <alignment horizontal="right" vertical="center" wrapText="1"/>
    </xf>
    <xf numFmtId="3" fontId="2" fillId="0" borderId="39" xfId="0" applyNumberFormat="1" applyFont="1" applyBorder="1" applyAlignment="1">
      <alignment horizontal="right" vertical="center" wrapText="1"/>
    </xf>
    <xf numFmtId="0" fontId="9" fillId="0" borderId="54" xfId="0" applyFont="1" applyBorder="1" applyAlignment="1">
      <alignment horizontal="center" vertical="center"/>
    </xf>
    <xf numFmtId="0" fontId="9" fillId="0" borderId="9" xfId="0" applyFont="1" applyBorder="1" applyAlignment="1">
      <alignment horizontal="center" vertical="center"/>
    </xf>
    <xf numFmtId="0" fontId="9" fillId="0" borderId="37"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36"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3" fontId="19" fillId="4" borderId="3" xfId="0" applyNumberFormat="1" applyFont="1" applyFill="1" applyBorder="1" applyAlignment="1">
      <alignment horizontal="center" vertical="center" wrapText="1"/>
    </xf>
    <xf numFmtId="3" fontId="19" fillId="4" borderId="4" xfId="0" applyNumberFormat="1" applyFont="1" applyFill="1" applyBorder="1" applyAlignment="1">
      <alignment horizontal="center" vertical="center" wrapText="1"/>
    </xf>
    <xf numFmtId="3" fontId="19" fillId="4" borderId="5" xfId="0" applyNumberFormat="1" applyFont="1" applyFill="1" applyBorder="1" applyAlignment="1">
      <alignment horizontal="center" vertical="center" wrapText="1"/>
    </xf>
    <xf numFmtId="0" fontId="19" fillId="4" borderId="3"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5" xfId="0" applyFont="1" applyFill="1" applyBorder="1" applyAlignment="1">
      <alignment horizontal="center" vertical="center"/>
    </xf>
    <xf numFmtId="165" fontId="3" fillId="7" borderId="7" xfId="17" applyFont="1" applyFill="1" applyBorder="1" applyAlignment="1">
      <alignment horizontal="justify" vertical="center" wrapText="1"/>
    </xf>
    <xf numFmtId="165" fontId="3" fillId="7" borderId="14" xfId="17" applyFont="1" applyFill="1" applyBorder="1" applyAlignment="1">
      <alignment horizontal="justify" vertical="center" wrapText="1"/>
    </xf>
    <xf numFmtId="3" fontId="13" fillId="0" borderId="6" xfId="0" applyNumberFormat="1" applyFont="1" applyBorder="1" applyAlignment="1">
      <alignment horizontal="center" vertical="center"/>
    </xf>
    <xf numFmtId="3" fontId="13" fillId="0" borderId="13" xfId="0" applyNumberFormat="1" applyFont="1" applyBorder="1" applyAlignment="1">
      <alignment horizontal="center" vertical="center"/>
    </xf>
    <xf numFmtId="3" fontId="13" fillId="0" borderId="18" xfId="0" applyNumberFormat="1" applyFont="1" applyBorder="1" applyAlignment="1">
      <alignment horizontal="center" vertical="center"/>
    </xf>
    <xf numFmtId="0" fontId="3" fillId="7" borderId="7" xfId="0" applyFont="1" applyFill="1" applyBorder="1" applyAlignment="1">
      <alignment horizontal="justify" vertical="center" wrapText="1"/>
    </xf>
    <xf numFmtId="0" fontId="3" fillId="7" borderId="14" xfId="0" applyFont="1" applyFill="1" applyBorder="1" applyAlignment="1">
      <alignment horizontal="justify" vertical="center" wrapText="1"/>
    </xf>
    <xf numFmtId="170" fontId="9" fillId="3" borderId="1" xfId="0" applyNumberFormat="1" applyFont="1" applyFill="1" applyBorder="1" applyAlignment="1">
      <alignment horizontal="center" vertical="center" wrapText="1"/>
    </xf>
    <xf numFmtId="3" fontId="9" fillId="3" borderId="36" xfId="0" applyNumberFormat="1" applyFont="1" applyFill="1" applyBorder="1" applyAlignment="1">
      <alignment horizontal="center" vertical="center" wrapText="1"/>
    </xf>
    <xf numFmtId="1" fontId="9" fillId="7" borderId="8" xfId="0" applyNumberFormat="1" applyFont="1" applyFill="1" applyBorder="1" applyAlignment="1">
      <alignment horizontal="center" vertical="center" wrapText="1"/>
    </xf>
    <xf numFmtId="1" fontId="9" fillId="7" borderId="17" xfId="0" applyNumberFormat="1" applyFont="1" applyFill="1" applyBorder="1" applyAlignment="1">
      <alignment horizontal="center" vertical="center" wrapText="1"/>
    </xf>
    <xf numFmtId="1" fontId="9" fillId="7" borderId="15" xfId="0" applyNumberFormat="1"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16"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1" xfId="0" applyFont="1" applyFill="1" applyBorder="1" applyAlignment="1">
      <alignment horizontal="center" vertical="center" wrapText="1"/>
    </xf>
    <xf numFmtId="3" fontId="3" fillId="7" borderId="6" xfId="17" applyNumberFormat="1" applyFont="1" applyFill="1" applyBorder="1" applyAlignment="1">
      <alignment horizontal="center" vertical="center" wrapText="1"/>
    </xf>
    <xf numFmtId="3" fontId="3" fillId="7" borderId="18" xfId="17" applyNumberFormat="1" applyFont="1" applyFill="1" applyBorder="1" applyAlignment="1">
      <alignment horizontal="center" vertical="center" wrapText="1"/>
    </xf>
    <xf numFmtId="165" fontId="3" fillId="7" borderId="6" xfId="17" applyFont="1" applyFill="1" applyBorder="1" applyAlignment="1">
      <alignment horizontal="left" vertical="center" wrapText="1"/>
    </xf>
    <xf numFmtId="165" fontId="3" fillId="7" borderId="18" xfId="17" applyFont="1" applyFill="1" applyBorder="1" applyAlignment="1">
      <alignment horizontal="left" vertical="center" wrapText="1"/>
    </xf>
    <xf numFmtId="0" fontId="25" fillId="3" borderId="3" xfId="0" applyFont="1" applyFill="1" applyBorder="1" applyAlignment="1">
      <alignment horizontal="center" vertical="center" textRotation="90" wrapText="1"/>
    </xf>
    <xf numFmtId="0" fontId="25" fillId="3" borderId="5" xfId="0" applyFont="1" applyFill="1" applyBorder="1" applyAlignment="1">
      <alignment horizontal="center" vertical="center" textRotation="90" wrapText="1"/>
    </xf>
    <xf numFmtId="0" fontId="19" fillId="5" borderId="3"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19" fillId="5" borderId="5" xfId="0" applyFont="1" applyFill="1" applyBorder="1" applyAlignment="1">
      <alignment horizontal="center" vertical="center" wrapText="1"/>
    </xf>
    <xf numFmtId="170" fontId="9" fillId="3" borderId="3" xfId="0" applyNumberFormat="1" applyFont="1" applyFill="1" applyBorder="1" applyAlignment="1">
      <alignment horizontal="center" vertical="center" wrapText="1"/>
    </xf>
    <xf numFmtId="170" fontId="9" fillId="3" borderId="5" xfId="0" applyNumberFormat="1" applyFont="1" applyFill="1" applyBorder="1" applyAlignment="1">
      <alignment horizontal="center" vertical="center" wrapText="1"/>
    </xf>
    <xf numFmtId="172" fontId="9" fillId="3" borderId="1" xfId="0" applyNumberFormat="1" applyFont="1" applyFill="1" applyBorder="1" applyAlignment="1">
      <alignment horizontal="center" vertical="center" wrapText="1"/>
    </xf>
    <xf numFmtId="171" fontId="9" fillId="3" borderId="1" xfId="0" applyNumberFormat="1" applyFont="1" applyFill="1" applyBorder="1" applyAlignment="1">
      <alignment horizontal="center" vertical="center" wrapText="1"/>
    </xf>
    <xf numFmtId="171" fontId="9" fillId="3" borderId="7" xfId="0" applyNumberFormat="1" applyFont="1" applyFill="1" applyBorder="1" applyAlignment="1">
      <alignment horizontal="center" vertical="center" wrapText="1"/>
    </xf>
    <xf numFmtId="171" fontId="9" fillId="3" borderId="14" xfId="0" applyNumberFormat="1" applyFont="1" applyFill="1" applyBorder="1" applyAlignment="1">
      <alignment horizontal="center" vertical="center" wrapText="1"/>
    </xf>
    <xf numFmtId="171" fontId="9" fillId="3" borderId="6" xfId="0" applyNumberFormat="1" applyFont="1" applyFill="1" applyBorder="1" applyAlignment="1">
      <alignment horizontal="center" vertical="center" wrapText="1"/>
    </xf>
    <xf numFmtId="171" fontId="9" fillId="3" borderId="18" xfId="0" applyNumberFormat="1" applyFont="1" applyFill="1" applyBorder="1" applyAlignment="1">
      <alignment horizontal="center" vertical="center" wrapText="1"/>
    </xf>
    <xf numFmtId="0" fontId="3" fillId="0" borderId="1" xfId="0" applyFont="1" applyBorder="1" applyAlignment="1">
      <alignment vertical="center" wrapText="1"/>
    </xf>
    <xf numFmtId="0" fontId="13" fillId="0" borderId="1" xfId="0" applyFont="1" applyBorder="1" applyAlignment="1">
      <alignment vertical="center" wrapText="1"/>
    </xf>
    <xf numFmtId="0" fontId="3" fillId="7" borderId="16" xfId="0" applyFont="1" applyFill="1" applyBorder="1" applyAlignment="1">
      <alignment horizontal="center" vertical="center" wrapText="1"/>
    </xf>
    <xf numFmtId="0" fontId="3" fillId="7" borderId="0" xfId="0" applyFont="1" applyFill="1" applyAlignment="1">
      <alignment horizontal="center" vertical="center" wrapText="1"/>
    </xf>
    <xf numFmtId="3" fontId="3" fillId="7" borderId="1" xfId="17" applyNumberFormat="1" applyFont="1" applyFill="1" applyBorder="1" applyAlignment="1">
      <alignment horizontal="center" vertical="center" wrapText="1"/>
    </xf>
    <xf numFmtId="165" fontId="3" fillId="7" borderId="1" xfId="17" applyFont="1" applyFill="1" applyBorder="1" applyAlignment="1">
      <alignment horizontal="justify" vertical="center" wrapText="1"/>
    </xf>
    <xf numFmtId="165" fontId="3" fillId="0" borderId="1" xfId="17" applyFont="1" applyFill="1" applyBorder="1" applyAlignment="1">
      <alignment horizontal="justify" vertical="center" wrapText="1"/>
    </xf>
    <xf numFmtId="186" fontId="3" fillId="7" borderId="1" xfId="17" applyNumberFormat="1" applyFont="1" applyFill="1" applyBorder="1" applyAlignment="1">
      <alignment horizontal="center" vertical="center"/>
    </xf>
    <xf numFmtId="3" fontId="3" fillId="7" borderId="1" xfId="17" applyNumberFormat="1" applyFont="1" applyFill="1" applyBorder="1" applyAlignment="1">
      <alignment horizontal="center" vertical="center"/>
    </xf>
    <xf numFmtId="9" fontId="3" fillId="7" borderId="1" xfId="4" applyFont="1" applyFill="1" applyBorder="1" applyAlignment="1">
      <alignment horizontal="center" vertical="center" wrapText="1"/>
    </xf>
    <xf numFmtId="14" fontId="3" fillId="0" borderId="6" xfId="0" applyNumberFormat="1" applyFont="1" applyBorder="1" applyAlignment="1">
      <alignment horizontal="center" vertical="center"/>
    </xf>
    <xf numFmtId="14" fontId="3" fillId="0" borderId="18" xfId="0" applyNumberFormat="1" applyFont="1" applyBorder="1" applyAlignment="1">
      <alignment horizontal="center" vertical="center"/>
    </xf>
    <xf numFmtId="43" fontId="3" fillId="0" borderId="6" xfId="1" applyFont="1" applyBorder="1" applyAlignment="1">
      <alignment horizontal="center" vertical="center"/>
    </xf>
    <xf numFmtId="43" fontId="3" fillId="0" borderId="13" xfId="1" applyFont="1" applyBorder="1" applyAlignment="1">
      <alignment horizontal="center" vertical="center"/>
    </xf>
    <xf numFmtId="43" fontId="3" fillId="0" borderId="18" xfId="1" applyFont="1" applyBorder="1" applyAlignment="1">
      <alignment horizontal="center" vertical="center"/>
    </xf>
    <xf numFmtId="9" fontId="3" fillId="0" borderId="6" xfId="0" applyNumberFormat="1" applyFont="1" applyBorder="1" applyAlignment="1">
      <alignment horizontal="center" vertical="center"/>
    </xf>
    <xf numFmtId="9" fontId="3" fillId="0" borderId="13" xfId="0" applyNumberFormat="1" applyFont="1" applyBorder="1" applyAlignment="1">
      <alignment horizontal="center" vertical="center"/>
    </xf>
    <xf numFmtId="9" fontId="3" fillId="0" borderId="18" xfId="0" applyNumberFormat="1" applyFont="1" applyBorder="1" applyAlignment="1">
      <alignment horizontal="center" vertical="center"/>
    </xf>
    <xf numFmtId="165" fontId="3" fillId="0" borderId="6" xfId="17" applyFont="1" applyFill="1" applyBorder="1" applyAlignment="1">
      <alignment horizontal="left" vertical="center" wrapText="1"/>
    </xf>
    <xf numFmtId="165" fontId="3" fillId="0" borderId="18" xfId="17" applyFont="1" applyFill="1" applyBorder="1" applyAlignment="1">
      <alignment horizontal="left" vertical="center" wrapText="1"/>
    </xf>
    <xf numFmtId="3" fontId="3" fillId="0" borderId="6" xfId="17" applyNumberFormat="1" applyFont="1" applyBorder="1" applyAlignment="1">
      <alignment horizontal="center" vertical="center"/>
    </xf>
    <xf numFmtId="3" fontId="3" fillId="0" borderId="18" xfId="17" applyNumberFormat="1" applyFont="1" applyBorder="1" applyAlignment="1">
      <alignment horizontal="center" vertical="center"/>
    </xf>
    <xf numFmtId="165" fontId="3" fillId="7" borderId="9" xfId="17" applyFont="1" applyFill="1" applyBorder="1" applyAlignment="1">
      <alignment horizontal="justify" vertical="center" wrapText="1"/>
    </xf>
    <xf numFmtId="165" fontId="3" fillId="7" borderId="0" xfId="17" applyFont="1" applyFill="1" applyBorder="1" applyAlignment="1">
      <alignment horizontal="justify" vertical="center" wrapText="1"/>
    </xf>
    <xf numFmtId="3" fontId="13" fillId="7" borderId="6" xfId="0" applyNumberFormat="1" applyFont="1" applyFill="1" applyBorder="1" applyAlignment="1">
      <alignment horizontal="justify" vertical="center" wrapText="1"/>
    </xf>
    <xf numFmtId="3" fontId="13" fillId="7" borderId="13" xfId="0" applyNumberFormat="1" applyFont="1" applyFill="1" applyBorder="1" applyAlignment="1">
      <alignment horizontal="justify" vertical="center" wrapText="1"/>
    </xf>
    <xf numFmtId="3" fontId="13" fillId="7" borderId="18" xfId="0" applyNumberFormat="1" applyFont="1" applyFill="1" applyBorder="1" applyAlignment="1">
      <alignment horizontal="justify" vertical="center" wrapText="1"/>
    </xf>
    <xf numFmtId="3" fontId="13" fillId="7" borderId="6" xfId="0" applyNumberFormat="1" applyFont="1" applyFill="1" applyBorder="1" applyAlignment="1">
      <alignment horizontal="center" vertical="center" wrapText="1"/>
    </xf>
    <xf numFmtId="3" fontId="13" fillId="7" borderId="13" xfId="0" applyNumberFormat="1" applyFont="1" applyFill="1" applyBorder="1" applyAlignment="1">
      <alignment horizontal="center" vertical="center" wrapText="1"/>
    </xf>
    <xf numFmtId="3" fontId="13" fillId="7" borderId="18" xfId="0" applyNumberFormat="1" applyFont="1" applyFill="1" applyBorder="1" applyAlignment="1">
      <alignment horizontal="center" vertical="center" wrapText="1"/>
    </xf>
    <xf numFmtId="3" fontId="13" fillId="0" borderId="1" xfId="0" applyNumberFormat="1" applyFont="1" applyBorder="1" applyAlignment="1">
      <alignment horizontal="justify" vertical="center"/>
    </xf>
    <xf numFmtId="3" fontId="3" fillId="0" borderId="6" xfId="0" applyNumberFormat="1" applyFont="1" applyBorder="1" applyAlignment="1">
      <alignment horizontal="justify" vertical="center"/>
    </xf>
    <xf numFmtId="3" fontId="3" fillId="0" borderId="13" xfId="0" applyNumberFormat="1" applyFont="1" applyBorder="1" applyAlignment="1">
      <alignment horizontal="justify" vertical="center"/>
    </xf>
    <xf numFmtId="3" fontId="3" fillId="0" borderId="18" xfId="0" applyNumberFormat="1" applyFont="1" applyBorder="1" applyAlignment="1">
      <alignment horizontal="justify" vertical="center"/>
    </xf>
    <xf numFmtId="3" fontId="3" fillId="0" borderId="1" xfId="0" applyNumberFormat="1" applyFont="1" applyBorder="1" applyAlignment="1">
      <alignment horizontal="justify" vertical="center"/>
    </xf>
    <xf numFmtId="3" fontId="3" fillId="7" borderId="13" xfId="17" applyNumberFormat="1" applyFont="1" applyFill="1" applyBorder="1" applyAlignment="1">
      <alignment horizontal="center" vertical="center" wrapText="1"/>
    </xf>
    <xf numFmtId="165" fontId="3" fillId="7" borderId="6" xfId="17" applyFont="1" applyFill="1" applyBorder="1" applyAlignment="1">
      <alignment horizontal="center" vertical="center" wrapText="1"/>
    </xf>
    <xf numFmtId="165" fontId="3" fillId="7" borderId="13" xfId="17" applyFont="1" applyFill="1" applyBorder="1" applyAlignment="1">
      <alignment horizontal="center" vertical="center" wrapText="1"/>
    </xf>
    <xf numFmtId="165" fontId="3" fillId="7" borderId="18" xfId="17" applyFont="1" applyFill="1" applyBorder="1" applyAlignment="1">
      <alignment horizontal="center" vertical="center" wrapText="1"/>
    </xf>
    <xf numFmtId="165" fontId="3" fillId="0" borderId="6" xfId="17" applyFont="1" applyFill="1" applyBorder="1" applyAlignment="1">
      <alignment horizontal="center" vertical="center" wrapText="1"/>
    </xf>
    <xf numFmtId="165" fontId="3" fillId="0" borderId="13" xfId="17" applyFont="1" applyFill="1" applyBorder="1" applyAlignment="1">
      <alignment horizontal="center" vertical="center" wrapText="1"/>
    </xf>
    <xf numFmtId="165" fontId="3" fillId="0" borderId="18" xfId="17" applyFont="1" applyFill="1" applyBorder="1" applyAlignment="1">
      <alignment horizontal="center" vertical="center" wrapText="1"/>
    </xf>
    <xf numFmtId="3" fontId="3" fillId="0" borderId="13" xfId="17" applyNumberFormat="1" applyFont="1" applyBorder="1" applyAlignment="1">
      <alignment horizontal="center" vertical="center"/>
    </xf>
    <xf numFmtId="4" fontId="3" fillId="0" borderId="6" xfId="17" applyNumberFormat="1" applyFont="1" applyBorder="1" applyAlignment="1">
      <alignment horizontal="center" vertical="center"/>
    </xf>
    <xf numFmtId="4" fontId="3" fillId="0" borderId="13" xfId="17" applyNumberFormat="1" applyFont="1" applyBorder="1" applyAlignment="1">
      <alignment horizontal="center" vertical="center"/>
    </xf>
    <xf numFmtId="4" fontId="3" fillId="0" borderId="18" xfId="17" applyNumberFormat="1" applyFont="1" applyBorder="1" applyAlignment="1">
      <alignment horizontal="center" vertical="center"/>
    </xf>
    <xf numFmtId="9" fontId="3" fillId="7" borderId="6" xfId="4" applyFont="1" applyFill="1" applyBorder="1" applyAlignment="1">
      <alignment horizontal="center" vertical="center" wrapText="1"/>
    </xf>
    <xf numFmtId="9" fontId="3" fillId="7" borderId="13" xfId="4" applyFont="1" applyFill="1" applyBorder="1" applyAlignment="1">
      <alignment horizontal="center" vertical="center" wrapText="1"/>
    </xf>
    <xf numFmtId="9" fontId="3" fillId="7" borderId="18" xfId="4" applyFont="1" applyFill="1" applyBorder="1" applyAlignment="1">
      <alignment horizontal="center" vertical="center" wrapText="1"/>
    </xf>
    <xf numFmtId="3" fontId="3" fillId="0" borderId="6"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3" fillId="0" borderId="18" xfId="0" applyNumberFormat="1" applyFont="1" applyBorder="1" applyAlignment="1">
      <alignment horizontal="center" vertical="center"/>
    </xf>
    <xf numFmtId="3" fontId="13" fillId="0" borderId="6" xfId="0" applyNumberFormat="1" applyFont="1" applyBorder="1" applyAlignment="1">
      <alignment horizontal="justify" vertical="center"/>
    </xf>
    <xf numFmtId="3" fontId="13" fillId="0" borderId="13" xfId="0" applyNumberFormat="1" applyFont="1" applyBorder="1" applyAlignment="1">
      <alignment horizontal="justify" vertical="center"/>
    </xf>
    <xf numFmtId="3" fontId="13" fillId="0" borderId="18" xfId="0" applyNumberFormat="1" applyFont="1" applyBorder="1" applyAlignment="1">
      <alignment horizontal="justify" vertical="center"/>
    </xf>
    <xf numFmtId="3" fontId="13" fillId="7" borderId="6" xfId="0" applyNumberFormat="1" applyFont="1" applyFill="1" applyBorder="1" applyAlignment="1">
      <alignment horizontal="center" vertical="center"/>
    </xf>
    <xf numFmtId="3" fontId="13" fillId="7" borderId="13" xfId="0" applyNumberFormat="1" applyFont="1" applyFill="1" applyBorder="1" applyAlignment="1">
      <alignment horizontal="center" vertical="center"/>
    </xf>
    <xf numFmtId="3" fontId="13" fillId="7" borderId="18" xfId="0" applyNumberFormat="1" applyFont="1" applyFill="1" applyBorder="1" applyAlignment="1">
      <alignment horizontal="center" vertical="center"/>
    </xf>
    <xf numFmtId="3" fontId="13" fillId="7" borderId="6" xfId="0" applyNumberFormat="1" applyFont="1" applyFill="1" applyBorder="1" applyAlignment="1">
      <alignment horizontal="justify" vertical="center"/>
    </xf>
    <xf numFmtId="3" fontId="13" fillId="7" borderId="13" xfId="0" applyNumberFormat="1" applyFont="1" applyFill="1" applyBorder="1" applyAlignment="1">
      <alignment horizontal="justify" vertical="center"/>
    </xf>
    <xf numFmtId="3" fontId="13" fillId="7" borderId="18" xfId="0" applyNumberFormat="1" applyFont="1" applyFill="1" applyBorder="1" applyAlignment="1">
      <alignment horizontal="justify" vertical="center"/>
    </xf>
    <xf numFmtId="1" fontId="3" fillId="7" borderId="6" xfId="24" applyNumberFormat="1" applyFont="1" applyFill="1" applyBorder="1" applyAlignment="1">
      <alignment horizontal="center" vertical="center" wrapText="1"/>
    </xf>
    <xf numFmtId="1" fontId="3" fillId="7" borderId="13" xfId="24" applyNumberFormat="1" applyFont="1" applyFill="1" applyBorder="1" applyAlignment="1">
      <alignment horizontal="center" vertical="center" wrapText="1"/>
    </xf>
    <xf numFmtId="1" fontId="3" fillId="7" borderId="18" xfId="24" applyNumberFormat="1" applyFont="1" applyFill="1" applyBorder="1" applyAlignment="1">
      <alignment horizontal="center" vertical="center" wrapText="1"/>
    </xf>
    <xf numFmtId="165" fontId="3" fillId="7" borderId="13" xfId="17" applyFont="1" applyFill="1" applyBorder="1" applyAlignment="1">
      <alignment horizontal="left" vertical="center" wrapText="1"/>
    </xf>
    <xf numFmtId="1" fontId="3" fillId="7" borderId="13" xfId="17" applyNumberFormat="1" applyFont="1" applyFill="1" applyBorder="1" applyAlignment="1">
      <alignment horizontal="center" vertical="center"/>
    </xf>
    <xf numFmtId="1" fontId="3" fillId="7" borderId="18" xfId="17" applyNumberFormat="1" applyFont="1" applyFill="1" applyBorder="1" applyAlignment="1">
      <alignment horizontal="center" vertical="center"/>
    </xf>
    <xf numFmtId="1" fontId="3" fillId="7" borderId="1" xfId="17" applyNumberFormat="1" applyFont="1" applyFill="1" applyBorder="1" applyAlignment="1">
      <alignment horizontal="center" vertical="center"/>
    </xf>
    <xf numFmtId="3" fontId="3" fillId="0" borderId="1" xfId="17" applyNumberFormat="1" applyFont="1" applyBorder="1" applyAlignment="1">
      <alignment horizontal="center" vertical="center"/>
    </xf>
    <xf numFmtId="3" fontId="3" fillId="0" borderId="6" xfId="17" applyNumberFormat="1" applyFont="1" applyFill="1" applyBorder="1" applyAlignment="1">
      <alignment horizontal="center" vertical="center"/>
    </xf>
    <xf numFmtId="3" fontId="3" fillId="0" borderId="13" xfId="17" applyNumberFormat="1" applyFont="1" applyFill="1" applyBorder="1" applyAlignment="1">
      <alignment horizontal="center" vertical="center"/>
    </xf>
    <xf numFmtId="3" fontId="3" fillId="0" borderId="18" xfId="17" applyNumberFormat="1" applyFont="1" applyFill="1" applyBorder="1" applyAlignment="1">
      <alignment horizontal="center" vertical="center"/>
    </xf>
    <xf numFmtId="10" fontId="3" fillId="7" borderId="1" xfId="4" applyNumberFormat="1" applyFont="1" applyFill="1" applyBorder="1" applyAlignment="1">
      <alignment horizontal="center" vertical="center" wrapText="1"/>
    </xf>
    <xf numFmtId="49" fontId="3" fillId="0" borderId="8" xfId="17" applyNumberFormat="1" applyFont="1" applyFill="1" applyBorder="1" applyAlignment="1">
      <alignment horizontal="center" vertical="center" wrapText="1"/>
    </xf>
    <xf numFmtId="49" fontId="3" fillId="0" borderId="17" xfId="17" applyNumberFormat="1" applyFont="1" applyFill="1" applyBorder="1" applyAlignment="1">
      <alignment horizontal="center" vertical="center" wrapText="1"/>
    </xf>
    <xf numFmtId="165" fontId="3" fillId="7" borderId="16" xfId="17" applyFont="1" applyFill="1" applyBorder="1" applyAlignment="1">
      <alignment horizontal="justify" vertical="center" wrapText="1"/>
    </xf>
    <xf numFmtId="10" fontId="3" fillId="7" borderId="6" xfId="4" applyNumberFormat="1" applyFont="1" applyFill="1" applyBorder="1" applyAlignment="1">
      <alignment horizontal="center" vertical="center" wrapText="1"/>
    </xf>
    <xf numFmtId="10" fontId="3" fillId="7" borderId="13" xfId="4" applyNumberFormat="1" applyFont="1" applyFill="1" applyBorder="1" applyAlignment="1">
      <alignment horizontal="center" vertical="center" wrapText="1"/>
    </xf>
    <xf numFmtId="10" fontId="3" fillId="7" borderId="18" xfId="4" applyNumberFormat="1" applyFont="1" applyFill="1" applyBorder="1" applyAlignment="1">
      <alignment horizontal="center" vertical="center" wrapText="1"/>
    </xf>
    <xf numFmtId="43" fontId="3" fillId="7" borderId="6" xfId="1" applyFont="1" applyFill="1" applyBorder="1" applyAlignment="1">
      <alignment horizontal="center" vertical="center" wrapText="1"/>
    </xf>
    <xf numFmtId="43" fontId="3" fillId="7" borderId="13" xfId="1" applyFont="1" applyFill="1" applyBorder="1" applyAlignment="1">
      <alignment horizontal="center" vertical="center" wrapText="1"/>
    </xf>
    <xf numFmtId="43" fontId="3" fillId="7" borderId="18" xfId="1" applyFont="1" applyFill="1" applyBorder="1" applyAlignment="1">
      <alignment horizontal="center" vertical="center" wrapText="1"/>
    </xf>
    <xf numFmtId="165" fontId="3" fillId="7" borderId="3" xfId="17" applyFont="1" applyFill="1" applyBorder="1" applyAlignment="1">
      <alignment horizontal="justify" vertical="center" wrapText="1"/>
    </xf>
    <xf numFmtId="49" fontId="3" fillId="0" borderId="1" xfId="17" applyNumberFormat="1" applyFont="1" applyFill="1" applyBorder="1" applyAlignment="1">
      <alignment horizontal="center" vertical="center" wrapText="1"/>
    </xf>
    <xf numFmtId="1" fontId="3" fillId="7" borderId="6" xfId="17" applyNumberFormat="1" applyFont="1" applyFill="1" applyBorder="1" applyAlignment="1">
      <alignment horizontal="center" vertical="center"/>
    </xf>
    <xf numFmtId="165" fontId="3" fillId="0" borderId="7" xfId="17" applyFont="1" applyFill="1" applyBorder="1" applyAlignment="1">
      <alignment horizontal="justify" vertical="center" wrapText="1"/>
    </xf>
    <xf numFmtId="165" fontId="3" fillId="0" borderId="14" xfId="17" applyFont="1" applyFill="1" applyBorder="1" applyAlignment="1">
      <alignment horizontal="justify" vertical="center" wrapText="1"/>
    </xf>
    <xf numFmtId="170" fontId="3" fillId="0" borderId="6" xfId="0" applyNumberFormat="1" applyFont="1" applyFill="1" applyBorder="1" applyAlignment="1">
      <alignment horizontal="center" vertical="center"/>
    </xf>
    <xf numFmtId="170" fontId="3" fillId="0" borderId="18" xfId="0" applyNumberFormat="1" applyFont="1" applyFill="1" applyBorder="1" applyAlignment="1">
      <alignment horizontal="center" vertical="center"/>
    </xf>
    <xf numFmtId="170" fontId="3" fillId="0" borderId="6" xfId="0" applyNumberFormat="1" applyFont="1" applyFill="1" applyBorder="1" applyAlignment="1">
      <alignment horizontal="left" vertical="center" wrapText="1"/>
    </xf>
    <xf numFmtId="170" fontId="3" fillId="0" borderId="13" xfId="0" applyNumberFormat="1" applyFont="1" applyFill="1" applyBorder="1" applyAlignment="1">
      <alignment horizontal="left" vertical="center" wrapText="1"/>
    </xf>
    <xf numFmtId="0" fontId="13" fillId="0" borderId="13" xfId="0" applyFont="1" applyBorder="1" applyAlignment="1">
      <alignment horizontal="left" vertical="center"/>
    </xf>
    <xf numFmtId="0" fontId="13" fillId="0" borderId="18" xfId="0" applyFont="1" applyBorder="1" applyAlignment="1">
      <alignment horizontal="left" vertical="center"/>
    </xf>
    <xf numFmtId="0" fontId="3" fillId="0" borderId="7" xfId="0" applyFont="1" applyFill="1" applyBorder="1" applyAlignment="1">
      <alignment horizontal="justify" vertical="center" wrapText="1"/>
    </xf>
    <xf numFmtId="0" fontId="3" fillId="0" borderId="14" xfId="0" applyFont="1" applyFill="1" applyBorder="1" applyAlignment="1">
      <alignment horizontal="justify" vertical="center" wrapText="1"/>
    </xf>
    <xf numFmtId="3" fontId="3" fillId="0" borderId="8" xfId="0" applyNumberFormat="1" applyFont="1" applyBorder="1" applyAlignment="1">
      <alignment horizontal="center" vertical="center"/>
    </xf>
    <xf numFmtId="3" fontId="13" fillId="0" borderId="17" xfId="0" applyNumberFormat="1" applyFont="1" applyBorder="1" applyAlignment="1">
      <alignment horizontal="center" vertical="center"/>
    </xf>
    <xf numFmtId="9" fontId="3" fillId="0" borderId="13" xfId="0" applyNumberFormat="1" applyFont="1" applyBorder="1" applyAlignment="1">
      <alignment horizontal="center" vertical="center" wrapText="1"/>
    </xf>
    <xf numFmtId="9" fontId="3" fillId="0" borderId="18" xfId="0" applyNumberFormat="1" applyFont="1" applyBorder="1" applyAlignment="1">
      <alignment horizontal="center" vertical="center" wrapText="1"/>
    </xf>
    <xf numFmtId="3" fontId="3" fillId="0" borderId="7"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13" fillId="0" borderId="16" xfId="0" applyNumberFormat="1" applyFont="1" applyBorder="1" applyAlignment="1">
      <alignment horizontal="center" vertical="center" wrapText="1"/>
    </xf>
    <xf numFmtId="3" fontId="13" fillId="0" borderId="14" xfId="0" applyNumberFormat="1" applyFont="1" applyBorder="1" applyAlignment="1">
      <alignment horizontal="center" vertical="center" wrapText="1"/>
    </xf>
    <xf numFmtId="1" fontId="2" fillId="7" borderId="1" xfId="17" applyNumberFormat="1" applyFont="1" applyFill="1" applyBorder="1" applyAlignment="1">
      <alignment horizontal="center" vertical="center" wrapText="1"/>
    </xf>
    <xf numFmtId="1" fontId="3" fillId="7" borderId="1" xfId="24" applyNumberFormat="1" applyFont="1" applyFill="1" applyBorder="1" applyAlignment="1">
      <alignment horizontal="center" vertical="center" wrapText="1"/>
    </xf>
    <xf numFmtId="165" fontId="3" fillId="0" borderId="1" xfId="17" applyFont="1" applyBorder="1" applyAlignment="1">
      <alignment horizontal="justify" vertical="center" wrapText="1"/>
    </xf>
    <xf numFmtId="1" fontId="3" fillId="0" borderId="1" xfId="17" applyNumberFormat="1" applyFont="1" applyBorder="1" applyAlignment="1">
      <alignment horizontal="center" vertical="center"/>
    </xf>
    <xf numFmtId="49" fontId="3" fillId="0" borderId="15" xfId="17" applyNumberFormat="1" applyFont="1" applyFill="1" applyBorder="1" applyAlignment="1">
      <alignment horizontal="center" vertical="center" wrapText="1"/>
    </xf>
    <xf numFmtId="9" fontId="26" fillId="7" borderId="1" xfId="4" applyFont="1" applyFill="1" applyBorder="1" applyAlignment="1">
      <alignment horizontal="center" vertical="center" wrapText="1"/>
    </xf>
    <xf numFmtId="170" fontId="3" fillId="0" borderId="1" xfId="0" applyNumberFormat="1" applyFont="1" applyFill="1" applyBorder="1" applyAlignment="1">
      <alignment horizontal="left" vertical="center" wrapText="1"/>
    </xf>
    <xf numFmtId="0" fontId="13" fillId="0" borderId="1" xfId="0" applyFont="1" applyBorder="1" applyAlignment="1">
      <alignment horizontal="left" vertical="center" wrapText="1"/>
    </xf>
    <xf numFmtId="3" fontId="3" fillId="0" borderId="7" xfId="0" applyNumberFormat="1" applyFont="1" applyBorder="1" applyAlignment="1">
      <alignment horizontal="center" vertical="center"/>
    </xf>
    <xf numFmtId="3" fontId="13" fillId="0" borderId="16" xfId="0" applyNumberFormat="1" applyFont="1" applyBorder="1" applyAlignment="1">
      <alignment horizontal="center" vertical="center"/>
    </xf>
    <xf numFmtId="3" fontId="13" fillId="0" borderId="14" xfId="0" applyNumberFormat="1" applyFont="1" applyBorder="1" applyAlignment="1">
      <alignment horizontal="center" vertical="center"/>
    </xf>
    <xf numFmtId="1" fontId="3" fillId="0" borderId="6" xfId="17" applyNumberFormat="1" applyFont="1" applyBorder="1" applyAlignment="1">
      <alignment horizontal="center" vertical="center"/>
    </xf>
    <xf numFmtId="1" fontId="3" fillId="0" borderId="18" xfId="17" applyNumberFormat="1" applyFont="1" applyBorder="1" applyAlignment="1">
      <alignment horizontal="center" vertical="center"/>
    </xf>
    <xf numFmtId="9" fontId="26" fillId="7" borderId="1" xfId="4"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justify" vertical="center" wrapText="1"/>
    </xf>
    <xf numFmtId="0" fontId="13" fillId="0" borderId="1" xfId="0" applyFont="1" applyBorder="1" applyAlignment="1">
      <alignment horizontal="center" vertical="center"/>
    </xf>
    <xf numFmtId="2" fontId="3" fillId="0" borderId="1" xfId="17" applyNumberFormat="1" applyFont="1" applyBorder="1" applyAlignment="1">
      <alignment horizontal="center" vertical="center"/>
    </xf>
    <xf numFmtId="9" fontId="0" fillId="0" borderId="1" xfId="4" applyNumberFormat="1" applyFont="1" applyBorder="1" applyAlignment="1">
      <alignment horizontal="center" vertical="center" wrapText="1"/>
    </xf>
    <xf numFmtId="4" fontId="3" fillId="0" borderId="1" xfId="17" applyNumberFormat="1" applyFont="1" applyBorder="1" applyAlignment="1">
      <alignment horizontal="center" vertical="center"/>
    </xf>
    <xf numFmtId="49" fontId="3" fillId="0" borderId="6" xfId="17" applyNumberFormat="1" applyFont="1" applyFill="1" applyBorder="1" applyAlignment="1">
      <alignment horizontal="center" vertical="center" wrapText="1"/>
    </xf>
    <xf numFmtId="49" fontId="3" fillId="0" borderId="13" xfId="17" applyNumberFormat="1" applyFont="1" applyFill="1" applyBorder="1" applyAlignment="1">
      <alignment horizontal="center" vertical="center" wrapText="1"/>
    </xf>
    <xf numFmtId="2" fontId="3" fillId="7" borderId="1" xfId="17" applyNumberFormat="1" applyFont="1" applyFill="1" applyBorder="1" applyAlignment="1">
      <alignment horizontal="center" vertical="center"/>
    </xf>
    <xf numFmtId="3" fontId="13" fillId="0" borderId="15" xfId="0" applyNumberFormat="1" applyFont="1" applyBorder="1" applyAlignment="1">
      <alignment horizontal="center" vertical="center"/>
    </xf>
    <xf numFmtId="9" fontId="26" fillId="7" borderId="1" xfId="4" applyNumberFormat="1" applyFont="1" applyFill="1" applyBorder="1" applyAlignment="1">
      <alignment horizontal="center" vertical="center"/>
    </xf>
    <xf numFmtId="43" fontId="3" fillId="7" borderId="6" xfId="1" applyFont="1" applyFill="1" applyBorder="1" applyAlignment="1">
      <alignment horizontal="center" vertical="center"/>
    </xf>
    <xf numFmtId="43" fontId="3" fillId="7" borderId="13" xfId="1" applyFont="1" applyFill="1" applyBorder="1" applyAlignment="1">
      <alignment horizontal="center" vertical="center"/>
    </xf>
    <xf numFmtId="43" fontId="3" fillId="7" borderId="18" xfId="1" applyFont="1" applyFill="1" applyBorder="1" applyAlignment="1">
      <alignment horizontal="center" vertical="center"/>
    </xf>
    <xf numFmtId="9" fontId="26" fillId="7" borderId="6" xfId="4" applyNumberFormat="1" applyFont="1" applyFill="1" applyBorder="1" applyAlignment="1">
      <alignment horizontal="center" vertical="center"/>
    </xf>
    <xf numFmtId="9" fontId="26" fillId="7" borderId="13" xfId="4" applyNumberFormat="1" applyFont="1" applyFill="1" applyBorder="1" applyAlignment="1">
      <alignment horizontal="center" vertical="center"/>
    </xf>
    <xf numFmtId="9" fontId="26" fillId="7" borderId="18" xfId="4" applyNumberFormat="1" applyFont="1" applyFill="1" applyBorder="1" applyAlignment="1">
      <alignment horizontal="center" vertical="center"/>
    </xf>
    <xf numFmtId="0" fontId="13" fillId="0" borderId="1" xfId="0" applyFont="1" applyBorder="1" applyAlignment="1">
      <alignment horizontal="left" vertical="center"/>
    </xf>
    <xf numFmtId="9" fontId="26" fillId="7" borderId="1" xfId="4" applyFont="1" applyFill="1" applyBorder="1" applyAlignment="1">
      <alignment horizontal="center" vertical="center"/>
    </xf>
    <xf numFmtId="3" fontId="3" fillId="0" borderId="5" xfId="0" applyNumberFormat="1" applyFont="1" applyBorder="1" applyAlignment="1">
      <alignment horizontal="center" vertical="center"/>
    </xf>
    <xf numFmtId="3" fontId="13" fillId="0" borderId="5" xfId="0" applyNumberFormat="1" applyFont="1" applyBorder="1" applyAlignment="1">
      <alignment horizontal="center" vertical="center"/>
    </xf>
    <xf numFmtId="4" fontId="3" fillId="7" borderId="1" xfId="17" applyNumberFormat="1" applyFont="1" applyFill="1" applyBorder="1" applyAlignment="1">
      <alignment horizontal="center" vertical="center"/>
    </xf>
    <xf numFmtId="3" fontId="3" fillId="0" borderId="1" xfId="0" applyNumberFormat="1" applyFont="1" applyBorder="1" applyAlignment="1">
      <alignment horizontal="center" vertical="center"/>
    </xf>
    <xf numFmtId="3" fontId="13" fillId="0" borderId="1" xfId="0" applyNumberFormat="1" applyFont="1" applyBorder="1" applyAlignment="1">
      <alignment horizontal="center" vertical="center"/>
    </xf>
    <xf numFmtId="43" fontId="3" fillId="0" borderId="6" xfId="1" applyFont="1" applyFill="1" applyBorder="1" applyAlignment="1">
      <alignment horizontal="center" vertical="center"/>
    </xf>
    <xf numFmtId="43" fontId="3" fillId="0" borderId="13" xfId="1" applyFont="1" applyFill="1" applyBorder="1" applyAlignment="1">
      <alignment horizontal="center" vertical="center"/>
    </xf>
    <xf numFmtId="43" fontId="3" fillId="0" borderId="18" xfId="1" applyFont="1" applyFill="1" applyBorder="1" applyAlignment="1">
      <alignment horizontal="center" vertical="center"/>
    </xf>
    <xf numFmtId="3" fontId="3" fillId="0" borderId="17" xfId="0" applyNumberFormat="1" applyFont="1" applyBorder="1" applyAlignment="1">
      <alignment horizontal="center" vertical="center"/>
    </xf>
    <xf numFmtId="3" fontId="3" fillId="0" borderId="15" xfId="0" applyNumberFormat="1" applyFont="1" applyBorder="1" applyAlignment="1">
      <alignment horizontal="center" vertical="center"/>
    </xf>
    <xf numFmtId="165" fontId="3" fillId="7" borderId="17" xfId="17" applyFont="1" applyFill="1" applyBorder="1" applyAlignment="1">
      <alignment horizontal="center" vertical="center"/>
    </xf>
    <xf numFmtId="0" fontId="3" fillId="0" borderId="1" xfId="0" applyFont="1" applyBorder="1" applyAlignment="1">
      <alignment horizontal="left" vertical="center" wrapText="1"/>
    </xf>
    <xf numFmtId="3" fontId="3" fillId="0" borderId="1" xfId="17" applyNumberFormat="1" applyFont="1" applyFill="1" applyBorder="1" applyAlignment="1">
      <alignment horizontal="center" vertical="center"/>
    </xf>
    <xf numFmtId="4" fontId="3" fillId="0" borderId="1" xfId="17" applyNumberFormat="1" applyFont="1" applyFill="1" applyBorder="1" applyAlignment="1">
      <alignment horizontal="center" vertical="center"/>
    </xf>
    <xf numFmtId="9" fontId="26" fillId="0" borderId="1" xfId="4" applyFont="1" applyFill="1" applyBorder="1" applyAlignment="1">
      <alignment horizontal="center" vertical="center"/>
    </xf>
    <xf numFmtId="9" fontId="3" fillId="0" borderId="1" xfId="17" applyNumberFormat="1" applyFont="1" applyFill="1" applyBorder="1" applyAlignment="1">
      <alignment horizontal="justify" vertical="center" wrapText="1"/>
    </xf>
    <xf numFmtId="3" fontId="3" fillId="0" borderId="3" xfId="17" applyNumberFormat="1" applyFont="1" applyBorder="1" applyAlignment="1">
      <alignment horizontal="center" vertical="center"/>
    </xf>
    <xf numFmtId="165" fontId="3" fillId="0" borderId="6" xfId="17" applyFont="1" applyBorder="1" applyAlignment="1">
      <alignment horizontal="left" vertical="center" wrapText="1"/>
    </xf>
    <xf numFmtId="165" fontId="3" fillId="0" borderId="18" xfId="17" applyFont="1" applyBorder="1" applyAlignment="1">
      <alignment horizontal="left" vertical="center" wrapText="1"/>
    </xf>
    <xf numFmtId="3" fontId="3" fillId="7" borderId="6" xfId="17" applyNumberFormat="1" applyFont="1" applyFill="1" applyBorder="1" applyAlignment="1">
      <alignment horizontal="center" vertical="center"/>
    </xf>
    <xf numFmtId="3" fontId="3" fillId="7" borderId="18" xfId="17" applyNumberFormat="1" applyFont="1" applyFill="1" applyBorder="1" applyAlignment="1">
      <alignment horizontal="center" vertical="center"/>
    </xf>
    <xf numFmtId="165" fontId="3" fillId="7" borderId="17" xfId="17" applyFont="1" applyFill="1" applyBorder="1" applyAlignment="1">
      <alignment horizontal="center" vertical="center" wrapText="1"/>
    </xf>
    <xf numFmtId="9" fontId="26" fillId="7" borderId="6" xfId="4" applyFont="1" applyFill="1" applyBorder="1" applyAlignment="1">
      <alignment horizontal="center" vertical="center"/>
    </xf>
    <xf numFmtId="9" fontId="26" fillId="7" borderId="13" xfId="4" applyFont="1" applyFill="1" applyBorder="1" applyAlignment="1">
      <alignment horizontal="center" vertical="center"/>
    </xf>
    <xf numFmtId="9" fontId="26" fillId="7" borderId="18" xfId="4" applyFont="1" applyFill="1" applyBorder="1" applyAlignment="1">
      <alignment horizontal="center" vertical="center"/>
    </xf>
    <xf numFmtId="1" fontId="2" fillId="7" borderId="7" xfId="17" applyNumberFormat="1" applyFont="1" applyFill="1" applyBorder="1" applyAlignment="1">
      <alignment horizontal="center" vertical="center" wrapText="1"/>
    </xf>
    <xf numFmtId="1" fontId="2" fillId="7" borderId="9" xfId="17" applyNumberFormat="1" applyFont="1" applyFill="1" applyBorder="1" applyAlignment="1">
      <alignment horizontal="center" vertical="center" wrapText="1"/>
    </xf>
    <xf numFmtId="1" fontId="2" fillId="7" borderId="8" xfId="17" applyNumberFormat="1" applyFont="1" applyFill="1" applyBorder="1" applyAlignment="1">
      <alignment horizontal="center" vertical="center" wrapText="1"/>
    </xf>
    <xf numFmtId="1" fontId="2" fillId="7" borderId="16" xfId="17" applyNumberFormat="1" applyFont="1" applyFill="1" applyBorder="1" applyAlignment="1">
      <alignment horizontal="center" vertical="center" wrapText="1"/>
    </xf>
    <xf numFmtId="1" fontId="2" fillId="7" borderId="0" xfId="17" applyNumberFormat="1" applyFont="1" applyFill="1" applyBorder="1" applyAlignment="1">
      <alignment horizontal="center" vertical="center" wrapText="1"/>
    </xf>
    <xf numFmtId="1" fontId="2" fillId="7" borderId="17" xfId="17" applyNumberFormat="1" applyFont="1" applyFill="1" applyBorder="1" applyAlignment="1">
      <alignment horizontal="center" vertical="center" wrapText="1"/>
    </xf>
    <xf numFmtId="1" fontId="2" fillId="7" borderId="14" xfId="17" applyNumberFormat="1" applyFont="1" applyFill="1" applyBorder="1" applyAlignment="1">
      <alignment horizontal="center" vertical="center" wrapText="1"/>
    </xf>
    <xf numFmtId="1" fontId="2" fillId="7" borderId="2" xfId="17" applyNumberFormat="1" applyFont="1" applyFill="1" applyBorder="1" applyAlignment="1">
      <alignment horizontal="center" vertical="center" wrapText="1"/>
    </xf>
    <xf numFmtId="1" fontId="2" fillId="7" borderId="15" xfId="17" applyNumberFormat="1" applyFont="1" applyFill="1" applyBorder="1" applyAlignment="1">
      <alignment horizontal="center" vertical="center" wrapText="1"/>
    </xf>
    <xf numFmtId="3" fontId="3" fillId="7" borderId="13" xfId="17" applyNumberFormat="1" applyFont="1" applyFill="1" applyBorder="1" applyAlignment="1">
      <alignment horizontal="center" vertical="center"/>
    </xf>
    <xf numFmtId="165" fontId="3" fillId="7" borderId="6" xfId="17" applyFont="1" applyFill="1" applyBorder="1" applyAlignment="1">
      <alignment horizontal="center" vertical="center" wrapText="1" shrinkToFit="1"/>
    </xf>
    <xf numFmtId="165" fontId="3" fillId="7" borderId="13" xfId="17" applyFont="1" applyFill="1" applyBorder="1" applyAlignment="1">
      <alignment horizontal="center" vertical="center" wrapText="1" shrinkToFit="1"/>
    </xf>
    <xf numFmtId="165" fontId="3" fillId="7" borderId="18" xfId="17" applyFont="1" applyFill="1" applyBorder="1" applyAlignment="1">
      <alignment horizontal="center" vertical="center" wrapText="1" shrinkToFit="1"/>
    </xf>
    <xf numFmtId="187" fontId="3" fillId="7" borderId="6" xfId="17" applyNumberFormat="1" applyFont="1" applyFill="1" applyBorder="1" applyAlignment="1">
      <alignment horizontal="center" vertical="center"/>
    </xf>
    <xf numFmtId="187" fontId="3" fillId="7" borderId="13" xfId="17" applyNumberFormat="1" applyFont="1" applyFill="1" applyBorder="1" applyAlignment="1">
      <alignment horizontal="center" vertical="center"/>
    </xf>
    <xf numFmtId="187" fontId="3" fillId="7" borderId="18" xfId="17" applyNumberFormat="1" applyFont="1" applyFill="1" applyBorder="1" applyAlignment="1">
      <alignment horizontal="center" vertical="center"/>
    </xf>
    <xf numFmtId="3" fontId="3" fillId="0" borderId="1" xfId="0" applyNumberFormat="1" applyFont="1" applyBorder="1" applyAlignment="1">
      <alignment vertical="center"/>
    </xf>
    <xf numFmtId="3" fontId="13" fillId="0" borderId="1" xfId="0" applyNumberFormat="1" applyFont="1" applyBorder="1" applyAlignment="1">
      <alignment vertical="center"/>
    </xf>
    <xf numFmtId="3" fontId="3" fillId="0" borderId="5" xfId="0" applyNumberFormat="1" applyFont="1" applyBorder="1" applyAlignment="1">
      <alignment vertical="center"/>
    </xf>
    <xf numFmtId="3" fontId="13" fillId="0" borderId="5" xfId="0" applyNumberFormat="1" applyFont="1" applyBorder="1" applyAlignment="1">
      <alignment vertical="center"/>
    </xf>
    <xf numFmtId="14" fontId="13" fillId="0" borderId="6" xfId="0" applyNumberFormat="1" applyFont="1" applyBorder="1" applyAlignment="1">
      <alignment horizontal="center" vertical="center"/>
    </xf>
    <xf numFmtId="14" fontId="13" fillId="0" borderId="18" xfId="0" applyNumberFormat="1" applyFont="1" applyBorder="1" applyAlignment="1">
      <alignment horizontal="center" vertical="center"/>
    </xf>
    <xf numFmtId="4" fontId="3" fillId="7" borderId="6" xfId="17" applyNumberFormat="1" applyFont="1" applyFill="1" applyBorder="1" applyAlignment="1">
      <alignment horizontal="center" vertical="center"/>
    </xf>
    <xf numFmtId="4" fontId="3" fillId="7" borderId="13" xfId="17" applyNumberFormat="1" applyFont="1" applyFill="1" applyBorder="1" applyAlignment="1">
      <alignment horizontal="center" vertical="center"/>
    </xf>
    <xf numFmtId="4" fontId="3" fillId="7" borderId="18" xfId="17" applyNumberFormat="1" applyFont="1" applyFill="1" applyBorder="1" applyAlignment="1">
      <alignment horizontal="center" vertical="center"/>
    </xf>
    <xf numFmtId="0" fontId="3" fillId="0" borderId="1" xfId="0" applyFont="1" applyBorder="1" applyAlignment="1">
      <alignment horizontal="center"/>
    </xf>
    <xf numFmtId="43" fontId="3" fillId="7" borderId="1" xfId="1" applyFont="1" applyFill="1" applyBorder="1" applyAlignment="1">
      <alignment horizontal="center" vertical="center"/>
    </xf>
    <xf numFmtId="165" fontId="3" fillId="7" borderId="13" xfId="17" applyFont="1" applyFill="1" applyBorder="1" applyAlignment="1">
      <alignment horizontal="justify" vertical="center" wrapText="1"/>
    </xf>
    <xf numFmtId="165" fontId="3" fillId="7" borderId="18" xfId="17" applyFont="1" applyFill="1" applyBorder="1" applyAlignment="1">
      <alignment horizontal="justify" vertical="center" wrapText="1"/>
    </xf>
    <xf numFmtId="0" fontId="3"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8" xfId="0" applyFont="1" applyFill="1" applyBorder="1" applyAlignment="1">
      <alignment horizontal="center" vertical="center"/>
    </xf>
    <xf numFmtId="165" fontId="3" fillId="7" borderId="13" xfId="17" applyFont="1" applyFill="1" applyBorder="1" applyAlignment="1">
      <alignment horizontal="center" vertical="center"/>
    </xf>
    <xf numFmtId="165" fontId="3" fillId="7" borderId="18" xfId="17" applyFont="1" applyFill="1" applyBorder="1" applyAlignment="1">
      <alignment horizontal="center" vertical="center"/>
    </xf>
    <xf numFmtId="49" fontId="3" fillId="0" borderId="18" xfId="17" applyNumberFormat="1" applyFont="1" applyFill="1" applyBorder="1" applyAlignment="1">
      <alignment horizontal="center" vertical="center" wrapText="1"/>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2" fillId="0" borderId="33" xfId="0" applyFont="1" applyBorder="1" applyAlignment="1">
      <alignment horizontal="center" vertical="center" wrapText="1"/>
    </xf>
    <xf numFmtId="0" fontId="12" fillId="0" borderId="0" xfId="0" applyFont="1" applyAlignment="1">
      <alignment horizontal="center" vertical="center" wrapText="1"/>
    </xf>
    <xf numFmtId="0" fontId="12" fillId="0" borderId="17" xfId="0" applyFont="1" applyBorder="1" applyAlignment="1">
      <alignment horizontal="center" vertical="center" wrapText="1"/>
    </xf>
    <xf numFmtId="0" fontId="12" fillId="0" borderId="15" xfId="0" applyFont="1" applyBorder="1" applyAlignment="1">
      <alignment horizontal="center" vertical="center" wrapText="1"/>
    </xf>
    <xf numFmtId="0" fontId="9" fillId="0" borderId="38" xfId="0" applyFont="1" applyBorder="1" applyAlignment="1">
      <alignment horizontal="center" vertical="center"/>
    </xf>
    <xf numFmtId="0" fontId="9" fillId="0" borderId="39" xfId="0" applyFont="1" applyBorder="1" applyAlignment="1">
      <alignment horizontal="center" vertical="center"/>
    </xf>
    <xf numFmtId="1" fontId="5" fillId="3" borderId="40" xfId="0" applyNumberFormat="1" applyFont="1" applyFill="1" applyBorder="1" applyAlignment="1">
      <alignment horizontal="center" vertical="center" wrapText="1"/>
    </xf>
    <xf numFmtId="1" fontId="5" fillId="3" borderId="41"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1" xfId="0" applyFont="1" applyFill="1" applyBorder="1" applyAlignment="1">
      <alignment horizontal="center" vertical="center" wrapText="1"/>
    </xf>
    <xf numFmtId="172" fontId="5" fillId="3" borderId="1" xfId="0" applyNumberFormat="1" applyFont="1" applyFill="1" applyBorder="1" applyAlignment="1">
      <alignment horizontal="center" vertical="center" wrapText="1"/>
    </xf>
    <xf numFmtId="2" fontId="5" fillId="3" borderId="1" xfId="0" applyNumberFormat="1" applyFont="1" applyFill="1" applyBorder="1" applyAlignment="1">
      <alignment horizontal="center" vertical="center" wrapText="1"/>
    </xf>
    <xf numFmtId="41" fontId="5" fillId="3" borderId="9" xfId="9" applyFont="1" applyFill="1" applyBorder="1" applyAlignment="1">
      <alignment horizontal="center" vertical="center" wrapText="1"/>
    </xf>
    <xf numFmtId="41" fontId="5" fillId="3" borderId="8" xfId="9" applyFont="1" applyFill="1" applyBorder="1" applyAlignment="1">
      <alignment horizontal="center" vertical="center" wrapText="1"/>
    </xf>
    <xf numFmtId="41" fontId="5" fillId="3" borderId="2" xfId="9" applyFont="1" applyFill="1" applyBorder="1" applyAlignment="1">
      <alignment horizontal="center" vertical="center" wrapText="1"/>
    </xf>
    <xf numFmtId="41" fontId="5" fillId="3" borderId="15" xfId="9"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3" fontId="5" fillId="4" borderId="3" xfId="0" applyNumberFormat="1" applyFont="1" applyFill="1" applyBorder="1" applyAlignment="1">
      <alignment horizontal="center" vertical="center" wrapText="1"/>
    </xf>
    <xf numFmtId="3" fontId="5" fillId="4" borderId="4" xfId="0" applyNumberFormat="1" applyFont="1" applyFill="1" applyBorder="1" applyAlignment="1">
      <alignment horizontal="center" vertical="center" wrapText="1"/>
    </xf>
    <xf numFmtId="3" fontId="5" fillId="4" borderId="5" xfId="0" applyNumberFormat="1"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3" fontId="5" fillId="5" borderId="1" xfId="0" applyNumberFormat="1" applyFont="1" applyFill="1" applyBorder="1" applyAlignment="1">
      <alignment horizontal="center" vertical="center" wrapText="1"/>
    </xf>
    <xf numFmtId="0" fontId="5" fillId="5" borderId="3" xfId="0" applyFont="1" applyFill="1" applyBorder="1" applyAlignment="1">
      <alignment horizontal="center" vertical="center" textRotation="90"/>
    </xf>
    <xf numFmtId="0" fontId="5" fillId="5" borderId="4" xfId="0" applyFont="1" applyFill="1" applyBorder="1" applyAlignment="1">
      <alignment horizontal="center" vertical="center" textRotation="90"/>
    </xf>
    <xf numFmtId="0" fontId="5" fillId="5" borderId="1" xfId="0" applyFont="1" applyFill="1" applyBorder="1" applyAlignment="1">
      <alignment horizontal="center" vertical="center" textRotation="90"/>
    </xf>
    <xf numFmtId="0" fontId="5" fillId="4" borderId="7" xfId="0" applyFont="1" applyFill="1" applyBorder="1" applyAlignment="1">
      <alignment horizontal="center" vertical="center" textRotation="90" wrapText="1"/>
    </xf>
    <xf numFmtId="0" fontId="5" fillId="4" borderId="8" xfId="0" applyFont="1" applyFill="1" applyBorder="1" applyAlignment="1">
      <alignment horizontal="center" vertical="center" textRotation="90" wrapText="1"/>
    </xf>
    <xf numFmtId="0" fontId="5" fillId="4" borderId="14" xfId="0" applyFont="1" applyFill="1" applyBorder="1" applyAlignment="1">
      <alignment horizontal="center" vertical="center" textRotation="90" wrapText="1"/>
    </xf>
    <xf numFmtId="0" fontId="5" fillId="4" borderId="15" xfId="0" applyFont="1" applyFill="1" applyBorder="1" applyAlignment="1">
      <alignment horizontal="center" vertical="center" textRotation="90" wrapText="1"/>
    </xf>
    <xf numFmtId="0" fontId="5" fillId="3" borderId="10" xfId="10" applyFont="1" applyFill="1" applyBorder="1" applyAlignment="1">
      <alignment horizontal="center" vertical="center"/>
    </xf>
    <xf numFmtId="0" fontId="5" fillId="3" borderId="11" xfId="10" applyFont="1" applyFill="1" applyBorder="1" applyAlignment="1">
      <alignment horizontal="center" vertical="center"/>
    </xf>
    <xf numFmtId="0" fontId="5" fillId="3" borderId="12" xfId="10" applyFont="1" applyFill="1" applyBorder="1" applyAlignment="1">
      <alignment horizontal="center" vertical="center"/>
    </xf>
    <xf numFmtId="166" fontId="5" fillId="3" borderId="7" xfId="0" applyNumberFormat="1" applyFont="1" applyFill="1" applyBorder="1" applyAlignment="1">
      <alignment horizontal="center" vertical="center" wrapText="1"/>
    </xf>
    <xf numFmtId="166" fontId="5" fillId="3" borderId="8" xfId="0" applyNumberFormat="1" applyFont="1" applyFill="1" applyBorder="1" applyAlignment="1">
      <alignment horizontal="center" vertical="center" wrapText="1"/>
    </xf>
    <xf numFmtId="166" fontId="5" fillId="3" borderId="14" xfId="0" applyNumberFormat="1" applyFont="1" applyFill="1" applyBorder="1" applyAlignment="1">
      <alignment horizontal="center" vertical="center" wrapText="1"/>
    </xf>
    <xf numFmtId="166" fontId="5" fillId="3" borderId="15" xfId="0" applyNumberFormat="1" applyFont="1" applyFill="1" applyBorder="1" applyAlignment="1">
      <alignment horizontal="center" vertical="center" wrapText="1"/>
    </xf>
    <xf numFmtId="0" fontId="5" fillId="5" borderId="5" xfId="0" applyFont="1" applyFill="1" applyBorder="1" applyAlignment="1">
      <alignment horizontal="center" vertical="center" textRotation="90"/>
    </xf>
    <xf numFmtId="0" fontId="5" fillId="5" borderId="3" xfId="0" applyFont="1" applyFill="1" applyBorder="1" applyAlignment="1">
      <alignment horizontal="center" vertical="center" textRotation="90" wrapText="1"/>
    </xf>
    <xf numFmtId="0" fontId="5" fillId="5" borderId="5" xfId="0" applyFont="1" applyFill="1" applyBorder="1" applyAlignment="1">
      <alignment horizontal="center" vertical="center" textRotation="90" wrapText="1"/>
    </xf>
    <xf numFmtId="41" fontId="5" fillId="3" borderId="6" xfId="9" applyNumberFormat="1" applyFont="1" applyFill="1" applyBorder="1" applyAlignment="1">
      <alignment horizontal="center" vertical="center" wrapText="1"/>
    </xf>
    <xf numFmtId="41" fontId="5" fillId="3" borderId="13" xfId="9" applyNumberFormat="1" applyFont="1" applyFill="1" applyBorder="1" applyAlignment="1">
      <alignment horizontal="center" vertical="center" wrapText="1"/>
    </xf>
    <xf numFmtId="175" fontId="5" fillId="3" borderId="6" xfId="9" applyNumberFormat="1" applyFont="1" applyFill="1" applyBorder="1" applyAlignment="1">
      <alignment horizontal="center" vertical="center" wrapText="1"/>
    </xf>
    <xf numFmtId="175" fontId="5" fillId="3" borderId="13" xfId="9" applyNumberFormat="1" applyFont="1" applyFill="1" applyBorder="1" applyAlignment="1">
      <alignment horizontal="center" vertical="center" wrapText="1"/>
    </xf>
    <xf numFmtId="3" fontId="5" fillId="5" borderId="1" xfId="0" applyNumberFormat="1" applyFont="1" applyFill="1" applyBorder="1" applyAlignment="1">
      <alignment horizontal="center" vertical="center" textRotation="90" wrapText="1"/>
    </xf>
    <xf numFmtId="3" fontId="5" fillId="5" borderId="4" xfId="0" applyNumberFormat="1" applyFont="1" applyFill="1" applyBorder="1" applyAlignment="1">
      <alignment horizontal="center" vertical="center" textRotation="90" wrapText="1"/>
    </xf>
    <xf numFmtId="3" fontId="5" fillId="5" borderId="5" xfId="0" applyNumberFormat="1" applyFont="1" applyFill="1" applyBorder="1" applyAlignment="1">
      <alignment horizontal="center" vertical="center" textRotation="90" wrapText="1"/>
    </xf>
    <xf numFmtId="166" fontId="5" fillId="3" borderId="6" xfId="0" applyNumberFormat="1" applyFont="1" applyFill="1" applyBorder="1" applyAlignment="1">
      <alignment horizontal="center" vertical="center" wrapText="1"/>
    </xf>
    <xf numFmtId="166" fontId="5" fillId="3" borderId="13" xfId="0" applyNumberFormat="1" applyFont="1" applyFill="1" applyBorder="1" applyAlignment="1">
      <alignment horizontal="center" vertical="center" wrapText="1"/>
    </xf>
    <xf numFmtId="0" fontId="9" fillId="10" borderId="4" xfId="0" applyFont="1" applyFill="1" applyBorder="1" applyAlignment="1">
      <alignment horizontal="center" vertical="center" wrapText="1"/>
    </xf>
    <xf numFmtId="0" fontId="9" fillId="10" borderId="39" xfId="0" applyFont="1" applyFill="1" applyBorder="1" applyAlignment="1">
      <alignment horizontal="center" vertical="center" wrapText="1"/>
    </xf>
    <xf numFmtId="0" fontId="5" fillId="5" borderId="13" xfId="0" applyFont="1" applyFill="1" applyBorder="1" applyAlignment="1">
      <alignment horizontal="center" vertical="center" wrapText="1"/>
    </xf>
    <xf numFmtId="1" fontId="5" fillId="5" borderId="6" xfId="0" applyNumberFormat="1" applyFont="1" applyFill="1" applyBorder="1" applyAlignment="1">
      <alignment horizontal="center" vertical="center" wrapText="1"/>
    </xf>
    <xf numFmtId="1" fontId="5" fillId="5" borderId="13" xfId="0" applyNumberFormat="1" applyFont="1" applyFill="1" applyBorder="1" applyAlignment="1">
      <alignment horizontal="center" vertical="center" wrapText="1"/>
    </xf>
    <xf numFmtId="174" fontId="5" fillId="5" borderId="6" xfId="0" applyNumberFormat="1" applyFont="1" applyFill="1" applyBorder="1" applyAlignment="1">
      <alignment horizontal="center" vertical="center" wrapText="1"/>
    </xf>
    <xf numFmtId="174" fontId="5" fillId="5" borderId="13" xfId="0" applyNumberFormat="1" applyFont="1" applyFill="1" applyBorder="1" applyAlignment="1">
      <alignment horizontal="center" vertical="center" wrapText="1"/>
    </xf>
    <xf numFmtId="10" fontId="5" fillId="5" borderId="6" xfId="6" applyNumberFormat="1" applyFont="1" applyFill="1" applyBorder="1" applyAlignment="1">
      <alignment horizontal="center" vertical="center" wrapText="1"/>
    </xf>
    <xf numFmtId="10" fontId="5" fillId="5" borderId="13" xfId="6" applyNumberFormat="1" applyFont="1" applyFill="1" applyBorder="1" applyAlignment="1">
      <alignment horizontal="center" vertical="center" wrapText="1"/>
    </xf>
    <xf numFmtId="3" fontId="5" fillId="3" borderId="36" xfId="0" applyNumberFormat="1" applyFont="1" applyFill="1" applyBorder="1" applyAlignment="1">
      <alignment horizontal="center" vertical="center" wrapText="1"/>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9" fillId="14" borderId="3" xfId="0" applyFont="1" applyFill="1" applyBorder="1" applyAlignment="1">
      <alignment horizontal="left" vertical="center" wrapText="1"/>
    </xf>
    <xf numFmtId="0" fontId="9" fillId="14" borderId="4" xfId="0" applyFont="1" applyFill="1" applyBorder="1" applyAlignment="1">
      <alignment horizontal="left" vertical="center" wrapText="1"/>
    </xf>
    <xf numFmtId="0" fontId="9" fillId="14" borderId="4" xfId="0" applyFont="1" applyFill="1" applyBorder="1" applyAlignment="1">
      <alignment horizontal="center" vertical="center" wrapText="1"/>
    </xf>
    <xf numFmtId="0" fontId="9" fillId="14" borderId="39" xfId="0" applyFont="1" applyFill="1" applyBorder="1" applyAlignment="1">
      <alignment horizontal="center" vertical="center" wrapText="1"/>
    </xf>
    <xf numFmtId="0" fontId="9" fillId="12" borderId="3" xfId="0" applyFont="1" applyFill="1" applyBorder="1" applyAlignment="1">
      <alignment horizontal="left" vertical="center" wrapText="1"/>
    </xf>
    <xf numFmtId="0" fontId="9" fillId="12" borderId="4" xfId="0" applyFont="1" applyFill="1" applyBorder="1" applyAlignment="1">
      <alignment horizontal="left" vertical="center" wrapText="1"/>
    </xf>
    <xf numFmtId="0" fontId="10" fillId="12" borderId="4" xfId="0" applyFont="1" applyFill="1" applyBorder="1" applyAlignment="1">
      <alignment horizontal="center" vertical="center" wrapText="1"/>
    </xf>
    <xf numFmtId="0" fontId="10" fillId="12" borderId="39"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17" fillId="7" borderId="13" xfId="0" applyFont="1" applyFill="1" applyBorder="1" applyAlignment="1">
      <alignment horizontal="center" vertical="center" wrapText="1"/>
    </xf>
    <xf numFmtId="0" fontId="17" fillId="7" borderId="18" xfId="0" applyFont="1" applyFill="1" applyBorder="1" applyAlignment="1">
      <alignment horizontal="center" vertical="center" wrapText="1"/>
    </xf>
    <xf numFmtId="0" fontId="17" fillId="7" borderId="7" xfId="0" applyFont="1" applyFill="1" applyBorder="1" applyAlignment="1">
      <alignment horizontal="center" vertical="center" textRotation="90" wrapText="1"/>
    </xf>
    <xf numFmtId="0" fontId="17" fillId="7" borderId="8" xfId="0" applyFont="1" applyFill="1" applyBorder="1" applyAlignment="1">
      <alignment horizontal="center" vertical="center" textRotation="90" wrapText="1"/>
    </xf>
    <xf numFmtId="0" fontId="17" fillId="7" borderId="16" xfId="0" applyFont="1" applyFill="1" applyBorder="1" applyAlignment="1">
      <alignment horizontal="center" vertical="center" textRotation="90" wrapText="1"/>
    </xf>
    <xf numFmtId="0" fontId="17" fillId="7" borderId="17" xfId="0" applyFont="1" applyFill="1" applyBorder="1" applyAlignment="1">
      <alignment horizontal="center" vertical="center" textRotation="90" wrapText="1"/>
    </xf>
    <xf numFmtId="0" fontId="17" fillId="7" borderId="14" xfId="0" applyFont="1" applyFill="1" applyBorder="1" applyAlignment="1">
      <alignment horizontal="center" vertical="center" textRotation="90" wrapText="1"/>
    </xf>
    <xf numFmtId="0" fontId="17" fillId="7" borderId="15" xfId="0" applyFont="1" applyFill="1" applyBorder="1" applyAlignment="1">
      <alignment horizontal="center" vertical="center" textRotation="90" wrapText="1"/>
    </xf>
    <xf numFmtId="176" fontId="17" fillId="7" borderId="6" xfId="0" applyNumberFormat="1" applyFont="1" applyFill="1" applyBorder="1" applyAlignment="1">
      <alignment horizontal="center" vertical="center" wrapText="1"/>
    </xf>
    <xf numFmtId="176" fontId="17" fillId="7" borderId="13" xfId="0" applyNumberFormat="1" applyFont="1" applyFill="1" applyBorder="1" applyAlignment="1">
      <alignment horizontal="center" vertical="center" wrapText="1"/>
    </xf>
    <xf numFmtId="176" fontId="17" fillId="7" borderId="18" xfId="0" applyNumberFormat="1" applyFont="1" applyFill="1" applyBorder="1" applyAlignment="1">
      <alignment horizontal="center" vertical="center" wrapText="1"/>
    </xf>
    <xf numFmtId="0" fontId="17" fillId="7" borderId="6" xfId="0" applyFont="1" applyFill="1" applyBorder="1" applyAlignment="1">
      <alignment horizontal="justify" vertical="center" wrapText="1"/>
    </xf>
    <xf numFmtId="0" fontId="17" fillId="7" borderId="13" xfId="0" applyFont="1" applyFill="1" applyBorder="1" applyAlignment="1">
      <alignment horizontal="justify" vertical="center" wrapText="1"/>
    </xf>
    <xf numFmtId="0" fontId="17" fillId="7" borderId="18" xfId="0" applyFont="1" applyFill="1" applyBorder="1" applyAlignment="1">
      <alignment horizontal="justify" vertical="center" wrapText="1"/>
    </xf>
    <xf numFmtId="0" fontId="17" fillId="7" borderId="1" xfId="0" applyFont="1" applyFill="1" applyBorder="1" applyAlignment="1">
      <alignment horizontal="left" vertical="center" wrapText="1"/>
    </xf>
    <xf numFmtId="3" fontId="17" fillId="7" borderId="6" xfId="0" applyNumberFormat="1" applyFont="1" applyFill="1" applyBorder="1" applyAlignment="1">
      <alignment horizontal="center" vertical="center" wrapText="1"/>
    </xf>
    <xf numFmtId="3" fontId="17" fillId="7" borderId="13" xfId="0" applyNumberFormat="1" applyFont="1" applyFill="1" applyBorder="1" applyAlignment="1">
      <alignment horizontal="center" vertical="center" wrapText="1"/>
    </xf>
    <xf numFmtId="3" fontId="17" fillId="7" borderId="18" xfId="0" applyNumberFormat="1" applyFont="1" applyFill="1" applyBorder="1" applyAlignment="1">
      <alignment horizontal="center" vertical="center" wrapText="1"/>
    </xf>
    <xf numFmtId="9" fontId="17" fillId="7" borderId="6" xfId="0" applyNumberFormat="1" applyFont="1" applyFill="1" applyBorder="1" applyAlignment="1">
      <alignment horizontal="center" vertical="center" wrapText="1"/>
    </xf>
    <xf numFmtId="9" fontId="17" fillId="7" borderId="13" xfId="0" applyNumberFormat="1" applyFont="1" applyFill="1" applyBorder="1" applyAlignment="1">
      <alignment horizontal="center" vertical="center" wrapText="1"/>
    </xf>
    <xf numFmtId="9" fontId="17" fillId="7" borderId="18" xfId="0" applyNumberFormat="1" applyFont="1" applyFill="1" applyBorder="1" applyAlignment="1">
      <alignment horizontal="center" vertical="center" wrapText="1"/>
    </xf>
    <xf numFmtId="174" fontId="17" fillId="7" borderId="6" xfId="11" applyNumberFormat="1" applyFont="1" applyFill="1" applyBorder="1" applyAlignment="1">
      <alignment horizontal="right" vertical="center" wrapText="1"/>
    </xf>
    <xf numFmtId="174" fontId="17" fillId="7" borderId="13" xfId="11" applyNumberFormat="1" applyFont="1" applyFill="1" applyBorder="1" applyAlignment="1">
      <alignment horizontal="right" vertical="center" wrapText="1"/>
    </xf>
    <xf numFmtId="174" fontId="17" fillId="7" borderId="18" xfId="11" applyNumberFormat="1" applyFont="1" applyFill="1" applyBorder="1" applyAlignment="1">
      <alignment horizontal="right" vertical="center" wrapText="1"/>
    </xf>
    <xf numFmtId="0" fontId="17" fillId="7" borderId="6" xfId="0" applyFont="1" applyFill="1" applyBorder="1" applyAlignment="1">
      <alignment horizontal="center" vertical="center"/>
    </xf>
    <xf numFmtId="0" fontId="17" fillId="7" borderId="13" xfId="0" applyFont="1" applyFill="1" applyBorder="1" applyAlignment="1">
      <alignment horizontal="center" vertical="center"/>
    </xf>
    <xf numFmtId="0" fontId="17" fillId="7" borderId="18" xfId="0" applyFont="1" applyFill="1" applyBorder="1" applyAlignment="1">
      <alignment horizontal="center" vertical="center"/>
    </xf>
    <xf numFmtId="0" fontId="17" fillId="7" borderId="42" xfId="0" applyFont="1" applyFill="1" applyBorder="1" applyAlignment="1">
      <alignment horizontal="center" vertical="center" wrapText="1"/>
    </xf>
    <xf numFmtId="0" fontId="17" fillId="7" borderId="43" xfId="0" applyFont="1" applyFill="1" applyBorder="1" applyAlignment="1">
      <alignment horizontal="center" vertical="center" wrapText="1"/>
    </xf>
    <xf numFmtId="0" fontId="17" fillId="7" borderId="44" xfId="0" applyFont="1" applyFill="1" applyBorder="1" applyAlignment="1">
      <alignment horizontal="center" vertical="center"/>
    </xf>
    <xf numFmtId="43" fontId="17" fillId="7" borderId="6" xfId="11" applyFont="1" applyFill="1" applyBorder="1" applyAlignment="1">
      <alignment horizontal="center" vertical="center" wrapText="1"/>
    </xf>
    <xf numFmtId="43" fontId="17" fillId="7" borderId="13" xfId="11" applyFont="1" applyFill="1" applyBorder="1" applyAlignment="1">
      <alignment horizontal="center" vertical="center" wrapText="1"/>
    </xf>
    <xf numFmtId="43" fontId="17" fillId="7" borderId="18" xfId="11" applyFont="1" applyFill="1" applyBorder="1" applyAlignment="1">
      <alignment horizontal="center" vertical="center" wrapText="1"/>
    </xf>
    <xf numFmtId="10" fontId="17" fillId="7" borderId="6" xfId="0" applyNumberFormat="1" applyFont="1" applyFill="1" applyBorder="1" applyAlignment="1">
      <alignment horizontal="center"/>
    </xf>
    <xf numFmtId="10" fontId="17" fillId="7" borderId="13" xfId="0" applyNumberFormat="1" applyFont="1" applyFill="1" applyBorder="1" applyAlignment="1">
      <alignment horizontal="center"/>
    </xf>
    <xf numFmtId="10" fontId="17" fillId="7" borderId="18" xfId="0" applyNumberFormat="1" applyFont="1" applyFill="1" applyBorder="1" applyAlignment="1">
      <alignment horizontal="center"/>
    </xf>
    <xf numFmtId="14" fontId="17" fillId="7" borderId="6" xfId="0" applyNumberFormat="1" applyFont="1" applyFill="1" applyBorder="1" applyAlignment="1">
      <alignment horizontal="center" vertical="center"/>
    </xf>
    <xf numFmtId="14" fontId="17" fillId="7" borderId="13" xfId="0" applyNumberFormat="1" applyFont="1" applyFill="1" applyBorder="1" applyAlignment="1">
      <alignment horizontal="center" vertical="center"/>
    </xf>
    <xf numFmtId="14" fontId="17" fillId="7" borderId="18" xfId="0" applyNumberFormat="1" applyFont="1" applyFill="1" applyBorder="1" applyAlignment="1">
      <alignment horizontal="center" vertical="center"/>
    </xf>
    <xf numFmtId="1" fontId="17" fillId="7" borderId="6" xfId="0" applyNumberFormat="1" applyFont="1" applyFill="1" applyBorder="1" applyAlignment="1">
      <alignment horizontal="center" vertical="center" wrapText="1"/>
    </xf>
    <xf numFmtId="1" fontId="17" fillId="7" borderId="13" xfId="0" applyNumberFormat="1" applyFont="1" applyFill="1" applyBorder="1" applyAlignment="1">
      <alignment horizontal="center" vertical="center" wrapText="1"/>
    </xf>
    <xf numFmtId="1" fontId="17" fillId="7" borderId="18" xfId="0" applyNumberFormat="1" applyFont="1" applyFill="1" applyBorder="1" applyAlignment="1">
      <alignment horizontal="center" vertical="center" wrapText="1"/>
    </xf>
    <xf numFmtId="9" fontId="17" fillId="7" borderId="6" xfId="13" applyFont="1" applyFill="1" applyBorder="1" applyAlignment="1">
      <alignment horizontal="center" vertical="center" wrapText="1"/>
    </xf>
    <xf numFmtId="9" fontId="17" fillId="7" borderId="13" xfId="13" applyFont="1" applyFill="1" applyBorder="1" applyAlignment="1">
      <alignment horizontal="center" vertical="center" wrapText="1"/>
    </xf>
    <xf numFmtId="9" fontId="17" fillId="7" borderId="18" xfId="13" applyFont="1" applyFill="1" applyBorder="1" applyAlignment="1">
      <alignment horizontal="center" vertical="center" wrapText="1"/>
    </xf>
    <xf numFmtId="43" fontId="17" fillId="7" borderId="6" xfId="11" applyNumberFormat="1" applyFont="1" applyFill="1" applyBorder="1" applyAlignment="1">
      <alignment horizontal="right" vertical="center" wrapText="1"/>
    </xf>
    <xf numFmtId="43" fontId="17" fillId="7" borderId="13" xfId="11" applyNumberFormat="1" applyFont="1" applyFill="1" applyBorder="1" applyAlignment="1">
      <alignment horizontal="right" vertical="center" wrapText="1"/>
    </xf>
    <xf numFmtId="43" fontId="17" fillId="7" borderId="18" xfId="11" applyNumberFormat="1" applyFont="1" applyFill="1" applyBorder="1" applyAlignment="1">
      <alignment horizontal="right" vertical="center" wrapText="1"/>
    </xf>
    <xf numFmtId="0" fontId="17" fillId="0" borderId="6" xfId="0" applyFont="1" applyBorder="1" applyAlignment="1">
      <alignment horizontal="justify" vertical="center" wrapText="1"/>
    </xf>
    <xf numFmtId="0" fontId="17" fillId="0" borderId="13" xfId="0" applyFont="1" applyBorder="1" applyAlignment="1">
      <alignment horizontal="justify" vertical="center" wrapText="1"/>
    </xf>
    <xf numFmtId="0" fontId="17" fillId="0" borderId="18" xfId="0" applyFont="1" applyBorder="1" applyAlignment="1">
      <alignment horizontal="justify" vertical="center" wrapText="1"/>
    </xf>
    <xf numFmtId="0" fontId="17" fillId="0" borderId="6"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8" xfId="0" applyFont="1" applyBorder="1" applyAlignment="1">
      <alignment horizontal="center" vertical="center" wrapText="1"/>
    </xf>
    <xf numFmtId="0" fontId="17" fillId="7" borderId="6"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17" fillId="7" borderId="44" xfId="0" applyFont="1" applyFill="1" applyBorder="1" applyAlignment="1">
      <alignment horizontal="center" vertical="center" wrapText="1"/>
    </xf>
    <xf numFmtId="9" fontId="17" fillId="7" borderId="7" xfId="0" applyNumberFormat="1" applyFont="1" applyFill="1" applyBorder="1" applyAlignment="1">
      <alignment horizontal="center" vertical="center"/>
    </xf>
    <xf numFmtId="9" fontId="17" fillId="7" borderId="16" xfId="0" applyNumberFormat="1" applyFont="1" applyFill="1" applyBorder="1" applyAlignment="1">
      <alignment horizontal="center" vertical="center"/>
    </xf>
    <xf numFmtId="9" fontId="17" fillId="7" borderId="14" xfId="0" applyNumberFormat="1" applyFont="1" applyFill="1" applyBorder="1" applyAlignment="1">
      <alignment horizontal="center" vertical="center"/>
    </xf>
    <xf numFmtId="0" fontId="17" fillId="7" borderId="8" xfId="0" applyFont="1" applyFill="1" applyBorder="1" applyAlignment="1">
      <alignment horizontal="justify" vertical="center" wrapText="1"/>
    </xf>
    <xf numFmtId="0" fontId="17" fillId="7" borderId="17" xfId="0" applyFont="1" applyFill="1" applyBorder="1" applyAlignment="1">
      <alignment horizontal="justify" vertical="center" wrapText="1"/>
    </xf>
    <xf numFmtId="0" fontId="17" fillId="7" borderId="15" xfId="0" applyFont="1" applyFill="1" applyBorder="1" applyAlignment="1">
      <alignment horizontal="justify" vertical="center" wrapText="1"/>
    </xf>
    <xf numFmtId="3" fontId="17" fillId="0" borderId="6" xfId="0" applyNumberFormat="1" applyFont="1" applyBorder="1" applyAlignment="1">
      <alignment horizontal="center" vertical="center" wrapText="1"/>
    </xf>
    <xf numFmtId="3" fontId="17" fillId="0" borderId="13" xfId="0" applyNumberFormat="1" applyFont="1" applyBorder="1" applyAlignment="1">
      <alignment horizontal="center" vertical="center" wrapText="1"/>
    </xf>
    <xf numFmtId="3" fontId="17" fillId="0" borderId="18" xfId="0" applyNumberFormat="1" applyFont="1" applyBorder="1" applyAlignment="1">
      <alignment horizontal="center" vertical="center" wrapText="1"/>
    </xf>
    <xf numFmtId="0" fontId="17" fillId="7" borderId="1" xfId="0" applyFont="1" applyFill="1" applyBorder="1" applyAlignment="1">
      <alignment horizontal="justify" vertical="center" wrapText="1"/>
    </xf>
    <xf numFmtId="0" fontId="18" fillId="12" borderId="3" xfId="0" applyFont="1" applyFill="1" applyBorder="1" applyAlignment="1">
      <alignment horizontal="left" vertical="center" wrapText="1"/>
    </xf>
    <xf numFmtId="0" fontId="18" fillId="12" borderId="4" xfId="0" applyFont="1" applyFill="1" applyBorder="1" applyAlignment="1">
      <alignment horizontal="left" vertical="center" wrapText="1"/>
    </xf>
    <xf numFmtId="0" fontId="17" fillId="7" borderId="1" xfId="0" applyFont="1" applyFill="1" applyBorder="1" applyAlignment="1">
      <alignment horizontal="center" vertical="center" wrapText="1"/>
    </xf>
    <xf numFmtId="0" fontId="18" fillId="14" borderId="3" xfId="0" applyFont="1" applyFill="1" applyBorder="1" applyAlignment="1">
      <alignment horizontal="left" vertical="center" wrapText="1"/>
    </xf>
    <xf numFmtId="0" fontId="18" fillId="14" borderId="4" xfId="0" applyFont="1" applyFill="1" applyBorder="1" applyAlignment="1">
      <alignment horizontal="left" vertical="center" wrapText="1"/>
    </xf>
    <xf numFmtId="9" fontId="17" fillId="7" borderId="6" xfId="0" applyNumberFormat="1" applyFont="1" applyFill="1" applyBorder="1" applyAlignment="1">
      <alignment horizontal="center" vertical="center"/>
    </xf>
    <xf numFmtId="9" fontId="17" fillId="7" borderId="13" xfId="0" applyNumberFormat="1" applyFont="1" applyFill="1" applyBorder="1" applyAlignment="1">
      <alignment horizontal="center" vertical="center"/>
    </xf>
    <xf numFmtId="9" fontId="17" fillId="7" borderId="18" xfId="0" applyNumberFormat="1" applyFont="1" applyFill="1" applyBorder="1" applyAlignment="1">
      <alignment horizontal="center" vertical="center"/>
    </xf>
    <xf numFmtId="43" fontId="17" fillId="7" borderId="6" xfId="11" applyFont="1" applyFill="1" applyBorder="1" applyAlignment="1">
      <alignment horizontal="right" vertical="center" wrapText="1"/>
    </xf>
    <xf numFmtId="43" fontId="17" fillId="7" borderId="13" xfId="11" applyFont="1" applyFill="1" applyBorder="1" applyAlignment="1">
      <alignment horizontal="right" vertical="center" wrapText="1"/>
    </xf>
    <xf numFmtId="43" fontId="17" fillId="7" borderId="18" xfId="11" applyFont="1" applyFill="1" applyBorder="1" applyAlignment="1">
      <alignment horizontal="right" vertical="center" wrapText="1"/>
    </xf>
    <xf numFmtId="0" fontId="17" fillId="0" borderId="1" xfId="0" applyFont="1" applyBorder="1" applyAlignment="1">
      <alignment horizontal="justify" vertical="center" wrapText="1"/>
    </xf>
    <xf numFmtId="41" fontId="17" fillId="7" borderId="6" xfId="11" applyNumberFormat="1" applyFont="1" applyFill="1" applyBorder="1" applyAlignment="1">
      <alignment horizontal="center" vertical="center" wrapText="1"/>
    </xf>
    <xf numFmtId="41" fontId="17" fillId="7" borderId="18" xfId="11" applyNumberFormat="1" applyFont="1" applyFill="1" applyBorder="1" applyAlignment="1">
      <alignment horizontal="center" vertical="center" wrapText="1"/>
    </xf>
    <xf numFmtId="0" fontId="9" fillId="7" borderId="0" xfId="0" applyFont="1" applyFill="1" applyAlignment="1">
      <alignment horizontal="center"/>
    </xf>
    <xf numFmtId="0" fontId="10" fillId="7" borderId="0" xfId="0" applyFont="1" applyFill="1" applyAlignment="1">
      <alignment horizontal="center"/>
    </xf>
    <xf numFmtId="176" fontId="17" fillId="7" borderId="19" xfId="0" applyNumberFormat="1" applyFont="1" applyFill="1" applyBorder="1" applyAlignment="1">
      <alignment horizontal="center" vertical="center" wrapText="1"/>
    </xf>
    <xf numFmtId="170" fontId="10" fillId="7" borderId="6" xfId="0" applyNumberFormat="1" applyFont="1" applyFill="1" applyBorder="1" applyAlignment="1">
      <alignment horizontal="center" vertical="center" wrapText="1"/>
    </xf>
    <xf numFmtId="170" fontId="10" fillId="7" borderId="13" xfId="0" applyNumberFormat="1" applyFont="1" applyFill="1" applyBorder="1" applyAlignment="1">
      <alignment horizontal="center" vertical="center" wrapText="1"/>
    </xf>
    <xf numFmtId="170" fontId="10" fillId="7" borderId="18" xfId="0" applyNumberFormat="1" applyFont="1" applyFill="1" applyBorder="1" applyAlignment="1">
      <alignment horizontal="center" vertical="center" wrapText="1"/>
    </xf>
    <xf numFmtId="3" fontId="10" fillId="7" borderId="1" xfId="0" applyNumberFormat="1" applyFont="1" applyFill="1" applyBorder="1" applyAlignment="1">
      <alignment horizontal="center" vertical="center" wrapText="1"/>
    </xf>
    <xf numFmtId="0" fontId="10" fillId="0" borderId="77" xfId="0" applyFont="1" applyBorder="1" applyAlignment="1">
      <alignment horizontal="center"/>
    </xf>
    <xf numFmtId="0" fontId="10" fillId="0" borderId="19" xfId="0" applyFont="1" applyBorder="1" applyAlignment="1">
      <alignment horizontal="center"/>
    </xf>
    <xf numFmtId="0" fontId="10" fillId="0" borderId="93" xfId="0" applyFont="1" applyBorder="1" applyAlignment="1">
      <alignment horizontal="center"/>
    </xf>
    <xf numFmtId="0" fontId="10" fillId="0" borderId="56" xfId="0" applyFont="1" applyBorder="1" applyAlignment="1">
      <alignment horizontal="center"/>
    </xf>
    <xf numFmtId="14" fontId="10" fillId="7" borderId="6" xfId="0" applyNumberFormat="1" applyFont="1" applyFill="1" applyBorder="1" applyAlignment="1">
      <alignment horizontal="center" vertical="center" wrapText="1"/>
    </xf>
    <xf numFmtId="14" fontId="10" fillId="7" borderId="13" xfId="0" applyNumberFormat="1" applyFont="1" applyFill="1" applyBorder="1" applyAlignment="1">
      <alignment horizontal="center" vertical="center" wrapText="1"/>
    </xf>
    <xf numFmtId="14" fontId="10" fillId="7" borderId="18" xfId="0" applyNumberFormat="1" applyFont="1" applyFill="1" applyBorder="1" applyAlignment="1">
      <alignment horizontal="center" vertical="center" wrapText="1"/>
    </xf>
    <xf numFmtId="173" fontId="10" fillId="7" borderId="6" xfId="1" applyNumberFormat="1" applyFont="1" applyFill="1" applyBorder="1" applyAlignment="1">
      <alignment horizontal="center" vertical="center" wrapText="1"/>
    </xf>
    <xf numFmtId="173" fontId="10" fillId="7" borderId="13" xfId="1" applyNumberFormat="1" applyFont="1" applyFill="1" applyBorder="1" applyAlignment="1">
      <alignment horizontal="center" vertical="center" wrapText="1"/>
    </xf>
    <xf numFmtId="173" fontId="10" fillId="7" borderId="18" xfId="1" applyNumberFormat="1" applyFont="1" applyFill="1" applyBorder="1" applyAlignment="1">
      <alignment horizontal="center" vertical="center" wrapText="1"/>
    </xf>
    <xf numFmtId="0" fontId="10" fillId="7" borderId="6" xfId="1" applyNumberFormat="1" applyFont="1" applyFill="1" applyBorder="1" applyAlignment="1">
      <alignment horizontal="center" vertical="center" wrapText="1"/>
    </xf>
    <xf numFmtId="0" fontId="10" fillId="7" borderId="13" xfId="1" applyNumberFormat="1" applyFont="1" applyFill="1" applyBorder="1" applyAlignment="1">
      <alignment horizontal="center" vertical="center" wrapText="1"/>
    </xf>
    <xf numFmtId="0" fontId="10" fillId="7" borderId="18" xfId="1" applyNumberFormat="1" applyFont="1" applyFill="1" applyBorder="1" applyAlignment="1">
      <alignment horizontal="center" vertical="center" wrapText="1"/>
    </xf>
    <xf numFmtId="9" fontId="10" fillId="7" borderId="6" xfId="0" applyNumberFormat="1" applyFont="1" applyFill="1" applyBorder="1" applyAlignment="1">
      <alignment horizontal="center" vertical="center" wrapText="1"/>
    </xf>
    <xf numFmtId="9" fontId="10" fillId="7" borderId="13" xfId="0" applyNumberFormat="1" applyFont="1" applyFill="1" applyBorder="1" applyAlignment="1">
      <alignment horizontal="center" vertical="center" wrapText="1"/>
    </xf>
    <xf numFmtId="9" fontId="10" fillId="7" borderId="18" xfId="0" applyNumberFormat="1" applyFont="1" applyFill="1" applyBorder="1" applyAlignment="1">
      <alignment horizontal="center" vertical="center" wrapText="1"/>
    </xf>
    <xf numFmtId="171" fontId="10" fillId="7" borderId="6" xfId="1" applyNumberFormat="1" applyFont="1" applyFill="1" applyBorder="1" applyAlignment="1">
      <alignment horizontal="center" vertical="center" wrapText="1"/>
    </xf>
    <xf numFmtId="171" fontId="10" fillId="7" borderId="13" xfId="1" applyNumberFormat="1" applyFont="1" applyFill="1" applyBorder="1" applyAlignment="1">
      <alignment horizontal="center" vertical="center" wrapText="1"/>
    </xf>
    <xf numFmtId="171" fontId="10" fillId="7" borderId="18" xfId="1" applyNumberFormat="1" applyFont="1" applyFill="1" applyBorder="1" applyAlignment="1">
      <alignment horizontal="center" vertical="center" wrapText="1"/>
    </xf>
    <xf numFmtId="43" fontId="10" fillId="7" borderId="8" xfId="1" applyFont="1" applyFill="1" applyBorder="1" applyAlignment="1">
      <alignment horizontal="center" vertical="center" wrapText="1"/>
    </xf>
    <xf numFmtId="43" fontId="10" fillId="7" borderId="15" xfId="1" applyFont="1" applyFill="1" applyBorder="1" applyAlignment="1">
      <alignment horizontal="center" vertical="center" wrapText="1"/>
    </xf>
    <xf numFmtId="0" fontId="10" fillId="0" borderId="7" xfId="0" applyFont="1" applyBorder="1" applyAlignment="1">
      <alignment horizontal="center"/>
    </xf>
    <xf numFmtId="0" fontId="10" fillId="0" borderId="9" xfId="0" applyFont="1" applyBorder="1" applyAlignment="1">
      <alignment horizontal="center"/>
    </xf>
    <xf numFmtId="0" fontId="10" fillId="0" borderId="8" xfId="0" applyFont="1" applyBorder="1" applyAlignment="1">
      <alignment horizontal="center"/>
    </xf>
    <xf numFmtId="0" fontId="10" fillId="0" borderId="16" xfId="0" applyFont="1" applyBorder="1" applyAlignment="1">
      <alignment horizontal="center"/>
    </xf>
    <xf numFmtId="0" fontId="10" fillId="0" borderId="0" xfId="0" applyFont="1" applyBorder="1" applyAlignment="1">
      <alignment horizontal="center"/>
    </xf>
    <xf numFmtId="0" fontId="10" fillId="0" borderId="17" xfId="0" applyFont="1" applyBorder="1" applyAlignment="1">
      <alignment horizontal="center"/>
    </xf>
    <xf numFmtId="0" fontId="10" fillId="0" borderId="14" xfId="0" applyFont="1" applyBorder="1" applyAlignment="1">
      <alignment horizontal="center"/>
    </xf>
    <xf numFmtId="0" fontId="10" fillId="0" borderId="2" xfId="0" applyFont="1" applyBorder="1" applyAlignment="1">
      <alignment horizontal="center"/>
    </xf>
    <xf numFmtId="0" fontId="10" fillId="0" borderId="15" xfId="0" applyFont="1" applyBorder="1" applyAlignment="1">
      <alignment horizontal="center"/>
    </xf>
    <xf numFmtId="0" fontId="10" fillId="7" borderId="7" xfId="0" applyFont="1" applyFill="1" applyBorder="1" applyAlignment="1">
      <alignment horizontal="justify" vertical="center" wrapText="1"/>
    </xf>
    <xf numFmtId="0" fontId="10" fillId="7" borderId="14" xfId="0" applyFont="1" applyFill="1" applyBorder="1" applyAlignment="1">
      <alignment horizontal="justify" vertical="center" wrapText="1"/>
    </xf>
    <xf numFmtId="43" fontId="10" fillId="0" borderId="1" xfId="1" applyFont="1" applyBorder="1" applyAlignment="1">
      <alignment horizontal="center" vertical="center" wrapText="1"/>
    </xf>
    <xf numFmtId="43" fontId="10" fillId="0" borderId="6" xfId="1" applyFont="1" applyBorder="1" applyAlignment="1">
      <alignment horizontal="center" vertical="center" wrapText="1"/>
    </xf>
    <xf numFmtId="43" fontId="10" fillId="0" borderId="13" xfId="1" applyFont="1" applyBorder="1" applyAlignment="1">
      <alignment horizontal="center" vertical="center" wrapText="1"/>
    </xf>
    <xf numFmtId="43" fontId="10" fillId="0" borderId="18" xfId="1" applyFont="1" applyBorder="1" applyAlignment="1">
      <alignment horizontal="center" vertical="center" wrapText="1"/>
    </xf>
    <xf numFmtId="3" fontId="10" fillId="7" borderId="13" xfId="0" applyNumberFormat="1" applyFont="1" applyFill="1" applyBorder="1" applyAlignment="1">
      <alignment horizontal="justify" vertical="center" wrapText="1"/>
    </xf>
    <xf numFmtId="3" fontId="10" fillId="7" borderId="42" xfId="0" applyNumberFormat="1" applyFont="1" applyFill="1" applyBorder="1" applyAlignment="1">
      <alignment horizontal="justify" vertical="center" wrapText="1"/>
    </xf>
    <xf numFmtId="3" fontId="10" fillId="7" borderId="43" xfId="0" applyNumberFormat="1" applyFont="1" applyFill="1" applyBorder="1" applyAlignment="1">
      <alignment horizontal="justify" vertical="center" wrapText="1"/>
    </xf>
    <xf numFmtId="3" fontId="10" fillId="7" borderId="44" xfId="0" applyNumberFormat="1" applyFont="1" applyFill="1" applyBorder="1" applyAlignment="1">
      <alignment horizontal="justify" vertical="center" wrapText="1"/>
    </xf>
    <xf numFmtId="1" fontId="9" fillId="7" borderId="6" xfId="0" applyNumberFormat="1" applyFont="1" applyFill="1" applyBorder="1" applyAlignment="1">
      <alignment horizontal="center" vertical="center" wrapText="1"/>
    </xf>
    <xf numFmtId="1" fontId="9" fillId="7" borderId="13" xfId="0" applyNumberFormat="1" applyFont="1" applyFill="1" applyBorder="1" applyAlignment="1">
      <alignment horizontal="center" vertical="center" wrapText="1"/>
    </xf>
    <xf numFmtId="1" fontId="9" fillId="7" borderId="18" xfId="0" applyNumberFormat="1" applyFont="1" applyFill="1" applyBorder="1" applyAlignment="1">
      <alignment horizontal="center" vertical="center" wrapText="1"/>
    </xf>
    <xf numFmtId="0" fontId="10" fillId="7" borderId="16" xfId="0" applyFont="1" applyFill="1" applyBorder="1" applyAlignment="1">
      <alignment horizontal="justify" vertical="center" wrapText="1"/>
    </xf>
    <xf numFmtId="43" fontId="10" fillId="7" borderId="1" xfId="1" applyFont="1" applyFill="1" applyBorder="1" applyAlignment="1">
      <alignment horizontal="center" vertical="center" wrapText="1"/>
    </xf>
    <xf numFmtId="43" fontId="10" fillId="7" borderId="17" xfId="1" applyFont="1" applyFill="1" applyBorder="1" applyAlignment="1">
      <alignment horizontal="center" vertical="center" wrapText="1"/>
    </xf>
    <xf numFmtId="0" fontId="10" fillId="0" borderId="1" xfId="0" applyFont="1" applyBorder="1" applyAlignment="1">
      <alignment horizontal="center"/>
    </xf>
    <xf numFmtId="2" fontId="10" fillId="7" borderId="6" xfId="1" applyNumberFormat="1" applyFont="1" applyFill="1" applyBorder="1" applyAlignment="1">
      <alignment horizontal="center" vertical="center" wrapText="1"/>
    </xf>
    <xf numFmtId="2" fontId="10" fillId="7" borderId="13" xfId="1" applyNumberFormat="1" applyFont="1" applyFill="1" applyBorder="1" applyAlignment="1">
      <alignment horizontal="center" vertical="center" wrapText="1"/>
    </xf>
    <xf numFmtId="2" fontId="10" fillId="7" borderId="18" xfId="1" applyNumberFormat="1" applyFont="1" applyFill="1" applyBorder="1" applyAlignment="1">
      <alignment horizontal="center" vertical="center" wrapText="1"/>
    </xf>
    <xf numFmtId="0" fontId="10" fillId="7" borderId="1" xfId="0" applyFont="1" applyFill="1" applyBorder="1" applyAlignment="1">
      <alignment horizontal="center"/>
    </xf>
    <xf numFmtId="43" fontId="10" fillId="0" borderId="6" xfId="1" applyFont="1" applyBorder="1" applyAlignment="1">
      <alignment horizontal="center" vertical="center"/>
    </xf>
    <xf numFmtId="43" fontId="10" fillId="0" borderId="13" xfId="1" applyFont="1" applyBorder="1" applyAlignment="1">
      <alignment horizontal="center" vertical="center"/>
    </xf>
    <xf numFmtId="43" fontId="10" fillId="0" borderId="18" xfId="1" applyFont="1" applyBorder="1" applyAlignment="1">
      <alignment horizontal="center" vertical="center"/>
    </xf>
    <xf numFmtId="9" fontId="10" fillId="0" borderId="6" xfId="0" applyNumberFormat="1" applyFont="1" applyBorder="1" applyAlignment="1">
      <alignment horizontal="center" vertical="center"/>
    </xf>
    <xf numFmtId="9" fontId="10" fillId="0" borderId="13" xfId="0" applyNumberFormat="1" applyFont="1" applyBorder="1" applyAlignment="1">
      <alignment horizontal="center" vertical="center"/>
    </xf>
    <xf numFmtId="9" fontId="10" fillId="0" borderId="18" xfId="0" applyNumberFormat="1" applyFont="1" applyBorder="1" applyAlignment="1">
      <alignment horizontal="center" vertical="center"/>
    </xf>
    <xf numFmtId="0" fontId="10" fillId="0" borderId="6" xfId="0" applyFont="1" applyBorder="1" applyAlignment="1">
      <alignment horizontal="center" vertical="center"/>
    </xf>
    <xf numFmtId="0" fontId="10" fillId="0" borderId="13" xfId="0" applyFont="1" applyBorder="1" applyAlignment="1">
      <alignment horizontal="center" vertical="center"/>
    </xf>
    <xf numFmtId="0" fontId="10" fillId="0" borderId="18" xfId="0" applyFont="1" applyBorder="1" applyAlignment="1">
      <alignment horizontal="center" vertical="center"/>
    </xf>
    <xf numFmtId="0" fontId="10" fillId="7" borderId="1" xfId="0" applyFont="1" applyFill="1" applyBorder="1" applyAlignment="1">
      <alignment horizontal="justify" vertical="center" wrapText="1"/>
    </xf>
    <xf numFmtId="0" fontId="10" fillId="0" borderId="1" xfId="0" applyFont="1" applyBorder="1" applyAlignment="1">
      <alignment horizontal="center" vertical="center"/>
    </xf>
    <xf numFmtId="9" fontId="10" fillId="7" borderId="1" xfId="0" applyNumberFormat="1" applyFont="1" applyFill="1" applyBorder="1" applyAlignment="1">
      <alignment horizontal="center" vertical="center" wrapText="1"/>
    </xf>
    <xf numFmtId="3" fontId="10" fillId="7" borderId="1" xfId="0" applyNumberFormat="1" applyFont="1" applyFill="1" applyBorder="1" applyAlignment="1">
      <alignment horizontal="justify" vertical="center" wrapText="1"/>
    </xf>
    <xf numFmtId="43" fontId="10" fillId="0" borderId="1" xfId="1" applyFont="1" applyBorder="1" applyAlignment="1">
      <alignment horizontal="center" vertical="center"/>
    </xf>
    <xf numFmtId="3" fontId="10" fillId="7" borderId="36" xfId="0" applyNumberFormat="1" applyFont="1" applyFill="1" applyBorder="1" applyAlignment="1">
      <alignment horizontal="center" vertical="center" wrapText="1"/>
    </xf>
    <xf numFmtId="43" fontId="3" fillId="0" borderId="6" xfId="1" applyFont="1" applyFill="1" applyBorder="1" applyAlignment="1">
      <alignment horizontal="center" vertical="center" wrapText="1"/>
    </xf>
    <xf numFmtId="43" fontId="3" fillId="0" borderId="18" xfId="1" applyFont="1" applyFill="1" applyBorder="1" applyAlignment="1">
      <alignment horizontal="center" vertical="center" wrapText="1"/>
    </xf>
    <xf numFmtId="1" fontId="10" fillId="7" borderId="1" xfId="0" applyNumberFormat="1" applyFont="1" applyFill="1" applyBorder="1" applyAlignment="1">
      <alignment horizontal="center" vertical="center" wrapText="1"/>
    </xf>
    <xf numFmtId="43" fontId="3" fillId="0" borderId="13" xfId="1" applyFont="1" applyFill="1" applyBorder="1" applyAlignment="1">
      <alignment horizontal="center" vertical="center" wrapText="1"/>
    </xf>
    <xf numFmtId="171" fontId="10" fillId="0" borderId="1" xfId="1" applyNumberFormat="1" applyFont="1" applyBorder="1" applyAlignment="1">
      <alignment horizontal="center" vertical="center" wrapText="1"/>
    </xf>
    <xf numFmtId="0" fontId="10" fillId="7" borderId="7" xfId="0" applyFont="1" applyFill="1" applyBorder="1" applyAlignment="1">
      <alignment horizontal="center"/>
    </xf>
    <xf numFmtId="0" fontId="10" fillId="7" borderId="9" xfId="0" applyFont="1" applyFill="1" applyBorder="1" applyAlignment="1">
      <alignment horizontal="center"/>
    </xf>
    <xf numFmtId="0" fontId="10" fillId="7" borderId="8" xfId="0" applyFont="1" applyFill="1" applyBorder="1" applyAlignment="1">
      <alignment horizontal="center"/>
    </xf>
    <xf numFmtId="0" fontId="10" fillId="7" borderId="16" xfId="0" applyFont="1" applyFill="1" applyBorder="1" applyAlignment="1">
      <alignment horizontal="center"/>
    </xf>
    <xf numFmtId="0" fontId="10" fillId="7" borderId="0" xfId="0" applyFont="1" applyFill="1" applyBorder="1" applyAlignment="1">
      <alignment horizontal="center"/>
    </xf>
    <xf numFmtId="0" fontId="10" fillId="7" borderId="17" xfId="0" applyFont="1" applyFill="1" applyBorder="1" applyAlignment="1">
      <alignment horizontal="center"/>
    </xf>
    <xf numFmtId="0" fontId="9" fillId="7" borderId="9"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9" fillId="7" borderId="2" xfId="0" applyFont="1" applyFill="1" applyBorder="1" applyAlignment="1">
      <alignment horizontal="center" vertical="center" wrapText="1"/>
    </xf>
    <xf numFmtId="14" fontId="10" fillId="7" borderId="1" xfId="0" applyNumberFormat="1" applyFont="1" applyFill="1" applyBorder="1" applyAlignment="1">
      <alignment horizontal="center" vertical="center" wrapText="1"/>
    </xf>
    <xf numFmtId="3" fontId="10" fillId="7" borderId="1" xfId="0" applyNumberFormat="1" applyFont="1" applyFill="1" applyBorder="1" applyAlignment="1">
      <alignment horizontal="center" vertical="center"/>
    </xf>
    <xf numFmtId="14" fontId="10" fillId="0" borderId="6" xfId="0" applyNumberFormat="1" applyFont="1" applyBorder="1" applyAlignment="1">
      <alignment horizontal="center" vertical="center" wrapText="1"/>
    </xf>
    <xf numFmtId="9" fontId="10" fillId="0" borderId="6" xfId="0" applyNumberFormat="1" applyFont="1" applyBorder="1" applyAlignment="1">
      <alignment horizontal="center" vertical="center" wrapText="1"/>
    </xf>
    <xf numFmtId="9" fontId="10" fillId="0" borderId="13" xfId="0" applyNumberFormat="1" applyFont="1" applyBorder="1" applyAlignment="1">
      <alignment horizontal="center" vertical="center" wrapText="1"/>
    </xf>
    <xf numFmtId="9" fontId="10" fillId="0" borderId="18" xfId="0" applyNumberFormat="1" applyFont="1" applyBorder="1" applyAlignment="1">
      <alignment horizontal="center" vertical="center" wrapText="1"/>
    </xf>
    <xf numFmtId="171"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171" fontId="10" fillId="0" borderId="6" xfId="0" applyNumberFormat="1" applyFont="1" applyBorder="1" applyAlignment="1">
      <alignment horizontal="center" vertical="center" wrapText="1"/>
    </xf>
    <xf numFmtId="171" fontId="10" fillId="0" borderId="18" xfId="0" applyNumberFormat="1" applyFont="1" applyBorder="1" applyAlignment="1">
      <alignment horizontal="center" vertical="center" wrapText="1"/>
    </xf>
    <xf numFmtId="166" fontId="4" fillId="3" borderId="7" xfId="0" applyNumberFormat="1" applyFont="1" applyFill="1" applyBorder="1" applyAlignment="1">
      <alignment horizontal="center" vertical="center" wrapText="1"/>
    </xf>
    <xf numFmtId="0" fontId="4" fillId="3" borderId="1" xfId="0" applyFont="1" applyFill="1" applyBorder="1" applyAlignment="1">
      <alignment horizontal="center" vertical="center" textRotation="90" wrapText="1"/>
    </xf>
    <xf numFmtId="3" fontId="4" fillId="4" borderId="3" xfId="0" applyNumberFormat="1" applyFont="1" applyFill="1" applyBorder="1" applyAlignment="1">
      <alignment horizontal="center" vertical="center" wrapText="1"/>
    </xf>
    <xf numFmtId="3" fontId="4" fillId="4" borderId="4" xfId="0" applyNumberFormat="1" applyFont="1" applyFill="1" applyBorder="1" applyAlignment="1">
      <alignment horizontal="center" vertical="center" wrapText="1"/>
    </xf>
    <xf numFmtId="3" fontId="4" fillId="4" borderId="5" xfId="0" applyNumberFormat="1"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9" fontId="5" fillId="5" borderId="1" xfId="6"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171" fontId="5" fillId="5" borderId="1" xfId="0" applyNumberFormat="1" applyFont="1" applyFill="1" applyBorder="1" applyAlignment="1">
      <alignment horizontal="center" vertical="center" wrapText="1"/>
    </xf>
    <xf numFmtId="1" fontId="9" fillId="7" borderId="9" xfId="0" applyNumberFormat="1" applyFont="1" applyFill="1" applyBorder="1" applyAlignment="1">
      <alignment horizontal="center" vertical="center" wrapText="1"/>
    </xf>
    <xf numFmtId="1" fontId="9" fillId="7" borderId="0" xfId="0" applyNumberFormat="1" applyFont="1" applyFill="1" applyBorder="1" applyAlignment="1">
      <alignment horizontal="center" vertical="center" wrapText="1"/>
    </xf>
    <xf numFmtId="1" fontId="9" fillId="7" borderId="2" xfId="0" applyNumberFormat="1" applyFont="1" applyFill="1" applyBorder="1" applyAlignment="1">
      <alignment horizontal="center" vertical="center" wrapText="1"/>
    </xf>
    <xf numFmtId="171" fontId="4" fillId="3" borderId="7" xfId="0" applyNumberFormat="1" applyFont="1" applyFill="1" applyBorder="1" applyAlignment="1">
      <alignment horizontal="center" vertical="center" wrapText="1"/>
    </xf>
    <xf numFmtId="171" fontId="4" fillId="3" borderId="9" xfId="0" applyNumberFormat="1" applyFont="1" applyFill="1" applyBorder="1" applyAlignment="1">
      <alignment horizontal="center" vertical="center" wrapText="1"/>
    </xf>
    <xf numFmtId="171" fontId="4" fillId="3" borderId="8" xfId="0" applyNumberFormat="1" applyFont="1" applyFill="1" applyBorder="1" applyAlignment="1">
      <alignment horizontal="center" vertical="center" wrapText="1"/>
    </xf>
    <xf numFmtId="171" fontId="4" fillId="3" borderId="16" xfId="0" applyNumberFormat="1" applyFont="1" applyFill="1" applyBorder="1" applyAlignment="1">
      <alignment horizontal="center" vertical="center" wrapText="1"/>
    </xf>
    <xf numFmtId="171" fontId="4" fillId="3" borderId="0" xfId="0" applyNumberFormat="1" applyFont="1" applyFill="1" applyBorder="1" applyAlignment="1">
      <alignment horizontal="center" vertical="center" wrapText="1"/>
    </xf>
    <xf numFmtId="171" fontId="4" fillId="3" borderId="17" xfId="0" applyNumberFormat="1" applyFont="1" applyFill="1" applyBorder="1" applyAlignment="1">
      <alignment horizontal="center" vertical="center" wrapText="1"/>
    </xf>
    <xf numFmtId="0" fontId="5" fillId="3" borderId="6"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xf>
    <xf numFmtId="0" fontId="2" fillId="0" borderId="1" xfId="0" applyFont="1" applyBorder="1" applyAlignment="1">
      <alignment horizontal="center" vertical="center"/>
    </xf>
    <xf numFmtId="0" fontId="2" fillId="0" borderId="36"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9" xfId="0" applyFont="1" applyBorder="1" applyAlignment="1">
      <alignment horizontal="center" vertical="center"/>
    </xf>
    <xf numFmtId="0" fontId="2" fillId="3" borderId="38" xfId="0" applyFont="1" applyFill="1" applyBorder="1" applyAlignment="1">
      <alignment horizontal="center" vertical="center" wrapText="1"/>
    </xf>
    <xf numFmtId="3" fontId="2" fillId="3" borderId="36" xfId="0" applyNumberFormat="1"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165" fontId="4" fillId="3" borderId="10" xfId="5" applyFont="1" applyFill="1" applyBorder="1" applyAlignment="1">
      <alignment horizontal="center" vertical="center"/>
    </xf>
    <xf numFmtId="165" fontId="4" fillId="3" borderId="11" xfId="5" applyFont="1" applyFill="1" applyBorder="1" applyAlignment="1">
      <alignment horizontal="center" vertical="center"/>
    </xf>
    <xf numFmtId="165" fontId="4" fillId="3" borderId="12" xfId="5" applyFont="1" applyFill="1" applyBorder="1" applyAlignment="1">
      <alignment horizontal="center" vertical="center"/>
    </xf>
    <xf numFmtId="0" fontId="12" fillId="0" borderId="0" xfId="0" applyFont="1" applyBorder="1" applyAlignment="1">
      <alignment horizontal="center" vertical="center"/>
    </xf>
    <xf numFmtId="0" fontId="12" fillId="0" borderId="2" xfId="0" applyFont="1" applyBorder="1" applyAlignment="1">
      <alignment horizontal="center" vertical="center"/>
    </xf>
    <xf numFmtId="1" fontId="2" fillId="3" borderId="1" xfId="0" applyNumberFormat="1" applyFont="1" applyFill="1" applyBorder="1" applyAlignment="1">
      <alignment horizontal="center" vertical="center" wrapText="1"/>
    </xf>
    <xf numFmtId="170" fontId="2" fillId="3" borderId="1" xfId="0" applyNumberFormat="1"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textRotation="90" wrapText="1"/>
    </xf>
    <xf numFmtId="3"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43" fontId="5" fillId="5" borderId="1" xfId="0" applyNumberFormat="1" applyFont="1" applyFill="1" applyBorder="1" applyAlignment="1">
      <alignment horizontal="center" vertical="center" wrapText="1"/>
    </xf>
    <xf numFmtId="9" fontId="5" fillId="5" borderId="1" xfId="6" applyFont="1" applyFill="1" applyBorder="1" applyAlignment="1">
      <alignment horizontal="center" vertical="center" wrapText="1"/>
    </xf>
    <xf numFmtId="0" fontId="4" fillId="4" borderId="7" xfId="0" applyFont="1" applyFill="1" applyBorder="1" applyAlignment="1">
      <alignment horizontal="center" vertical="center" textRotation="90" wrapText="1"/>
    </xf>
    <xf numFmtId="0" fontId="4" fillId="4" borderId="8" xfId="0" applyFont="1" applyFill="1" applyBorder="1" applyAlignment="1">
      <alignment horizontal="center" vertical="center" textRotation="90" wrapText="1"/>
    </xf>
    <xf numFmtId="1" fontId="2" fillId="10" borderId="4" xfId="0" applyNumberFormat="1" applyFont="1" applyFill="1" applyBorder="1" applyAlignment="1">
      <alignment horizontal="left" vertical="center" wrapText="1"/>
    </xf>
    <xf numFmtId="1" fontId="2" fillId="10" borderId="9" xfId="0" applyNumberFormat="1" applyFont="1" applyFill="1" applyBorder="1" applyAlignment="1">
      <alignment horizontal="left" vertical="center" wrapText="1"/>
    </xf>
    <xf numFmtId="1" fontId="2" fillId="7" borderId="9" xfId="0" applyNumberFormat="1" applyFont="1" applyFill="1" applyBorder="1" applyAlignment="1">
      <alignment horizontal="center" vertical="center" wrapText="1"/>
    </xf>
    <xf numFmtId="1" fontId="2" fillId="7" borderId="0" xfId="0" applyNumberFormat="1" applyFont="1" applyFill="1" applyAlignment="1">
      <alignment horizontal="center" vertical="center" wrapText="1"/>
    </xf>
    <xf numFmtId="0" fontId="2" fillId="7" borderId="9"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0" xfId="0" applyFont="1" applyFill="1" applyAlignment="1">
      <alignment horizontal="center" vertical="center" wrapText="1"/>
    </xf>
    <xf numFmtId="0" fontId="2" fillId="7" borderId="17"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7" borderId="6" xfId="0" applyFont="1" applyFill="1" applyBorder="1" applyAlignment="1">
      <alignment horizontal="justify" vertical="center" wrapText="1"/>
    </xf>
    <xf numFmtId="0" fontId="3" fillId="7" borderId="18" xfId="0" applyFont="1" applyFill="1" applyBorder="1" applyAlignment="1">
      <alignment horizontal="justify" vertical="center" wrapText="1"/>
    </xf>
    <xf numFmtId="0" fontId="2" fillId="12" borderId="3" xfId="0" applyFont="1" applyFill="1" applyBorder="1" applyAlignment="1">
      <alignment horizontal="left" vertical="center" wrapText="1"/>
    </xf>
    <xf numFmtId="0" fontId="2" fillId="12" borderId="4" xfId="0" applyFont="1" applyFill="1" applyBorder="1" applyAlignment="1">
      <alignment horizontal="left" vertical="center" wrapText="1"/>
    </xf>
    <xf numFmtId="0" fontId="2" fillId="12" borderId="5" xfId="0" applyFont="1" applyFill="1" applyBorder="1" applyAlignment="1">
      <alignment horizontal="left" vertical="center" wrapText="1"/>
    </xf>
    <xf numFmtId="10" fontId="2" fillId="3" borderId="1" xfId="0" applyNumberFormat="1" applyFont="1" applyFill="1" applyBorder="1" applyAlignment="1">
      <alignment horizontal="center" vertical="center" wrapText="1"/>
    </xf>
    <xf numFmtId="0" fontId="2" fillId="3" borderId="1" xfId="0" applyFont="1" applyFill="1" applyBorder="1" applyAlignment="1">
      <alignment horizontal="justify" vertical="center" wrapText="1"/>
    </xf>
    <xf numFmtId="10" fontId="3" fillId="7" borderId="6" xfId="0" applyNumberFormat="1" applyFont="1" applyFill="1" applyBorder="1" applyAlignment="1">
      <alignment horizontal="center" vertical="center" wrapText="1"/>
    </xf>
    <xf numFmtId="10" fontId="3" fillId="7" borderId="18" xfId="0" applyNumberFormat="1" applyFont="1" applyFill="1" applyBorder="1" applyAlignment="1">
      <alignment horizontal="center" vertical="center" wrapText="1"/>
    </xf>
    <xf numFmtId="43" fontId="3" fillId="7" borderId="1" xfId="1" applyFont="1" applyFill="1" applyBorder="1" applyAlignment="1">
      <alignment horizontal="center" vertical="center" wrapText="1"/>
    </xf>
    <xf numFmtId="0" fontId="3" fillId="7" borderId="13" xfId="0" applyFont="1" applyFill="1" applyBorder="1" applyAlignment="1">
      <alignment horizontal="justify" vertical="center" wrapText="1"/>
    </xf>
    <xf numFmtId="1" fontId="3" fillId="7" borderId="1" xfId="0" applyNumberFormat="1" applyFont="1" applyFill="1" applyBorder="1" applyAlignment="1">
      <alignment horizontal="center" vertical="center" wrapText="1" readingOrder="2"/>
    </xf>
    <xf numFmtId="1" fontId="3" fillId="7" borderId="6" xfId="0" applyNumberFormat="1" applyFont="1" applyFill="1" applyBorder="1" applyAlignment="1">
      <alignment horizontal="center" vertical="center" wrapText="1" readingOrder="2"/>
    </xf>
    <xf numFmtId="1" fontId="3" fillId="7" borderId="13" xfId="0" applyNumberFormat="1" applyFont="1" applyFill="1" applyBorder="1" applyAlignment="1">
      <alignment horizontal="center" vertical="center" wrapText="1" readingOrder="2"/>
    </xf>
    <xf numFmtId="1" fontId="3" fillId="7" borderId="18" xfId="0" applyNumberFormat="1" applyFont="1" applyFill="1" applyBorder="1" applyAlignment="1">
      <alignment horizontal="center" vertical="center" wrapText="1" readingOrder="2"/>
    </xf>
    <xf numFmtId="172" fontId="3" fillId="7" borderId="6" xfId="0" applyNumberFormat="1" applyFont="1" applyFill="1" applyBorder="1" applyAlignment="1">
      <alignment horizontal="center" vertical="center" wrapText="1"/>
    </xf>
    <xf numFmtId="172" fontId="3" fillId="7" borderId="18" xfId="0" applyNumberFormat="1" applyFont="1" applyFill="1" applyBorder="1" applyAlignment="1">
      <alignment horizontal="center" vertical="center" wrapText="1"/>
    </xf>
    <xf numFmtId="1" fontId="3" fillId="7" borderId="1" xfId="0" applyNumberFormat="1" applyFont="1" applyFill="1" applyBorder="1" applyAlignment="1">
      <alignment horizontal="center" vertical="center" wrapText="1"/>
    </xf>
    <xf numFmtId="1" fontId="3" fillId="7" borderId="6" xfId="0" applyNumberFormat="1" applyFont="1" applyFill="1" applyBorder="1" applyAlignment="1">
      <alignment horizontal="center" vertical="center" wrapText="1"/>
    </xf>
    <xf numFmtId="170" fontId="3" fillId="7" borderId="1" xfId="0" applyNumberFormat="1" applyFont="1" applyFill="1" applyBorder="1" applyAlignment="1">
      <alignment horizontal="center" vertical="center" wrapText="1"/>
    </xf>
    <xf numFmtId="170" fontId="3" fillId="7" borderId="6" xfId="0" applyNumberFormat="1" applyFont="1" applyFill="1" applyBorder="1" applyAlignment="1">
      <alignment horizontal="center" vertical="center" wrapText="1"/>
    </xf>
    <xf numFmtId="3" fontId="3" fillId="7" borderId="1" xfId="0" applyNumberFormat="1" applyFont="1" applyFill="1" applyBorder="1" applyAlignment="1">
      <alignment horizontal="center" vertical="center" wrapText="1"/>
    </xf>
    <xf numFmtId="3" fontId="3" fillId="7" borderId="6" xfId="0" applyNumberFormat="1" applyFont="1" applyFill="1" applyBorder="1" applyAlignment="1">
      <alignment horizontal="center" vertical="center" wrapText="1"/>
    </xf>
    <xf numFmtId="0" fontId="3" fillId="7" borderId="1" xfId="0" applyFont="1" applyFill="1" applyBorder="1" applyAlignment="1">
      <alignment horizontal="justify" vertical="center" wrapText="1"/>
    </xf>
    <xf numFmtId="43" fontId="3" fillId="7" borderId="6" xfId="0" applyNumberFormat="1" applyFont="1" applyFill="1" applyBorder="1" applyAlignment="1">
      <alignment horizontal="center" vertical="center" wrapText="1"/>
    </xf>
    <xf numFmtId="43" fontId="3" fillId="7" borderId="13" xfId="0" applyNumberFormat="1" applyFont="1" applyFill="1" applyBorder="1" applyAlignment="1">
      <alignment horizontal="center" vertical="center" wrapText="1"/>
    </xf>
    <xf numFmtId="43" fontId="3" fillId="7" borderId="18" xfId="0" applyNumberFormat="1" applyFont="1" applyFill="1" applyBorder="1" applyAlignment="1">
      <alignment horizontal="center" vertical="center" wrapText="1"/>
    </xf>
    <xf numFmtId="10" fontId="3" fillId="7" borderId="6" xfId="0" applyNumberFormat="1" applyFont="1" applyFill="1" applyBorder="1" applyAlignment="1">
      <alignment horizontal="center" vertical="center" wrapText="1" readingOrder="2"/>
    </xf>
    <xf numFmtId="10" fontId="3" fillId="7" borderId="13" xfId="0" applyNumberFormat="1" applyFont="1" applyFill="1" applyBorder="1" applyAlignment="1">
      <alignment horizontal="center" vertical="center" wrapText="1" readingOrder="2"/>
    </xf>
    <xf numFmtId="10" fontId="3" fillId="7" borderId="18" xfId="0" applyNumberFormat="1" applyFont="1" applyFill="1" applyBorder="1" applyAlignment="1">
      <alignment horizontal="center" vertical="center" wrapText="1" readingOrder="2"/>
    </xf>
    <xf numFmtId="0" fontId="13" fillId="0" borderId="6" xfId="0" applyFont="1" applyBorder="1" applyAlignment="1">
      <alignment horizontal="justify" vertical="center" wrapText="1"/>
    </xf>
    <xf numFmtId="0" fontId="13" fillId="0" borderId="18" xfId="0" applyFont="1" applyBorder="1" applyAlignment="1">
      <alignment horizontal="justify" vertical="center" wrapText="1"/>
    </xf>
    <xf numFmtId="1" fontId="3" fillId="7" borderId="18" xfId="0" applyNumberFormat="1" applyFont="1" applyFill="1" applyBorder="1" applyAlignment="1">
      <alignment horizontal="center" vertical="center" wrapText="1"/>
    </xf>
    <xf numFmtId="166" fontId="3" fillId="0" borderId="6" xfId="0" applyNumberFormat="1" applyFont="1" applyBorder="1" applyAlignment="1">
      <alignment horizontal="center" vertical="center"/>
    </xf>
    <xf numFmtId="166" fontId="3" fillId="0" borderId="18" xfId="0" applyNumberFormat="1" applyFont="1" applyBorder="1" applyAlignment="1">
      <alignment horizontal="center" vertical="center"/>
    </xf>
    <xf numFmtId="0" fontId="3" fillId="0" borderId="1"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18" xfId="0" applyFont="1" applyBorder="1" applyAlignment="1">
      <alignment horizontal="justify" vertical="center" wrapText="1"/>
    </xf>
    <xf numFmtId="172" fontId="3" fillId="0" borderId="6" xfId="0" applyNumberFormat="1" applyFont="1" applyBorder="1" applyAlignment="1">
      <alignment horizontal="center" vertical="center" wrapText="1"/>
    </xf>
    <xf numFmtId="172" fontId="3" fillId="0" borderId="18" xfId="0" applyNumberFormat="1" applyFont="1" applyBorder="1" applyAlignment="1">
      <alignment horizontal="center" vertical="center" wrapText="1"/>
    </xf>
    <xf numFmtId="0" fontId="3" fillId="0" borderId="6" xfId="0" applyFont="1" applyBorder="1" applyAlignment="1">
      <alignment horizontal="left" vertical="center" wrapText="1"/>
    </xf>
    <xf numFmtId="0" fontId="3" fillId="0" borderId="13" xfId="0" applyFont="1" applyBorder="1" applyAlignment="1">
      <alignment horizontal="left" vertical="center" wrapText="1"/>
    </xf>
    <xf numFmtId="0" fontId="3" fillId="0" borderId="18" xfId="0" applyFont="1" applyBorder="1" applyAlignment="1">
      <alignment horizontal="left" vertical="center" wrapText="1"/>
    </xf>
    <xf numFmtId="10" fontId="3" fillId="0" borderId="1" xfId="0" applyNumberFormat="1" applyFont="1" applyBorder="1" applyAlignment="1">
      <alignment horizontal="center" vertical="center"/>
    </xf>
    <xf numFmtId="0" fontId="3" fillId="0" borderId="13" xfId="0" applyFont="1" applyBorder="1" applyAlignment="1">
      <alignment horizontal="justify" vertical="center" wrapText="1"/>
    </xf>
    <xf numFmtId="3" fontId="3" fillId="7" borderId="13" xfId="0" applyNumberFormat="1" applyFont="1" applyFill="1" applyBorder="1" applyAlignment="1">
      <alignment horizontal="center" vertical="center" wrapText="1"/>
    </xf>
    <xf numFmtId="3" fontId="3" fillId="7" borderId="18" xfId="0" applyNumberFormat="1" applyFont="1" applyFill="1" applyBorder="1" applyAlignment="1">
      <alignment horizontal="center" vertical="center" wrapText="1"/>
    </xf>
    <xf numFmtId="0" fontId="3" fillId="7" borderId="6"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7" borderId="18" xfId="0" applyFont="1" applyFill="1" applyBorder="1" applyAlignment="1">
      <alignment horizontal="left" vertical="center" wrapText="1"/>
    </xf>
    <xf numFmtId="14" fontId="3" fillId="0" borderId="13" xfId="0" applyNumberFormat="1" applyFont="1" applyBorder="1" applyAlignment="1">
      <alignment horizontal="center" vertical="center"/>
    </xf>
    <xf numFmtId="166" fontId="3" fillId="0" borderId="13" xfId="0" applyNumberFormat="1" applyFont="1" applyBorder="1" applyAlignment="1">
      <alignment horizontal="center" vertical="center"/>
    </xf>
    <xf numFmtId="43" fontId="3" fillId="0" borderId="6" xfId="0" applyNumberFormat="1" applyFont="1" applyBorder="1" applyAlignment="1">
      <alignment horizontal="center" vertical="center"/>
    </xf>
    <xf numFmtId="43" fontId="3" fillId="0" borderId="13" xfId="0" applyNumberFormat="1" applyFont="1" applyBorder="1" applyAlignment="1">
      <alignment horizontal="center" vertical="center"/>
    </xf>
    <xf numFmtId="43" fontId="3" fillId="0" borderId="18" xfId="0" applyNumberFormat="1" applyFont="1" applyBorder="1" applyAlignment="1">
      <alignment horizontal="center" vertical="center"/>
    </xf>
    <xf numFmtId="10" fontId="3" fillId="0" borderId="6" xfId="0" applyNumberFormat="1" applyFont="1" applyBorder="1" applyAlignment="1">
      <alignment horizontal="center" vertical="center"/>
    </xf>
    <xf numFmtId="10" fontId="3" fillId="0" borderId="13" xfId="0" applyNumberFormat="1" applyFont="1" applyBorder="1" applyAlignment="1">
      <alignment horizontal="center" vertical="center"/>
    </xf>
    <xf numFmtId="10" fontId="3" fillId="0" borderId="18" xfId="0" applyNumberFormat="1" applyFont="1" applyBorder="1" applyAlignment="1">
      <alignment horizontal="center" vertical="center"/>
    </xf>
    <xf numFmtId="1" fontId="3" fillId="0" borderId="9" xfId="0" applyNumberFormat="1" applyFont="1" applyBorder="1" applyAlignment="1">
      <alignment horizontal="center" vertical="center"/>
    </xf>
    <xf numFmtId="1" fontId="3" fillId="0" borderId="8" xfId="0" applyNumberFormat="1" applyFont="1" applyBorder="1" applyAlignment="1">
      <alignment horizontal="center" vertical="center"/>
    </xf>
    <xf numFmtId="1" fontId="3" fillId="0" borderId="0" xfId="0" applyNumberFormat="1" applyFont="1" applyAlignment="1">
      <alignment horizontal="center" vertical="center"/>
    </xf>
    <xf numFmtId="1" fontId="3" fillId="0" borderId="17" xfId="0" applyNumberFormat="1" applyFont="1" applyBorder="1" applyAlignment="1">
      <alignment horizontal="center" vertical="center"/>
    </xf>
    <xf numFmtId="1" fontId="3" fillId="0" borderId="2" xfId="0" applyNumberFormat="1" applyFont="1" applyBorder="1" applyAlignment="1">
      <alignment horizontal="center" vertical="center"/>
    </xf>
    <xf numFmtId="1" fontId="3" fillId="0" borderId="15" xfId="0" applyNumberFormat="1" applyFont="1" applyBorder="1" applyAlignment="1">
      <alignment horizontal="center" vertical="center"/>
    </xf>
    <xf numFmtId="1" fontId="3" fillId="0" borderId="1" xfId="0" applyNumberFormat="1" applyFont="1" applyBorder="1" applyAlignment="1">
      <alignment horizontal="center" vertical="center"/>
    </xf>
    <xf numFmtId="10" fontId="3" fillId="7" borderId="1" xfId="0" applyNumberFormat="1" applyFont="1" applyFill="1" applyBorder="1" applyAlignment="1">
      <alignment horizontal="center" vertical="center"/>
    </xf>
    <xf numFmtId="0" fontId="3" fillId="7" borderId="6" xfId="0" applyFont="1" applyFill="1" applyBorder="1" applyAlignment="1">
      <alignment horizontal="center" vertical="center"/>
    </xf>
    <xf numFmtId="0" fontId="3" fillId="7" borderId="18" xfId="0" applyFont="1" applyFill="1" applyBorder="1" applyAlignment="1">
      <alignment horizontal="center" vertical="center"/>
    </xf>
    <xf numFmtId="172" fontId="3" fillId="7" borderId="6" xfId="0" applyNumberFormat="1" applyFont="1" applyFill="1" applyBorder="1" applyAlignment="1">
      <alignment horizontal="center" vertical="center"/>
    </xf>
    <xf numFmtId="172" fontId="3" fillId="7" borderId="18" xfId="0" applyNumberFormat="1" applyFont="1" applyFill="1" applyBorder="1" applyAlignment="1">
      <alignment horizontal="center" vertical="center"/>
    </xf>
    <xf numFmtId="172" fontId="3" fillId="0" borderId="13" xfId="0" applyNumberFormat="1" applyFont="1" applyBorder="1" applyAlignment="1">
      <alignment horizontal="center" vertical="center" wrapText="1"/>
    </xf>
    <xf numFmtId="0" fontId="3" fillId="7" borderId="13" xfId="0" applyFont="1" applyFill="1" applyBorder="1" applyAlignment="1">
      <alignment horizontal="center" vertical="center"/>
    </xf>
    <xf numFmtId="10" fontId="3" fillId="7" borderId="6" xfId="0" applyNumberFormat="1" applyFont="1" applyFill="1" applyBorder="1" applyAlignment="1">
      <alignment horizontal="center" vertical="center"/>
    </xf>
    <xf numFmtId="10" fontId="3" fillId="7" borderId="18" xfId="0" applyNumberFormat="1" applyFont="1" applyFill="1" applyBorder="1" applyAlignment="1">
      <alignment horizontal="center" vertical="center"/>
    </xf>
    <xf numFmtId="0" fontId="14" fillId="0" borderId="6" xfId="0" applyFont="1" applyBorder="1" applyAlignment="1">
      <alignment horizontal="justify" vertical="center" wrapText="1"/>
    </xf>
    <xf numFmtId="0" fontId="14" fillId="0" borderId="18" xfId="0" applyFont="1" applyBorder="1" applyAlignment="1">
      <alignment horizontal="justify" vertical="center" wrapText="1"/>
    </xf>
    <xf numFmtId="2" fontId="3" fillId="7" borderId="6" xfId="0" applyNumberFormat="1" applyFont="1" applyFill="1" applyBorder="1" applyAlignment="1">
      <alignment horizontal="center" vertical="center"/>
    </xf>
    <xf numFmtId="2" fontId="3" fillId="7" borderId="18" xfId="0" applyNumberFormat="1" applyFont="1" applyFill="1" applyBorder="1" applyAlignment="1">
      <alignment horizontal="center" vertical="center"/>
    </xf>
    <xf numFmtId="10" fontId="3" fillId="7" borderId="13" xfId="0" applyNumberFormat="1" applyFont="1" applyFill="1" applyBorder="1" applyAlignment="1">
      <alignment horizontal="center" vertical="center"/>
    </xf>
    <xf numFmtId="43" fontId="3" fillId="7" borderId="6" xfId="1" applyFont="1" applyFill="1" applyBorder="1" applyAlignment="1">
      <alignment horizontal="right" vertical="center"/>
    </xf>
    <xf numFmtId="43" fontId="3" fillId="7" borderId="13" xfId="1" applyFont="1" applyFill="1" applyBorder="1" applyAlignment="1">
      <alignment horizontal="right" vertical="center"/>
    </xf>
    <xf numFmtId="43" fontId="3" fillId="7" borderId="18" xfId="1" applyFont="1" applyFill="1" applyBorder="1" applyAlignment="1">
      <alignment horizontal="right" vertical="center"/>
    </xf>
    <xf numFmtId="1" fontId="3" fillId="7" borderId="6" xfId="0" applyNumberFormat="1" applyFont="1" applyFill="1" applyBorder="1" applyAlignment="1">
      <alignment horizontal="center" vertical="center"/>
    </xf>
    <xf numFmtId="1" fontId="3" fillId="7" borderId="13" xfId="0" applyNumberFormat="1" applyFont="1" applyFill="1" applyBorder="1" applyAlignment="1">
      <alignment horizontal="center" vertical="center"/>
    </xf>
    <xf numFmtId="0" fontId="3" fillId="0" borderId="6" xfId="0" applyFont="1" applyFill="1" applyBorder="1" applyAlignment="1">
      <alignment horizontal="center" vertical="center" textRotation="90"/>
    </xf>
    <xf numFmtId="0" fontId="3" fillId="0" borderId="13" xfId="0" applyFont="1" applyFill="1" applyBorder="1" applyAlignment="1">
      <alignment horizontal="center" vertical="center" textRotation="90"/>
    </xf>
    <xf numFmtId="0" fontId="3" fillId="0" borderId="18" xfId="0" applyFont="1" applyFill="1" applyBorder="1" applyAlignment="1">
      <alignment horizontal="center" vertical="center" textRotation="90"/>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1" fontId="2" fillId="7" borderId="6" xfId="0" applyNumberFormat="1" applyFont="1" applyFill="1" applyBorder="1" applyAlignment="1">
      <alignment horizontal="center" vertical="center" textRotation="90" wrapText="1"/>
    </xf>
    <xf numFmtId="1" fontId="2" fillId="7" borderId="13" xfId="0" applyNumberFormat="1" applyFont="1" applyFill="1" applyBorder="1" applyAlignment="1">
      <alignment horizontal="center" vertical="center" textRotation="90" wrapText="1"/>
    </xf>
    <xf numFmtId="1" fontId="2" fillId="7" borderId="18" xfId="0" applyNumberFormat="1" applyFont="1" applyFill="1" applyBorder="1" applyAlignment="1">
      <alignment horizontal="center" vertical="center" textRotation="90" wrapText="1"/>
    </xf>
    <xf numFmtId="0" fontId="3" fillId="0" borderId="6" xfId="0" applyFont="1" applyBorder="1" applyAlignment="1">
      <alignment horizontal="center" vertical="center" textRotation="90"/>
    </xf>
    <xf numFmtId="0" fontId="3" fillId="0" borderId="13" xfId="0" applyFont="1" applyBorder="1" applyAlignment="1">
      <alignment horizontal="center" vertical="center" textRotation="90"/>
    </xf>
    <xf numFmtId="0" fontId="3" fillId="0" borderId="18" xfId="0" applyFont="1" applyBorder="1" applyAlignment="1">
      <alignment horizontal="center" vertical="center" textRotation="90"/>
    </xf>
    <xf numFmtId="0" fontId="2" fillId="7" borderId="0" xfId="0" applyFont="1" applyFill="1" applyAlignment="1">
      <alignment horizontal="center" vertical="center"/>
    </xf>
    <xf numFmtId="0" fontId="9" fillId="0" borderId="7" xfId="0" applyFont="1" applyBorder="1" applyAlignment="1">
      <alignment horizontal="center" vertical="center"/>
    </xf>
    <xf numFmtId="0" fontId="9" fillId="0" borderId="14" xfId="0" applyFont="1" applyBorder="1" applyAlignment="1">
      <alignment horizontal="center" vertical="center"/>
    </xf>
    <xf numFmtId="3" fontId="9" fillId="3" borderId="1" xfId="0" applyNumberFormat="1"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5" xfId="0" applyFont="1" applyFill="1" applyBorder="1" applyAlignment="1">
      <alignment horizontal="center" vertical="center" wrapText="1"/>
    </xf>
    <xf numFmtId="166" fontId="9" fillId="3" borderId="7" xfId="0" applyNumberFormat="1" applyFont="1" applyFill="1" applyBorder="1" applyAlignment="1">
      <alignment horizontal="center" vertical="center" wrapText="1"/>
    </xf>
    <xf numFmtId="166" fontId="9" fillId="3" borderId="8" xfId="0" applyNumberFormat="1" applyFont="1" applyFill="1" applyBorder="1" applyAlignment="1">
      <alignment horizontal="center" vertical="center" wrapText="1"/>
    </xf>
    <xf numFmtId="166" fontId="9" fillId="3" borderId="14" xfId="0" applyNumberFormat="1" applyFont="1" applyFill="1" applyBorder="1" applyAlignment="1">
      <alignment horizontal="center" vertical="center" wrapText="1"/>
    </xf>
    <xf numFmtId="166" fontId="9" fillId="3" borderId="15" xfId="0" applyNumberFormat="1" applyFont="1" applyFill="1" applyBorder="1" applyAlignment="1">
      <alignment horizontal="center" vertical="center" wrapText="1"/>
    </xf>
    <xf numFmtId="3" fontId="9" fillId="4" borderId="3" xfId="0" applyNumberFormat="1" applyFont="1" applyFill="1" applyBorder="1" applyAlignment="1">
      <alignment horizontal="center" vertical="center" wrapText="1"/>
    </xf>
    <xf numFmtId="3" fontId="9" fillId="4" borderId="4" xfId="0" applyNumberFormat="1"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3" borderId="3" xfId="0" applyFont="1" applyFill="1" applyBorder="1" applyAlignment="1">
      <alignment horizontal="center" vertical="center"/>
    </xf>
    <xf numFmtId="0" fontId="9" fillId="3" borderId="5"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166" fontId="9" fillId="3" borderId="7" xfId="0" applyNumberFormat="1" applyFont="1" applyFill="1" applyBorder="1" applyAlignment="1">
      <alignment horizontal="center" vertical="center"/>
    </xf>
    <xf numFmtId="166" fontId="9" fillId="3" borderId="8" xfId="0" applyNumberFormat="1" applyFont="1" applyFill="1" applyBorder="1" applyAlignment="1">
      <alignment horizontal="center" vertical="center"/>
    </xf>
    <xf numFmtId="166" fontId="9" fillId="3" borderId="14" xfId="0" applyNumberFormat="1" applyFont="1" applyFill="1" applyBorder="1" applyAlignment="1">
      <alignment horizontal="center" vertical="center"/>
    </xf>
    <xf numFmtId="166" fontId="9" fillId="3" borderId="15" xfId="0" applyNumberFormat="1" applyFont="1" applyFill="1" applyBorder="1" applyAlignment="1">
      <alignment horizontal="center" vertical="center"/>
    </xf>
    <xf numFmtId="0" fontId="10" fillId="7" borderId="4"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94" xfId="0" applyFont="1" applyFill="1" applyBorder="1" applyAlignment="1">
      <alignment horizontal="center" vertical="center" wrapText="1"/>
    </xf>
    <xf numFmtId="0" fontId="10" fillId="7" borderId="95" xfId="0" applyFont="1" applyFill="1" applyBorder="1" applyAlignment="1">
      <alignment horizontal="center" vertical="center" wrapText="1"/>
    </xf>
    <xf numFmtId="1" fontId="9" fillId="7" borderId="7" xfId="0" applyNumberFormat="1" applyFont="1" applyFill="1" applyBorder="1" applyAlignment="1">
      <alignment horizontal="center" vertical="top"/>
    </xf>
    <xf numFmtId="1" fontId="9" fillId="7" borderId="16" xfId="0" applyNumberFormat="1" applyFont="1" applyFill="1" applyBorder="1" applyAlignment="1">
      <alignment horizontal="center" vertical="top"/>
    </xf>
    <xf numFmtId="1" fontId="9" fillId="7" borderId="14" xfId="0" applyNumberFormat="1" applyFont="1" applyFill="1" applyBorder="1" applyAlignment="1">
      <alignment horizontal="center" vertical="top"/>
    </xf>
    <xf numFmtId="1" fontId="9" fillId="7" borderId="3" xfId="0" applyNumberFormat="1" applyFont="1" applyFill="1" applyBorder="1" applyAlignment="1">
      <alignment horizontal="center" vertical="center" wrapText="1"/>
    </xf>
    <xf numFmtId="1" fontId="9" fillId="7" borderId="5" xfId="0" applyNumberFormat="1" applyFont="1" applyFill="1" applyBorder="1" applyAlignment="1">
      <alignment horizontal="center" vertical="center"/>
    </xf>
    <xf numFmtId="9" fontId="10" fillId="7" borderId="1" xfId="15" applyFont="1" applyFill="1" applyBorder="1" applyAlignment="1">
      <alignment horizontal="center" vertical="center" wrapText="1"/>
    </xf>
    <xf numFmtId="173" fontId="10" fillId="0" borderId="5" xfId="0" applyNumberFormat="1" applyFont="1" applyBorder="1" applyAlignment="1">
      <alignment horizontal="center" vertical="center"/>
    </xf>
    <xf numFmtId="1" fontId="9" fillId="7" borderId="7" xfId="0" applyNumberFormat="1" applyFont="1" applyFill="1" applyBorder="1" applyAlignment="1">
      <alignment horizontal="center" vertical="center"/>
    </xf>
    <xf numFmtId="1" fontId="9" fillId="7" borderId="16" xfId="0" applyNumberFormat="1" applyFont="1" applyFill="1" applyBorder="1" applyAlignment="1">
      <alignment horizontal="center" vertical="center"/>
    </xf>
    <xf numFmtId="1" fontId="9" fillId="7" borderId="93" xfId="0" applyNumberFormat="1" applyFont="1" applyFill="1" applyBorder="1" applyAlignment="1">
      <alignment horizontal="center" vertical="center"/>
    </xf>
    <xf numFmtId="1" fontId="9" fillId="7" borderId="8" xfId="0" applyNumberFormat="1" applyFont="1" applyFill="1" applyBorder="1" applyAlignment="1">
      <alignment horizontal="center" vertical="center"/>
    </xf>
    <xf numFmtId="1" fontId="9" fillId="7" borderId="17" xfId="0" applyNumberFormat="1" applyFont="1" applyFill="1" applyBorder="1" applyAlignment="1">
      <alignment horizontal="center" vertical="center"/>
    </xf>
    <xf numFmtId="1" fontId="9" fillId="7" borderId="56" xfId="0" applyNumberFormat="1" applyFont="1" applyFill="1" applyBorder="1" applyAlignment="1">
      <alignment horizontal="center" vertical="center"/>
    </xf>
    <xf numFmtId="1" fontId="9" fillId="12" borderId="4" xfId="0" applyNumberFormat="1" applyFont="1" applyFill="1" applyBorder="1" applyAlignment="1">
      <alignment horizontal="left" vertical="center" wrapText="1"/>
    </xf>
    <xf numFmtId="1" fontId="9" fillId="12" borderId="1" xfId="0" applyNumberFormat="1" applyFont="1" applyFill="1" applyBorder="1" applyAlignment="1">
      <alignment horizontal="left" vertical="center" wrapText="1"/>
    </xf>
    <xf numFmtId="1" fontId="9" fillId="12" borderId="6" xfId="0" applyNumberFormat="1" applyFont="1" applyFill="1" applyBorder="1" applyAlignment="1">
      <alignment horizontal="left" vertical="center" wrapText="1"/>
    </xf>
    <xf numFmtId="173" fontId="10" fillId="0" borderId="1" xfId="0" applyNumberFormat="1" applyFont="1" applyBorder="1" applyAlignment="1">
      <alignment horizontal="center" vertical="center"/>
    </xf>
    <xf numFmtId="9" fontId="10" fillId="7" borderId="6" xfId="15" applyFont="1" applyFill="1" applyBorder="1" applyAlignment="1">
      <alignment horizontal="center" vertical="center" wrapText="1"/>
    </xf>
    <xf numFmtId="9" fontId="10" fillId="7" borderId="13" xfId="15" applyFont="1" applyFill="1" applyBorder="1" applyAlignment="1">
      <alignment horizontal="center" vertical="center" wrapText="1"/>
    </xf>
    <xf numFmtId="0" fontId="10" fillId="20" borderId="1" xfId="0" applyFont="1" applyFill="1" applyBorder="1" applyAlignment="1">
      <alignment horizontal="justify" vertical="center" wrapText="1"/>
    </xf>
    <xf numFmtId="173" fontId="10" fillId="7" borderId="1" xfId="0" applyNumberFormat="1" applyFont="1" applyFill="1" applyBorder="1" applyAlignment="1">
      <alignment horizontal="center" vertical="center"/>
    </xf>
    <xf numFmtId="173" fontId="10" fillId="7" borderId="8" xfId="0" applyNumberFormat="1" applyFont="1" applyFill="1" applyBorder="1" applyAlignment="1">
      <alignment horizontal="center" vertical="center"/>
    </xf>
    <xf numFmtId="9" fontId="10" fillId="0" borderId="6" xfId="15" applyFont="1" applyBorder="1" applyAlignment="1">
      <alignment horizontal="center" vertical="center" wrapText="1"/>
    </xf>
    <xf numFmtId="9" fontId="10" fillId="0" borderId="13" xfId="15" applyFont="1" applyBorder="1" applyAlignment="1">
      <alignment horizontal="center" vertical="center" wrapText="1"/>
    </xf>
    <xf numFmtId="9" fontId="10" fillId="0" borderId="18" xfId="15" applyFont="1" applyBorder="1" applyAlignment="1">
      <alignment horizontal="center" vertical="center" wrapText="1"/>
    </xf>
    <xf numFmtId="9" fontId="10" fillId="0" borderId="6" xfId="15" applyFont="1" applyBorder="1" applyAlignment="1">
      <alignment horizontal="center" vertical="center"/>
    </xf>
    <xf numFmtId="9" fontId="10" fillId="0" borderId="13" xfId="15" applyFont="1" applyBorder="1" applyAlignment="1">
      <alignment horizontal="center" vertical="center"/>
    </xf>
    <xf numFmtId="9" fontId="10" fillId="0" borderId="18" xfId="15" applyFont="1" applyBorder="1" applyAlignment="1">
      <alignment horizontal="center" vertical="center"/>
    </xf>
    <xf numFmtId="0" fontId="9" fillId="7" borderId="1" xfId="0" applyFont="1" applyFill="1" applyBorder="1" applyAlignment="1">
      <alignment horizontal="center" vertical="center" textRotation="90" wrapText="1"/>
    </xf>
    <xf numFmtId="0" fontId="9" fillId="7" borderId="1" xfId="0" applyFont="1" applyFill="1" applyBorder="1" applyAlignment="1">
      <alignment horizontal="center" vertical="center"/>
    </xf>
    <xf numFmtId="0" fontId="9" fillId="7" borderId="6" xfId="0" applyFont="1" applyFill="1" applyBorder="1" applyAlignment="1">
      <alignment horizontal="center" vertical="center"/>
    </xf>
    <xf numFmtId="0" fontId="10" fillId="7" borderId="19" xfId="0" applyFont="1" applyFill="1" applyBorder="1" applyAlignment="1">
      <alignment horizontal="center" vertical="center" wrapText="1"/>
    </xf>
    <xf numFmtId="49" fontId="10" fillId="0" borderId="1" xfId="0" applyNumberFormat="1" applyFont="1" applyBorder="1" applyAlignment="1">
      <alignment horizontal="center" vertical="center"/>
    </xf>
    <xf numFmtId="14" fontId="10" fillId="7" borderId="6" xfId="0" applyNumberFormat="1" applyFont="1" applyFill="1" applyBorder="1" applyAlignment="1">
      <alignment horizontal="center" vertical="center"/>
    </xf>
    <xf numFmtId="14" fontId="10" fillId="7" borderId="13" xfId="0" applyNumberFormat="1" applyFont="1" applyFill="1" applyBorder="1" applyAlignment="1">
      <alignment horizontal="center" vertical="center"/>
    </xf>
    <xf numFmtId="14" fontId="10" fillId="7" borderId="19" xfId="0" applyNumberFormat="1" applyFont="1" applyFill="1" applyBorder="1" applyAlignment="1">
      <alignment horizontal="center" vertical="center"/>
    </xf>
    <xf numFmtId="0" fontId="10" fillId="20" borderId="6" xfId="0" applyFont="1" applyFill="1" applyBorder="1" applyAlignment="1">
      <alignment horizontal="left" vertical="center" wrapText="1"/>
    </xf>
    <xf numFmtId="0" fontId="10" fillId="20" borderId="19" xfId="0" applyFont="1" applyFill="1" applyBorder="1" applyAlignment="1">
      <alignment horizontal="left" vertical="center" wrapText="1"/>
    </xf>
    <xf numFmtId="0" fontId="10" fillId="0" borderId="7" xfId="0" applyFont="1" applyBorder="1" applyAlignment="1">
      <alignment horizontal="left" vertical="center" wrapText="1"/>
    </xf>
    <xf numFmtId="0" fontId="10" fillId="0" borderId="93" xfId="0" applyFont="1" applyBorder="1" applyAlignment="1">
      <alignment horizontal="left" vertical="center" wrapText="1"/>
    </xf>
    <xf numFmtId="0" fontId="10" fillId="20" borderId="18" xfId="0" applyFont="1" applyFill="1" applyBorder="1" applyAlignment="1">
      <alignment horizontal="left" vertical="center" wrapText="1"/>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3" xfId="0" applyFont="1" applyBorder="1" applyAlignment="1">
      <alignment horizontal="center" vertical="center"/>
    </xf>
    <xf numFmtId="9" fontId="10" fillId="7" borderId="6" xfId="4" applyFont="1" applyFill="1" applyBorder="1" applyAlignment="1">
      <alignment horizontal="center" vertical="center"/>
    </xf>
    <xf numFmtId="9" fontId="10" fillId="7" borderId="13" xfId="4" applyFont="1" applyFill="1" applyBorder="1" applyAlignment="1">
      <alignment horizontal="center" vertical="center"/>
    </xf>
    <xf numFmtId="9" fontId="10" fillId="7" borderId="19" xfId="4" applyFont="1" applyFill="1" applyBorder="1" applyAlignment="1">
      <alignment horizontal="center" vertical="center"/>
    </xf>
    <xf numFmtId="173" fontId="10" fillId="7" borderId="6" xfId="0" applyNumberFormat="1" applyFont="1" applyFill="1" applyBorder="1" applyAlignment="1">
      <alignment horizontal="center" vertical="center" wrapText="1"/>
    </xf>
    <xf numFmtId="173" fontId="10" fillId="7" borderId="13" xfId="0" applyNumberFormat="1" applyFont="1" applyFill="1" applyBorder="1" applyAlignment="1">
      <alignment horizontal="center" vertical="center"/>
    </xf>
    <xf numFmtId="173" fontId="10" fillId="7" borderId="19" xfId="0" applyNumberFormat="1" applyFont="1" applyFill="1" applyBorder="1" applyAlignment="1">
      <alignment horizontal="center" vertical="center"/>
    </xf>
    <xf numFmtId="173" fontId="10" fillId="7" borderId="13" xfId="0" applyNumberFormat="1" applyFont="1" applyFill="1" applyBorder="1" applyAlignment="1">
      <alignment horizontal="center" vertical="center" wrapText="1"/>
    </xf>
    <xf numFmtId="173" fontId="10" fillId="7" borderId="19" xfId="0" applyNumberFormat="1" applyFont="1" applyFill="1" applyBorder="1" applyAlignment="1">
      <alignment horizontal="center" vertical="center" wrapText="1"/>
    </xf>
    <xf numFmtId="0" fontId="10" fillId="0" borderId="19" xfId="0" applyFont="1" applyBorder="1" applyAlignment="1">
      <alignment horizontal="center" vertical="center"/>
    </xf>
    <xf numFmtId="43" fontId="10" fillId="7" borderId="6" xfId="1" applyFont="1" applyFill="1" applyBorder="1" applyAlignment="1">
      <alignment horizontal="center" vertical="center"/>
    </xf>
    <xf numFmtId="43" fontId="10" fillId="7" borderId="13" xfId="1" applyFont="1" applyFill="1" applyBorder="1" applyAlignment="1">
      <alignment horizontal="center" vertical="center"/>
    </xf>
    <xf numFmtId="43" fontId="10" fillId="7" borderId="19" xfId="1" applyFont="1" applyFill="1" applyBorder="1" applyAlignment="1">
      <alignment horizontal="center" vertical="center"/>
    </xf>
    <xf numFmtId="0" fontId="12" fillId="0" borderId="17"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171" fontId="9" fillId="3" borderId="3" xfId="0" applyNumberFormat="1" applyFont="1" applyFill="1" applyBorder="1" applyAlignment="1" applyProtection="1">
      <alignment horizontal="center" vertical="center" wrapText="1"/>
    </xf>
    <xf numFmtId="171" fontId="9" fillId="3" borderId="4" xfId="0" applyNumberFormat="1" applyFont="1" applyFill="1" applyBorder="1" applyAlignment="1" applyProtection="1">
      <alignment horizontal="center" vertical="center" wrapText="1"/>
    </xf>
    <xf numFmtId="171" fontId="9" fillId="3" borderId="5" xfId="0" applyNumberFormat="1" applyFont="1" applyFill="1" applyBorder="1" applyAlignment="1" applyProtection="1">
      <alignment horizontal="center" vertical="center" wrapText="1"/>
    </xf>
    <xf numFmtId="0" fontId="9" fillId="3" borderId="7" xfId="0" applyFont="1" applyFill="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9" fillId="3" borderId="17" xfId="0" applyFont="1" applyFill="1" applyBorder="1" applyAlignment="1" applyProtection="1">
      <alignment horizontal="center" vertical="center" wrapText="1"/>
    </xf>
    <xf numFmtId="166" fontId="19" fillId="3" borderId="7" xfId="0" applyNumberFormat="1" applyFont="1" applyFill="1" applyBorder="1" applyAlignment="1" applyProtection="1">
      <alignment horizontal="center" vertical="center" wrapText="1"/>
    </xf>
    <xf numFmtId="166" fontId="19" fillId="3" borderId="8" xfId="0" applyNumberFormat="1" applyFont="1" applyFill="1" applyBorder="1" applyAlignment="1" applyProtection="1">
      <alignment horizontal="center" vertical="center" wrapText="1"/>
    </xf>
    <xf numFmtId="166" fontId="19" fillId="3" borderId="14" xfId="0" applyNumberFormat="1" applyFont="1" applyFill="1" applyBorder="1" applyAlignment="1" applyProtection="1">
      <alignment horizontal="center" vertical="center" wrapText="1"/>
    </xf>
    <xf numFmtId="166" fontId="19" fillId="3" borderId="15" xfId="0" applyNumberFormat="1" applyFont="1" applyFill="1" applyBorder="1" applyAlignment="1" applyProtection="1">
      <alignment horizontal="center" vertical="center" wrapText="1"/>
    </xf>
    <xf numFmtId="3" fontId="9" fillId="3" borderId="6" xfId="0" applyNumberFormat="1" applyFont="1" applyFill="1" applyBorder="1" applyAlignment="1" applyProtection="1">
      <alignment horizontal="center" vertical="center" wrapText="1"/>
    </xf>
    <xf numFmtId="3" fontId="9" fillId="3" borderId="18" xfId="0" applyNumberFormat="1" applyFont="1" applyFill="1" applyBorder="1" applyAlignment="1" applyProtection="1">
      <alignment horizontal="center" vertical="center" wrapText="1"/>
    </xf>
    <xf numFmtId="0" fontId="9" fillId="3" borderId="3" xfId="0" applyFont="1" applyFill="1" applyBorder="1" applyAlignment="1" applyProtection="1">
      <alignment horizontal="center" vertical="center" textRotation="90" wrapText="1"/>
    </xf>
    <xf numFmtId="0" fontId="9" fillId="3" borderId="5" xfId="0" applyFont="1" applyFill="1" applyBorder="1" applyAlignment="1" applyProtection="1">
      <alignment horizontal="center" vertical="center" textRotation="90" wrapText="1"/>
    </xf>
    <xf numFmtId="0" fontId="9" fillId="3" borderId="3" xfId="0" applyNumberFormat="1" applyFont="1" applyFill="1" applyBorder="1" applyAlignment="1" applyProtection="1">
      <alignment horizontal="center" vertical="center" textRotation="90" wrapText="1"/>
    </xf>
    <xf numFmtId="0" fontId="9" fillId="3" borderId="5" xfId="0" applyNumberFormat="1" applyFont="1" applyFill="1" applyBorder="1" applyAlignment="1" applyProtection="1">
      <alignment horizontal="center" vertical="center" textRotation="90" wrapText="1"/>
    </xf>
    <xf numFmtId="3" fontId="19" fillId="4" borderId="4" xfId="0" applyNumberFormat="1"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19" fillId="4" borderId="1" xfId="0" applyFont="1" applyFill="1" applyBorder="1" applyAlignment="1" applyProtection="1">
      <alignment horizontal="center" vertical="center" wrapText="1"/>
    </xf>
    <xf numFmtId="0" fontId="19" fillId="5" borderId="1"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xf>
    <xf numFmtId="0" fontId="19" fillId="4" borderId="8" xfId="0" applyFont="1" applyFill="1" applyBorder="1" applyAlignment="1" applyProtection="1">
      <alignment horizontal="center" vertical="center"/>
    </xf>
    <xf numFmtId="0" fontId="19" fillId="4" borderId="14" xfId="0" applyFont="1" applyFill="1" applyBorder="1" applyAlignment="1" applyProtection="1">
      <alignment horizontal="center" vertical="center"/>
    </xf>
    <xf numFmtId="0" fontId="19" fillId="4" borderId="15" xfId="0" applyFont="1" applyFill="1" applyBorder="1" applyAlignment="1" applyProtection="1">
      <alignment horizontal="center" vertical="center"/>
    </xf>
    <xf numFmtId="0" fontId="10" fillId="7" borderId="13" xfId="0" applyFont="1" applyFill="1" applyBorder="1" applyAlignment="1" applyProtection="1">
      <alignment horizontal="justify" vertical="center" wrapText="1"/>
    </xf>
    <xf numFmtId="0" fontId="10" fillId="7" borderId="18" xfId="0" applyFont="1" applyFill="1" applyBorder="1" applyAlignment="1" applyProtection="1">
      <alignment horizontal="justify" vertical="center" wrapText="1"/>
    </xf>
    <xf numFmtId="0" fontId="10" fillId="7" borderId="13" xfId="0" applyFont="1" applyFill="1" applyBorder="1" applyAlignment="1" applyProtection="1">
      <alignment horizontal="center" vertical="center" wrapText="1"/>
    </xf>
    <xf numFmtId="0" fontId="10" fillId="7" borderId="18" xfId="0" applyFont="1" applyFill="1" applyBorder="1" applyAlignment="1" applyProtection="1">
      <alignment horizontal="center" vertical="center" wrapText="1"/>
    </xf>
    <xf numFmtId="0" fontId="10" fillId="7" borderId="6" xfId="0" applyFont="1" applyFill="1" applyBorder="1" applyAlignment="1" applyProtection="1">
      <alignment horizontal="center" vertical="center" wrapText="1"/>
    </xf>
    <xf numFmtId="0" fontId="10" fillId="7" borderId="17" xfId="0" applyFont="1" applyFill="1" applyBorder="1" applyAlignment="1" applyProtection="1">
      <alignment horizontal="center" vertical="center" wrapText="1"/>
    </xf>
    <xf numFmtId="0" fontId="10" fillId="0" borderId="6"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18" xfId="0" applyFont="1" applyBorder="1" applyAlignment="1" applyProtection="1">
      <alignment horizontal="center" vertical="center"/>
    </xf>
    <xf numFmtId="169" fontId="10" fillId="7" borderId="6" xfId="0" applyNumberFormat="1" applyFont="1" applyFill="1" applyBorder="1" applyAlignment="1" applyProtection="1">
      <alignment horizontal="center" vertical="center" wrapText="1"/>
    </xf>
    <xf numFmtId="169" fontId="10" fillId="7" borderId="13" xfId="0" applyNumberFormat="1" applyFont="1" applyFill="1" applyBorder="1" applyAlignment="1" applyProtection="1">
      <alignment horizontal="center" vertical="center" wrapText="1"/>
    </xf>
    <xf numFmtId="169" fontId="10" fillId="7" borderId="18" xfId="0" applyNumberFormat="1" applyFont="1" applyFill="1" applyBorder="1" applyAlignment="1" applyProtection="1">
      <alignment horizontal="center" vertical="center" wrapText="1"/>
    </xf>
    <xf numFmtId="0" fontId="19" fillId="4" borderId="5" xfId="0" applyFont="1" applyFill="1" applyBorder="1" applyAlignment="1" applyProtection="1">
      <alignment horizontal="center" vertical="center"/>
    </xf>
    <xf numFmtId="0" fontId="10" fillId="7" borderId="6" xfId="0" applyFont="1" applyFill="1" applyBorder="1" applyAlignment="1" applyProtection="1">
      <alignment horizontal="left" vertical="center" wrapText="1"/>
    </xf>
    <xf numFmtId="0" fontId="10" fillId="7" borderId="13" xfId="0" applyFont="1" applyFill="1" applyBorder="1" applyAlignment="1" applyProtection="1">
      <alignment horizontal="left" vertical="center" wrapText="1"/>
    </xf>
    <xf numFmtId="0" fontId="10" fillId="7" borderId="18" xfId="0" applyFont="1" applyFill="1" applyBorder="1" applyAlignment="1" applyProtection="1">
      <alignment horizontal="left" vertical="center" wrapText="1"/>
    </xf>
    <xf numFmtId="169" fontId="10" fillId="7" borderId="13" xfId="0" applyNumberFormat="1" applyFont="1" applyFill="1" applyBorder="1" applyAlignment="1" applyProtection="1">
      <alignment horizontal="center" vertical="center"/>
    </xf>
    <xf numFmtId="169" fontId="10" fillId="7" borderId="18" xfId="0" applyNumberFormat="1" applyFont="1" applyFill="1" applyBorder="1" applyAlignment="1" applyProtection="1">
      <alignment horizontal="center" vertical="center"/>
    </xf>
    <xf numFmtId="43" fontId="10" fillId="7" borderId="13" xfId="11" applyFont="1" applyFill="1" applyBorder="1" applyAlignment="1" applyProtection="1">
      <alignment horizontal="center" vertical="center" wrapText="1"/>
    </xf>
    <xf numFmtId="0" fontId="10" fillId="7" borderId="16" xfId="0" applyFont="1" applyFill="1" applyBorder="1" applyAlignment="1" applyProtection="1">
      <alignment horizontal="justify" vertical="center" wrapText="1"/>
    </xf>
    <xf numFmtId="0" fontId="10" fillId="0" borderId="47" xfId="0" applyFont="1" applyBorder="1" applyAlignment="1" applyProtection="1">
      <alignment horizontal="justify" vertical="center"/>
    </xf>
    <xf numFmtId="0" fontId="10" fillId="0" borderId="47" xfId="0" applyFont="1" applyBorder="1" applyAlignment="1" applyProtection="1">
      <alignment horizontal="justify" vertical="center" wrapText="1"/>
    </xf>
    <xf numFmtId="0" fontId="10" fillId="0" borderId="47" xfId="0" applyFont="1" applyBorder="1" applyAlignment="1" applyProtection="1">
      <alignment horizontal="left" vertical="center" wrapText="1"/>
    </xf>
    <xf numFmtId="4" fontId="10" fillId="0" borderId="47" xfId="11" applyNumberFormat="1" applyFont="1" applyBorder="1" applyAlignment="1" applyProtection="1">
      <alignment horizontal="right" vertical="center"/>
    </xf>
    <xf numFmtId="4" fontId="10" fillId="0" borderId="45" xfId="11" applyNumberFormat="1" applyFont="1" applyBorder="1" applyAlignment="1" applyProtection="1">
      <alignment vertical="center"/>
    </xf>
    <xf numFmtId="4" fontId="10" fillId="0" borderId="48" xfId="11" applyNumberFormat="1" applyFont="1" applyBorder="1" applyAlignment="1" applyProtection="1">
      <alignment vertical="center"/>
    </xf>
    <xf numFmtId="1" fontId="10" fillId="0" borderId="45" xfId="0" applyNumberFormat="1" applyFont="1" applyBorder="1" applyAlignment="1" applyProtection="1">
      <alignment horizontal="center" vertical="center" wrapText="1"/>
    </xf>
    <xf numFmtId="1" fontId="10" fillId="0" borderId="48" xfId="0" applyNumberFormat="1" applyFont="1" applyBorder="1" applyAlignment="1" applyProtection="1">
      <alignment horizontal="center" vertical="center" wrapText="1"/>
    </xf>
    <xf numFmtId="41" fontId="10" fillId="0" borderId="47" xfId="0" applyNumberFormat="1" applyFont="1" applyBorder="1" applyAlignment="1" applyProtection="1">
      <alignment horizontal="right" vertical="center"/>
    </xf>
    <xf numFmtId="0" fontId="10" fillId="0" borderId="17" xfId="0" applyFont="1" applyBorder="1" applyAlignment="1" applyProtection="1">
      <alignment horizontal="center" vertical="center" wrapText="1"/>
    </xf>
    <xf numFmtId="14" fontId="10" fillId="0" borderId="6" xfId="0" applyNumberFormat="1" applyFont="1" applyBorder="1" applyAlignment="1" applyProtection="1">
      <alignment horizontal="center" vertical="center"/>
    </xf>
    <xf numFmtId="14" fontId="10" fillId="0" borderId="13" xfId="0" applyNumberFormat="1" applyFont="1" applyBorder="1" applyAlignment="1" applyProtection="1">
      <alignment horizontal="center" vertical="center"/>
    </xf>
    <xf numFmtId="14" fontId="10" fillId="0" borderId="18" xfId="0" applyNumberFormat="1" applyFont="1" applyBorder="1" applyAlignment="1" applyProtection="1">
      <alignment horizontal="center" vertical="center"/>
    </xf>
    <xf numFmtId="4" fontId="10" fillId="0" borderId="6" xfId="0" applyNumberFormat="1" applyFont="1" applyBorder="1" applyAlignment="1" applyProtection="1">
      <alignment horizontal="center" vertical="center"/>
    </xf>
    <xf numFmtId="0" fontId="10" fillId="7" borderId="6" xfId="0" applyFont="1" applyFill="1" applyBorder="1" applyAlignment="1" applyProtection="1">
      <alignment horizontal="justify" vertical="center" wrapText="1"/>
    </xf>
    <xf numFmtId="169" fontId="10" fillId="7" borderId="6" xfId="0" applyNumberFormat="1" applyFont="1" applyFill="1" applyBorder="1" applyAlignment="1" applyProtection="1">
      <alignment horizontal="center" vertical="center"/>
    </xf>
    <xf numFmtId="0" fontId="10" fillId="0" borderId="13" xfId="0" applyFont="1" applyBorder="1" applyAlignment="1" applyProtection="1">
      <alignment horizontal="left" vertical="center"/>
    </xf>
    <xf numFmtId="0" fontId="10" fillId="0" borderId="18" xfId="0" applyFont="1" applyBorder="1" applyAlignment="1" applyProtection="1">
      <alignment horizontal="left" vertical="center"/>
    </xf>
    <xf numFmtId="0" fontId="10" fillId="0" borderId="6" xfId="0" applyNumberFormat="1" applyFont="1" applyBorder="1" applyAlignment="1" applyProtection="1">
      <alignment horizontal="center" vertical="center"/>
    </xf>
    <xf numFmtId="0" fontId="10" fillId="0" borderId="13" xfId="0" applyNumberFormat="1" applyFont="1" applyBorder="1" applyAlignment="1" applyProtection="1">
      <alignment horizontal="center" vertical="center"/>
    </xf>
    <xf numFmtId="0" fontId="10" fillId="0" borderId="16" xfId="0" applyFont="1" applyBorder="1" applyAlignment="1" applyProtection="1">
      <alignment horizontal="left" vertical="center" wrapText="1"/>
    </xf>
    <xf numFmtId="0" fontId="10" fillId="0" borderId="14" xfId="0" applyFont="1" applyBorder="1" applyAlignment="1" applyProtection="1">
      <alignment horizontal="left" vertical="center" wrapText="1"/>
    </xf>
    <xf numFmtId="0" fontId="10" fillId="0" borderId="17" xfId="0" applyFont="1" applyBorder="1" applyAlignment="1" applyProtection="1">
      <alignment horizontal="center" vertical="center"/>
    </xf>
    <xf numFmtId="9" fontId="10" fillId="7" borderId="6" xfId="4" applyNumberFormat="1" applyFont="1" applyFill="1" applyBorder="1" applyAlignment="1" applyProtection="1">
      <alignment horizontal="center" vertical="center"/>
    </xf>
    <xf numFmtId="9" fontId="10" fillId="7" borderId="18" xfId="4" applyNumberFormat="1" applyFont="1" applyFill="1" applyBorder="1" applyAlignment="1" applyProtection="1">
      <alignment horizontal="center" vertical="center"/>
    </xf>
    <xf numFmtId="0" fontId="10" fillId="7" borderId="1" xfId="0" applyFont="1" applyFill="1" applyBorder="1" applyAlignment="1" applyProtection="1">
      <alignment horizontal="justify" vertical="center" wrapText="1"/>
    </xf>
    <xf numFmtId="9" fontId="10" fillId="7" borderId="13" xfId="4" applyNumberFormat="1" applyFont="1" applyFill="1" applyBorder="1" applyAlignment="1" applyProtection="1">
      <alignment horizontal="center" vertical="center"/>
    </xf>
    <xf numFmtId="14" fontId="10" fillId="0" borderId="6" xfId="0" applyNumberFormat="1" applyFont="1" applyBorder="1" applyAlignment="1" applyProtection="1">
      <alignment horizontal="center" vertical="center" wrapText="1"/>
    </xf>
    <xf numFmtId="14" fontId="10" fillId="0" borderId="13" xfId="0" applyNumberFormat="1" applyFont="1" applyBorder="1" applyAlignment="1" applyProtection="1">
      <alignment horizontal="center" vertical="center" wrapText="1"/>
    </xf>
    <xf numFmtId="14" fontId="10" fillId="0" borderId="18" xfId="0" applyNumberFormat="1" applyFont="1" applyBorder="1" applyAlignment="1" applyProtection="1">
      <alignment horizontal="center" vertical="center" wrapText="1"/>
    </xf>
    <xf numFmtId="1" fontId="10" fillId="7" borderId="7" xfId="0" applyNumberFormat="1" applyFont="1" applyFill="1" applyBorder="1" applyAlignment="1" applyProtection="1">
      <alignment horizontal="center" vertical="center" wrapText="1"/>
    </xf>
    <xf numFmtId="1" fontId="10" fillId="7" borderId="9" xfId="0" applyNumberFormat="1" applyFont="1" applyFill="1" applyBorder="1" applyAlignment="1" applyProtection="1">
      <alignment horizontal="center" vertical="center" wrapText="1"/>
    </xf>
    <xf numFmtId="1" fontId="10" fillId="7" borderId="16" xfId="0" applyNumberFormat="1" applyFont="1" applyFill="1" applyBorder="1" applyAlignment="1" applyProtection="1">
      <alignment horizontal="center" vertical="center" wrapText="1"/>
    </xf>
    <xf numFmtId="1" fontId="10" fillId="7" borderId="0" xfId="0" applyNumberFormat="1" applyFont="1" applyFill="1" applyBorder="1" applyAlignment="1" applyProtection="1">
      <alignment horizontal="center" vertical="center" wrapText="1"/>
    </xf>
    <xf numFmtId="1" fontId="10" fillId="7" borderId="14" xfId="0" applyNumberFormat="1" applyFont="1" applyFill="1" applyBorder="1" applyAlignment="1" applyProtection="1">
      <alignment horizontal="center" vertical="center" wrapText="1"/>
    </xf>
    <xf numFmtId="1" fontId="10" fillId="7" borderId="2" xfId="0" applyNumberFormat="1"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xf>
    <xf numFmtId="0" fontId="10" fillId="7" borderId="9" xfId="0" applyFont="1" applyFill="1" applyBorder="1" applyAlignment="1" applyProtection="1">
      <alignment horizontal="center" vertical="center" wrapText="1"/>
    </xf>
    <xf numFmtId="0" fontId="10" fillId="7" borderId="8" xfId="0" applyFont="1" applyFill="1" applyBorder="1" applyAlignment="1" applyProtection="1">
      <alignment horizontal="center" vertical="center" wrapText="1"/>
    </xf>
    <xf numFmtId="0" fontId="10" fillId="7" borderId="16" xfId="0" applyFont="1" applyFill="1" applyBorder="1" applyAlignment="1" applyProtection="1">
      <alignment horizontal="center" vertical="center" wrapText="1"/>
    </xf>
    <xf numFmtId="0" fontId="10" fillId="7" borderId="0" xfId="0" applyFont="1" applyFill="1" applyBorder="1" applyAlignment="1" applyProtection="1">
      <alignment horizontal="center" vertical="center" wrapText="1"/>
    </xf>
    <xf numFmtId="0" fontId="10" fillId="7" borderId="14" xfId="0" applyFont="1" applyFill="1" applyBorder="1" applyAlignment="1" applyProtection="1">
      <alignment horizontal="center" vertical="center" wrapText="1"/>
    </xf>
    <xf numFmtId="0" fontId="10" fillId="7" borderId="2" xfId="0" applyFont="1" applyFill="1" applyBorder="1" applyAlignment="1" applyProtection="1">
      <alignment horizontal="center" vertical="center" wrapText="1"/>
    </xf>
    <xf numFmtId="0" fontId="10" fillId="7" borderId="15" xfId="0" applyFont="1" applyFill="1" applyBorder="1" applyAlignment="1" applyProtection="1">
      <alignment horizontal="center" vertical="center" wrapText="1"/>
    </xf>
    <xf numFmtId="0" fontId="10" fillId="0" borderId="8" xfId="0" applyFont="1" applyBorder="1" applyAlignment="1" applyProtection="1">
      <alignment horizontal="center" vertical="center"/>
    </xf>
    <xf numFmtId="0" fontId="10" fillId="7" borderId="6" xfId="0" applyFont="1" applyFill="1" applyBorder="1" applyAlignment="1" applyProtection="1">
      <alignment horizontal="center" vertical="center"/>
    </xf>
    <xf numFmtId="0" fontId="10" fillId="7" borderId="13" xfId="0" applyFont="1" applyFill="1" applyBorder="1" applyAlignment="1" applyProtection="1">
      <alignment horizontal="center" vertical="center"/>
    </xf>
    <xf numFmtId="0" fontId="10" fillId="7" borderId="1" xfId="0" applyNumberFormat="1" applyFont="1" applyFill="1" applyBorder="1" applyAlignment="1" applyProtection="1">
      <alignment horizontal="center" vertical="center"/>
    </xf>
    <xf numFmtId="43" fontId="10" fillId="0" borderId="6" xfId="1" applyFont="1" applyBorder="1" applyAlignment="1" applyProtection="1">
      <alignment horizontal="center" vertical="center"/>
    </xf>
    <xf numFmtId="43" fontId="10" fillId="0" borderId="13" xfId="1" applyFont="1" applyBorder="1" applyAlignment="1" applyProtection="1">
      <alignment horizontal="center" vertical="center"/>
    </xf>
    <xf numFmtId="43" fontId="10" fillId="0" borderId="18" xfId="1" applyFont="1" applyBorder="1" applyAlignment="1" applyProtection="1">
      <alignment horizontal="center" vertical="center"/>
    </xf>
    <xf numFmtId="0" fontId="10" fillId="7" borderId="1" xfId="0" applyFont="1" applyFill="1" applyBorder="1" applyAlignment="1" applyProtection="1">
      <alignment horizontal="left" vertical="center" wrapText="1"/>
    </xf>
    <xf numFmtId="9" fontId="10" fillId="7" borderId="1" xfId="13" applyFont="1" applyFill="1" applyBorder="1" applyAlignment="1" applyProtection="1">
      <alignment horizontal="center" vertical="center"/>
    </xf>
    <xf numFmtId="43" fontId="10" fillId="7" borderId="1" xfId="11" applyFont="1" applyFill="1" applyBorder="1" applyAlignment="1" applyProtection="1">
      <alignment horizontal="center" vertical="center" wrapText="1"/>
    </xf>
    <xf numFmtId="0" fontId="10" fillId="0" borderId="7" xfId="0" applyFont="1" applyBorder="1" applyAlignment="1" applyProtection="1">
      <alignment horizontal="left" vertical="center" wrapText="1"/>
    </xf>
    <xf numFmtId="1" fontId="10" fillId="7" borderId="1" xfId="0" applyNumberFormat="1"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1" fontId="10" fillId="7" borderId="6" xfId="0" applyNumberFormat="1" applyFont="1" applyFill="1" applyBorder="1" applyAlignment="1" applyProtection="1">
      <alignment horizontal="center" vertical="center"/>
    </xf>
    <xf numFmtId="1" fontId="10" fillId="7" borderId="13" xfId="0" applyNumberFormat="1" applyFont="1" applyFill="1" applyBorder="1" applyAlignment="1" applyProtection="1">
      <alignment horizontal="center" vertical="center"/>
    </xf>
    <xf numFmtId="1" fontId="10" fillId="7" borderId="18" xfId="0" applyNumberFormat="1" applyFont="1" applyFill="1" applyBorder="1" applyAlignment="1" applyProtection="1">
      <alignment horizontal="center" vertical="center"/>
    </xf>
    <xf numFmtId="0" fontId="10" fillId="7" borderId="18" xfId="0" applyFont="1" applyFill="1" applyBorder="1" applyAlignment="1" applyProtection="1">
      <alignment horizontal="center" vertical="center"/>
    </xf>
    <xf numFmtId="1" fontId="14" fillId="0" borderId="6" xfId="0" applyNumberFormat="1" applyFont="1" applyBorder="1" applyAlignment="1" applyProtection="1">
      <alignment horizontal="center" vertical="center"/>
    </xf>
    <xf numFmtId="1" fontId="14" fillId="0" borderId="13" xfId="0" applyNumberFormat="1" applyFont="1" applyBorder="1" applyAlignment="1" applyProtection="1">
      <alignment horizontal="center" vertical="center"/>
    </xf>
    <xf numFmtId="1" fontId="14" fillId="0" borderId="18" xfId="0" applyNumberFormat="1" applyFont="1" applyBorder="1" applyAlignment="1" applyProtection="1">
      <alignment horizontal="center" vertical="center"/>
    </xf>
    <xf numFmtId="1" fontId="10" fillId="7" borderId="8" xfId="0" applyNumberFormat="1" applyFont="1" applyFill="1" applyBorder="1" applyAlignment="1" applyProtection="1">
      <alignment horizontal="center" vertical="center"/>
    </xf>
    <xf numFmtId="1" fontId="10" fillId="7" borderId="17" xfId="0" applyNumberFormat="1" applyFont="1" applyFill="1" applyBorder="1" applyAlignment="1" applyProtection="1">
      <alignment horizontal="center" vertical="center"/>
    </xf>
    <xf numFmtId="1" fontId="10" fillId="7" borderId="15" xfId="0" applyNumberFormat="1" applyFont="1" applyFill="1" applyBorder="1" applyAlignment="1" applyProtection="1">
      <alignment horizontal="center" vertical="center"/>
    </xf>
    <xf numFmtId="14" fontId="14" fillId="0" borderId="6" xfId="0" applyNumberFormat="1" applyFont="1" applyBorder="1" applyAlignment="1" applyProtection="1">
      <alignment horizontal="center" vertical="center" wrapText="1"/>
    </xf>
    <xf numFmtId="14" fontId="14" fillId="0" borderId="13" xfId="0" applyNumberFormat="1" applyFont="1" applyBorder="1" applyAlignment="1" applyProtection="1">
      <alignment horizontal="center" vertical="center" wrapText="1"/>
    </xf>
    <xf numFmtId="14" fontId="14" fillId="0" borderId="18" xfId="0" applyNumberFormat="1"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4" fillId="0" borderId="13" xfId="0" applyFont="1" applyBorder="1" applyAlignment="1" applyProtection="1">
      <alignment horizontal="center" vertical="center" wrapText="1"/>
    </xf>
    <xf numFmtId="0" fontId="14" fillId="0" borderId="18" xfId="0" applyFont="1" applyBorder="1" applyAlignment="1" applyProtection="1">
      <alignment horizontal="center" vertical="center" wrapText="1"/>
    </xf>
    <xf numFmtId="43" fontId="10" fillId="7" borderId="13" xfId="11" applyFont="1" applyFill="1" applyBorder="1" applyAlignment="1" applyProtection="1">
      <alignment horizontal="center" vertical="center"/>
    </xf>
    <xf numFmtId="43" fontId="10" fillId="7" borderId="17" xfId="11" applyFont="1" applyFill="1" applyBorder="1" applyAlignment="1" applyProtection="1">
      <alignment horizontal="center" vertical="center"/>
    </xf>
    <xf numFmtId="0" fontId="10" fillId="7" borderId="17" xfId="0" applyFont="1" applyFill="1" applyBorder="1" applyAlignment="1" applyProtection="1">
      <alignment horizontal="center" vertical="center"/>
    </xf>
    <xf numFmtId="43" fontId="14" fillId="0" borderId="6" xfId="0" applyNumberFormat="1"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8" xfId="0" applyFont="1" applyBorder="1" applyAlignment="1" applyProtection="1">
      <alignment horizontal="center" vertical="center"/>
    </xf>
    <xf numFmtId="10" fontId="14" fillId="0" borderId="6" xfId="0" applyNumberFormat="1" applyFont="1" applyBorder="1" applyAlignment="1" applyProtection="1">
      <alignment horizontal="center" vertical="center"/>
    </xf>
    <xf numFmtId="10" fontId="14" fillId="0" borderId="13" xfId="0" applyNumberFormat="1" applyFont="1" applyBorder="1" applyAlignment="1" applyProtection="1">
      <alignment horizontal="center" vertical="center"/>
    </xf>
    <xf numFmtId="10" fontId="14" fillId="0" borderId="18" xfId="0" applyNumberFormat="1" applyFont="1" applyBorder="1" applyAlignment="1" applyProtection="1">
      <alignment horizontal="center" vertical="center"/>
    </xf>
    <xf numFmtId="0" fontId="14" fillId="0" borderId="6" xfId="0" applyFont="1" applyBorder="1" applyAlignment="1" applyProtection="1">
      <alignment horizontal="center" vertical="center"/>
    </xf>
    <xf numFmtId="14" fontId="10" fillId="7" borderId="6" xfId="0" applyNumberFormat="1" applyFont="1" applyFill="1" applyBorder="1" applyAlignment="1" applyProtection="1">
      <alignment horizontal="center" vertical="center" wrapText="1"/>
    </xf>
    <xf numFmtId="14" fontId="10" fillId="7" borderId="13" xfId="0" applyNumberFormat="1" applyFont="1" applyFill="1" applyBorder="1" applyAlignment="1" applyProtection="1">
      <alignment horizontal="center" vertical="center" wrapText="1"/>
    </xf>
    <xf numFmtId="14" fontId="10" fillId="7" borderId="18" xfId="0" applyNumberFormat="1" applyFont="1" applyFill="1" applyBorder="1" applyAlignment="1" applyProtection="1">
      <alignment horizontal="center" vertical="center" wrapText="1"/>
    </xf>
    <xf numFmtId="0" fontId="10" fillId="7" borderId="6" xfId="0" applyFont="1" applyFill="1" applyBorder="1" applyAlignment="1" applyProtection="1">
      <alignment horizontal="left" vertical="center"/>
    </xf>
    <xf numFmtId="0" fontId="10" fillId="7" borderId="18" xfId="0" applyFont="1" applyFill="1" applyBorder="1" applyAlignment="1" applyProtection="1">
      <alignment horizontal="left" vertical="center"/>
    </xf>
    <xf numFmtId="9" fontId="10" fillId="7" borderId="47" xfId="13" applyFont="1" applyFill="1" applyBorder="1" applyAlignment="1" applyProtection="1">
      <alignment horizontal="center" vertical="center"/>
    </xf>
    <xf numFmtId="43" fontId="10" fillId="7" borderId="6" xfId="1" applyFont="1" applyFill="1" applyBorder="1" applyAlignment="1" applyProtection="1">
      <alignment horizontal="center" vertical="center"/>
    </xf>
    <xf numFmtId="43" fontId="10" fillId="7" borderId="13" xfId="1" applyFont="1" applyFill="1" applyBorder="1" applyAlignment="1" applyProtection="1">
      <alignment horizontal="center" vertical="center"/>
    </xf>
    <xf numFmtId="43" fontId="10" fillId="7" borderId="18" xfId="1" applyFont="1" applyFill="1" applyBorder="1" applyAlignment="1" applyProtection="1">
      <alignment horizontal="center" vertical="center"/>
    </xf>
    <xf numFmtId="10" fontId="10" fillId="7" borderId="6" xfId="0" applyNumberFormat="1" applyFont="1" applyFill="1" applyBorder="1" applyAlignment="1" applyProtection="1">
      <alignment horizontal="center" vertical="center"/>
    </xf>
    <xf numFmtId="10" fontId="10" fillId="7" borderId="13" xfId="0" applyNumberFormat="1" applyFont="1" applyFill="1" applyBorder="1" applyAlignment="1" applyProtection="1">
      <alignment horizontal="center" vertical="center"/>
    </xf>
    <xf numFmtId="10" fontId="10" fillId="7" borderId="18" xfId="0" applyNumberFormat="1" applyFont="1" applyFill="1" applyBorder="1" applyAlignment="1" applyProtection="1">
      <alignment horizontal="center" vertical="center"/>
    </xf>
    <xf numFmtId="0" fontId="10" fillId="0" borderId="0" xfId="0" applyFont="1" applyAlignment="1" applyProtection="1">
      <alignment horizontal="center"/>
    </xf>
    <xf numFmtId="0" fontId="10" fillId="0" borderId="17" xfId="0" applyFont="1" applyBorder="1" applyAlignment="1" applyProtection="1">
      <alignment horizontal="center"/>
    </xf>
    <xf numFmtId="0" fontId="10" fillId="0" borderId="6" xfId="0" applyFont="1" applyBorder="1" applyAlignment="1" applyProtection="1">
      <alignment horizontal="left" vertical="center"/>
    </xf>
    <xf numFmtId="0" fontId="10" fillId="0" borderId="6" xfId="0" applyFont="1" applyBorder="1" applyAlignment="1" applyProtection="1">
      <alignment vertical="center" wrapText="1"/>
    </xf>
    <xf numFmtId="0" fontId="10" fillId="0" borderId="18" xfId="0" applyFont="1" applyBorder="1" applyAlignment="1" applyProtection="1">
      <alignment vertical="center" wrapText="1"/>
    </xf>
    <xf numFmtId="0" fontId="10" fillId="0" borderId="13" xfId="0" applyFont="1" applyBorder="1" applyAlignment="1" applyProtection="1">
      <alignment horizontal="justify" vertical="center" wrapText="1"/>
    </xf>
    <xf numFmtId="10" fontId="10" fillId="0" borderId="6" xfId="13" applyNumberFormat="1" applyFont="1" applyBorder="1" applyAlignment="1" applyProtection="1">
      <alignment horizontal="center" vertical="center"/>
    </xf>
    <xf numFmtId="10" fontId="10" fillId="0" borderId="18" xfId="13" applyNumberFormat="1" applyFont="1" applyBorder="1" applyAlignment="1" applyProtection="1">
      <alignment horizontal="center" vertical="center"/>
    </xf>
    <xf numFmtId="10" fontId="10" fillId="0" borderId="13" xfId="13" applyNumberFormat="1" applyFont="1" applyBorder="1" applyAlignment="1" applyProtection="1">
      <alignment horizontal="center" vertical="center"/>
    </xf>
    <xf numFmtId="0" fontId="10" fillId="7" borderId="7" xfId="0" applyFont="1" applyFill="1" applyBorder="1" applyAlignment="1" applyProtection="1">
      <alignment horizontal="left" vertical="center" wrapText="1"/>
    </xf>
    <xf numFmtId="0" fontId="10" fillId="7" borderId="14" xfId="0" applyFont="1" applyFill="1" applyBorder="1" applyAlignment="1" applyProtection="1">
      <alignment horizontal="left" vertical="center" wrapText="1"/>
    </xf>
    <xf numFmtId="1" fontId="10" fillId="0" borderId="6" xfId="0" applyNumberFormat="1" applyFont="1" applyBorder="1" applyAlignment="1" applyProtection="1">
      <alignment horizontal="center" vertical="center"/>
    </xf>
    <xf numFmtId="1" fontId="10" fillId="0" borderId="13" xfId="0" applyNumberFormat="1" applyFont="1" applyBorder="1" applyAlignment="1" applyProtection="1">
      <alignment horizontal="center" vertical="center"/>
    </xf>
    <xf numFmtId="1" fontId="10" fillId="0" borderId="18" xfId="0" applyNumberFormat="1" applyFont="1" applyBorder="1" applyAlignment="1" applyProtection="1">
      <alignment horizontal="center" vertical="center"/>
    </xf>
    <xf numFmtId="1" fontId="10" fillId="0" borderId="6" xfId="0" applyNumberFormat="1" applyFont="1" applyBorder="1" applyAlignment="1" applyProtection="1">
      <alignment horizontal="center" vertical="center" wrapText="1"/>
    </xf>
    <xf numFmtId="14" fontId="14" fillId="0" borderId="6" xfId="0" applyNumberFormat="1" applyFont="1" applyBorder="1" applyAlignment="1" applyProtection="1">
      <alignment horizontal="center" vertical="center"/>
    </xf>
    <xf numFmtId="14" fontId="14" fillId="0" borderId="13" xfId="0" applyNumberFormat="1" applyFont="1" applyBorder="1" applyAlignment="1" applyProtection="1">
      <alignment horizontal="center" vertical="center"/>
    </xf>
    <xf numFmtId="14" fontId="14" fillId="0" borderId="18" xfId="0" applyNumberFormat="1" applyFont="1" applyBorder="1" applyAlignment="1" applyProtection="1">
      <alignment horizontal="center" vertical="center"/>
    </xf>
    <xf numFmtId="43" fontId="10" fillId="0" borderId="13" xfId="11" applyFont="1" applyBorder="1" applyAlignment="1" applyProtection="1">
      <alignment horizontal="center" vertical="center"/>
    </xf>
    <xf numFmtId="3" fontId="10" fillId="0" borderId="1" xfId="0" applyNumberFormat="1" applyFont="1" applyBorder="1" applyAlignment="1" applyProtection="1">
      <alignment horizontal="center" vertical="center"/>
    </xf>
    <xf numFmtId="0" fontId="10" fillId="7" borderId="7" xfId="0" applyFont="1" applyFill="1" applyBorder="1" applyAlignment="1" applyProtection="1">
      <alignment horizontal="justify" vertical="center" wrapText="1"/>
    </xf>
    <xf numFmtId="1" fontId="10" fillId="0" borderId="18" xfId="0" applyNumberFormat="1" applyFont="1" applyBorder="1" applyAlignment="1" applyProtection="1">
      <alignment horizontal="center" vertical="center" wrapText="1"/>
    </xf>
    <xf numFmtId="0" fontId="10" fillId="7" borderId="47" xfId="0" applyFont="1" applyFill="1" applyBorder="1" applyAlignment="1" applyProtection="1">
      <alignment horizontal="left" vertical="center" wrapText="1"/>
    </xf>
    <xf numFmtId="9" fontId="10" fillId="7" borderId="49" xfId="13" applyFont="1" applyFill="1" applyBorder="1" applyAlignment="1" applyProtection="1">
      <alignment horizontal="center" vertical="center"/>
    </xf>
    <xf numFmtId="9" fontId="10" fillId="7" borderId="18" xfId="13" applyFont="1" applyFill="1" applyBorder="1" applyAlignment="1" applyProtection="1">
      <alignment horizontal="center" vertical="center"/>
    </xf>
    <xf numFmtId="43" fontId="14" fillId="0" borderId="6" xfId="1" applyFont="1" applyBorder="1" applyAlignment="1" applyProtection="1">
      <alignment horizontal="center" vertical="center"/>
    </xf>
    <xf numFmtId="43" fontId="14" fillId="0" borderId="13" xfId="1" applyFont="1" applyBorder="1" applyAlignment="1" applyProtection="1">
      <alignment horizontal="center" vertical="center"/>
    </xf>
    <xf numFmtId="43" fontId="14" fillId="0" borderId="18" xfId="1" applyFont="1" applyBorder="1" applyAlignment="1" applyProtection="1">
      <alignment horizontal="center" vertical="center"/>
    </xf>
    <xf numFmtId="0" fontId="10" fillId="0" borderId="0" xfId="0" applyFont="1" applyAlignment="1" applyProtection="1">
      <alignment horizontal="center" vertical="center" wrapText="1"/>
    </xf>
    <xf numFmtId="9" fontId="10" fillId="7" borderId="13" xfId="13" applyFont="1" applyFill="1" applyBorder="1" applyAlignment="1" applyProtection="1">
      <alignment horizontal="center" vertical="center"/>
    </xf>
    <xf numFmtId="43" fontId="10" fillId="0" borderId="6" xfId="11" applyFont="1" applyBorder="1" applyAlignment="1" applyProtection="1">
      <alignment horizontal="center" vertical="center" wrapText="1"/>
    </xf>
    <xf numFmtId="43" fontId="10" fillId="0" borderId="18" xfId="11" applyFont="1" applyBorder="1" applyAlignment="1" applyProtection="1">
      <alignment horizontal="center" vertical="center" wrapText="1"/>
    </xf>
    <xf numFmtId="0" fontId="10" fillId="0" borderId="16" xfId="0" applyFont="1" applyBorder="1" applyAlignment="1" applyProtection="1">
      <alignment horizontal="justify" vertical="center" wrapText="1"/>
    </xf>
    <xf numFmtId="43" fontId="10" fillId="0" borderId="47" xfId="11" applyFont="1" applyFill="1" applyBorder="1" applyAlignment="1" applyProtection="1">
      <alignment horizontal="center" vertical="center" wrapText="1"/>
    </xf>
    <xf numFmtId="43" fontId="10" fillId="0" borderId="45" xfId="11" applyFont="1" applyFill="1" applyBorder="1" applyAlignment="1" applyProtection="1">
      <alignment horizontal="center" vertical="center" wrapText="1"/>
    </xf>
    <xf numFmtId="43" fontId="10" fillId="0" borderId="50" xfId="11" applyFont="1" applyFill="1" applyBorder="1" applyAlignment="1" applyProtection="1">
      <alignment horizontal="center" vertical="center" wrapText="1"/>
    </xf>
    <xf numFmtId="43" fontId="10" fillId="0" borderId="48" xfId="11" applyFont="1" applyFill="1" applyBorder="1" applyAlignment="1" applyProtection="1">
      <alignment horizontal="center" vertical="center" wrapText="1"/>
    </xf>
    <xf numFmtId="0" fontId="10" fillId="7" borderId="47" xfId="0" applyFont="1" applyFill="1" applyBorder="1" applyAlignment="1" applyProtection="1">
      <alignment horizontal="center" vertical="center"/>
    </xf>
    <xf numFmtId="43" fontId="10" fillId="7" borderId="6" xfId="0" applyNumberFormat="1" applyFont="1" applyFill="1" applyBorder="1" applyAlignment="1" applyProtection="1">
      <alignment horizontal="center" vertical="center"/>
    </xf>
    <xf numFmtId="0" fontId="10" fillId="7" borderId="8" xfId="0" applyFont="1" applyFill="1" applyBorder="1" applyAlignment="1" applyProtection="1">
      <alignment horizontal="center" vertical="center"/>
    </xf>
    <xf numFmtId="0" fontId="10" fillId="7" borderId="15" xfId="0" applyFont="1" applyFill="1" applyBorder="1" applyAlignment="1" applyProtection="1">
      <alignment horizontal="center" vertical="center"/>
    </xf>
    <xf numFmtId="1" fontId="14" fillId="0" borderId="1" xfId="0" applyNumberFormat="1" applyFont="1" applyBorder="1" applyAlignment="1" applyProtection="1">
      <alignment horizontal="center" vertical="center"/>
    </xf>
    <xf numFmtId="0" fontId="14" fillId="0" borderId="1" xfId="0" applyFont="1" applyBorder="1" applyAlignment="1" applyProtection="1">
      <alignment horizontal="center" vertical="center" wrapText="1"/>
    </xf>
    <xf numFmtId="1" fontId="9" fillId="7" borderId="1" xfId="0" applyNumberFormat="1" applyFont="1" applyFill="1" applyBorder="1" applyAlignment="1" applyProtection="1">
      <alignment horizontal="center" vertical="center" wrapText="1"/>
    </xf>
    <xf numFmtId="0" fontId="9" fillId="7" borderId="13" xfId="0" applyFont="1" applyFill="1" applyBorder="1" applyAlignment="1" applyProtection="1">
      <alignment horizontal="center" vertical="center"/>
    </xf>
    <xf numFmtId="0" fontId="9" fillId="7" borderId="18" xfId="0" applyFont="1" applyFill="1" applyBorder="1" applyAlignment="1" applyProtection="1">
      <alignment horizontal="center" vertical="center"/>
    </xf>
    <xf numFmtId="43" fontId="10" fillId="7" borderId="6" xfId="11" applyFont="1" applyFill="1" applyBorder="1" applyAlignment="1" applyProtection="1">
      <alignment horizontal="center" vertical="center" wrapText="1"/>
    </xf>
    <xf numFmtId="43" fontId="10" fillId="7" borderId="18" xfId="11" applyFont="1" applyFill="1" applyBorder="1" applyAlignment="1" applyProtection="1">
      <alignment horizontal="center" vertical="center" wrapText="1"/>
    </xf>
    <xf numFmtId="0" fontId="14" fillId="0" borderId="1" xfId="0" applyFont="1" applyBorder="1" applyAlignment="1" applyProtection="1">
      <alignment horizontal="center" vertical="center"/>
    </xf>
    <xf numFmtId="43" fontId="10" fillId="7" borderId="6" xfId="0" applyNumberFormat="1" applyFont="1" applyFill="1" applyBorder="1" applyAlignment="1" applyProtection="1">
      <alignment horizontal="center" vertical="center" wrapText="1"/>
    </xf>
    <xf numFmtId="10" fontId="10" fillId="7" borderId="6" xfId="0" applyNumberFormat="1" applyFont="1" applyFill="1" applyBorder="1" applyAlignment="1" applyProtection="1">
      <alignment horizontal="center" vertical="center" wrapText="1"/>
    </xf>
    <xf numFmtId="10" fontId="10" fillId="7" borderId="13" xfId="0" applyNumberFormat="1" applyFont="1" applyFill="1" applyBorder="1" applyAlignment="1" applyProtection="1">
      <alignment horizontal="center" vertical="center" wrapText="1"/>
    </xf>
    <xf numFmtId="10" fontId="10" fillId="7" borderId="18" xfId="0" applyNumberFormat="1" applyFont="1" applyFill="1" applyBorder="1" applyAlignment="1" applyProtection="1">
      <alignment horizontal="center" vertical="center" wrapText="1"/>
    </xf>
    <xf numFmtId="9" fontId="10" fillId="7" borderId="6" xfId="13" applyFont="1" applyFill="1" applyBorder="1" applyAlignment="1" applyProtection="1">
      <alignment horizontal="center" vertical="center"/>
    </xf>
    <xf numFmtId="3" fontId="10" fillId="0" borderId="6" xfId="0" applyNumberFormat="1" applyFont="1" applyFill="1" applyBorder="1" applyAlignment="1" applyProtection="1">
      <alignment horizontal="center" vertical="center"/>
    </xf>
    <xf numFmtId="3" fontId="10" fillId="0" borderId="18" xfId="0" applyNumberFormat="1" applyFont="1" applyFill="1" applyBorder="1" applyAlignment="1" applyProtection="1">
      <alignment horizontal="center" vertical="center"/>
    </xf>
    <xf numFmtId="0" fontId="10" fillId="0" borderId="1" xfId="0" applyFont="1" applyBorder="1" applyAlignment="1" applyProtection="1">
      <alignment horizontal="left" vertical="center" wrapText="1"/>
    </xf>
    <xf numFmtId="0" fontId="10" fillId="0" borderId="1" xfId="0" applyFont="1" applyBorder="1" applyAlignment="1" applyProtection="1">
      <alignment horizontal="center" vertical="center"/>
    </xf>
    <xf numFmtId="0" fontId="10" fillId="0" borderId="7" xfId="0" applyFont="1" applyBorder="1" applyAlignment="1" applyProtection="1">
      <alignment horizontal="center" vertical="center" wrapText="1"/>
    </xf>
    <xf numFmtId="0" fontId="10" fillId="0" borderId="14" xfId="0" applyFont="1" applyBorder="1" applyAlignment="1" applyProtection="1">
      <alignment horizontal="center" vertical="center" wrapText="1"/>
    </xf>
    <xf numFmtId="9" fontId="10" fillId="0" borderId="6" xfId="13" applyFont="1" applyBorder="1" applyAlignment="1" applyProtection="1">
      <alignment horizontal="center" vertical="center" wrapText="1"/>
    </xf>
    <xf numFmtId="9" fontId="10" fillId="0" borderId="13" xfId="13" applyFont="1" applyBorder="1" applyAlignment="1" applyProtection="1">
      <alignment horizontal="center" vertical="center" wrapText="1"/>
    </xf>
    <xf numFmtId="9" fontId="10" fillId="0" borderId="18" xfId="13" applyFont="1" applyBorder="1" applyAlignment="1" applyProtection="1">
      <alignment horizontal="center" vertical="center" wrapText="1"/>
    </xf>
    <xf numFmtId="43" fontId="10" fillId="0" borderId="1" xfId="11" applyFont="1" applyBorder="1" applyAlignment="1" applyProtection="1">
      <alignment horizontal="center" vertical="center"/>
    </xf>
    <xf numFmtId="1" fontId="10" fillId="0" borderId="13" xfId="0" applyNumberFormat="1" applyFont="1" applyBorder="1" applyAlignment="1" applyProtection="1">
      <alignment horizontal="center" vertical="center" wrapText="1"/>
    </xf>
    <xf numFmtId="1" fontId="10" fillId="0" borderId="1" xfId="0" applyNumberFormat="1" applyFont="1" applyBorder="1" applyAlignment="1" applyProtection="1">
      <alignment horizontal="center" vertical="center"/>
    </xf>
    <xf numFmtId="1" fontId="10" fillId="0" borderId="1" xfId="0" applyNumberFormat="1" applyFont="1" applyBorder="1" applyAlignment="1" applyProtection="1">
      <alignment horizontal="center" vertical="center" wrapText="1"/>
    </xf>
    <xf numFmtId="1" fontId="14" fillId="0" borderId="6" xfId="0" applyNumberFormat="1" applyFont="1" applyBorder="1" applyAlignment="1" applyProtection="1">
      <alignment horizontal="center" vertical="center" wrapText="1"/>
    </xf>
    <xf numFmtId="1" fontId="14" fillId="0" borderId="13" xfId="0" applyNumberFormat="1" applyFont="1" applyBorder="1" applyAlignment="1" applyProtection="1">
      <alignment horizontal="center" vertical="center" wrapText="1"/>
    </xf>
    <xf numFmtId="1" fontId="14" fillId="0" borderId="18" xfId="0" applyNumberFormat="1" applyFont="1" applyBorder="1" applyAlignment="1" applyProtection="1">
      <alignment horizontal="center" vertical="center" wrapText="1"/>
    </xf>
    <xf numFmtId="1" fontId="14" fillId="0" borderId="1" xfId="0" applyNumberFormat="1" applyFont="1" applyBorder="1" applyAlignment="1" applyProtection="1">
      <alignment horizontal="center" vertical="center" wrapText="1"/>
    </xf>
    <xf numFmtId="173" fontId="14" fillId="0" borderId="6" xfId="0" applyNumberFormat="1" applyFont="1" applyBorder="1" applyAlignment="1" applyProtection="1">
      <alignment horizontal="center" vertical="center" wrapText="1"/>
    </xf>
    <xf numFmtId="9" fontId="14" fillId="0" borderId="6" xfId="4" applyFont="1" applyBorder="1" applyAlignment="1" applyProtection="1">
      <alignment horizontal="center" vertical="center" wrapText="1"/>
    </xf>
    <xf numFmtId="9" fontId="14" fillId="0" borderId="13" xfId="4" applyFont="1" applyBorder="1" applyAlignment="1" applyProtection="1">
      <alignment horizontal="center" vertical="center" wrapText="1"/>
    </xf>
    <xf numFmtId="9" fontId="14" fillId="0" borderId="18" xfId="4" applyFont="1" applyBorder="1" applyAlignment="1" applyProtection="1">
      <alignment horizontal="center" vertical="center" wrapText="1"/>
    </xf>
    <xf numFmtId="0" fontId="10" fillId="7" borderId="7" xfId="0" applyFont="1" applyFill="1" applyBorder="1" applyAlignment="1" applyProtection="1">
      <alignment horizontal="center" vertical="center"/>
    </xf>
    <xf numFmtId="0" fontId="10" fillId="7" borderId="9" xfId="0" applyFont="1" applyFill="1" applyBorder="1" applyAlignment="1" applyProtection="1">
      <alignment horizontal="center" vertical="center"/>
    </xf>
    <xf numFmtId="0" fontId="10" fillId="7" borderId="16" xfId="0" applyFont="1" applyFill="1" applyBorder="1" applyAlignment="1" applyProtection="1">
      <alignment horizontal="center" vertical="center"/>
    </xf>
    <xf numFmtId="0" fontId="10" fillId="7" borderId="0" xfId="0" applyFont="1" applyFill="1" applyBorder="1" applyAlignment="1" applyProtection="1">
      <alignment horizontal="center" vertical="center"/>
    </xf>
    <xf numFmtId="0" fontId="10" fillId="7" borderId="14" xfId="0" applyFont="1" applyFill="1" applyBorder="1" applyAlignment="1" applyProtection="1">
      <alignment horizontal="center" vertical="center"/>
    </xf>
    <xf numFmtId="0" fontId="10" fillId="7" borderId="2" xfId="0" applyFont="1" applyFill="1" applyBorder="1" applyAlignment="1" applyProtection="1">
      <alignment horizontal="center" vertical="center"/>
    </xf>
    <xf numFmtId="43" fontId="10" fillId="0" borderId="6" xfId="11" applyFont="1" applyBorder="1" applyAlignment="1" applyProtection="1">
      <alignment horizontal="center" vertical="center"/>
    </xf>
    <xf numFmtId="43" fontId="10" fillId="0" borderId="18" xfId="11" applyFont="1" applyBorder="1" applyAlignment="1" applyProtection="1">
      <alignment horizontal="center" vertical="center"/>
    </xf>
    <xf numFmtId="9" fontId="10" fillId="7" borderId="1" xfId="13" applyFont="1" applyFill="1" applyBorder="1" applyAlignment="1" applyProtection="1">
      <alignment horizontal="center" vertical="center" wrapText="1"/>
    </xf>
    <xf numFmtId="43" fontId="10" fillId="7" borderId="1" xfId="11" applyFont="1" applyFill="1" applyBorder="1" applyAlignment="1" applyProtection="1">
      <alignment vertical="center" wrapText="1"/>
    </xf>
    <xf numFmtId="0" fontId="10" fillId="7" borderId="1" xfId="0" applyFont="1" applyFill="1" applyBorder="1" applyAlignment="1" applyProtection="1">
      <alignment vertical="center" wrapText="1"/>
    </xf>
    <xf numFmtId="1" fontId="10" fillId="7" borderId="1" xfId="0" applyNumberFormat="1" applyFont="1" applyFill="1" applyBorder="1" applyAlignment="1" applyProtection="1">
      <alignment horizontal="center" vertical="center" wrapText="1"/>
    </xf>
    <xf numFmtId="14" fontId="10" fillId="7" borderId="6" xfId="0" applyNumberFormat="1" applyFont="1" applyFill="1" applyBorder="1" applyAlignment="1" applyProtection="1">
      <alignment horizontal="center" vertical="center"/>
    </xf>
    <xf numFmtId="14" fontId="10" fillId="7" borderId="13" xfId="0" applyNumberFormat="1" applyFont="1" applyFill="1" applyBorder="1" applyAlignment="1" applyProtection="1">
      <alignment horizontal="center" vertical="center"/>
    </xf>
    <xf numFmtId="14" fontId="10" fillId="7" borderId="18" xfId="0" applyNumberFormat="1" applyFont="1" applyFill="1" applyBorder="1" applyAlignment="1" applyProtection="1">
      <alignment horizontal="center" vertical="center"/>
    </xf>
    <xf numFmtId="43" fontId="10" fillId="7" borderId="13" xfId="0" applyNumberFormat="1" applyFont="1" applyFill="1" applyBorder="1" applyAlignment="1" applyProtection="1">
      <alignment horizontal="center" vertical="center"/>
    </xf>
    <xf numFmtId="43" fontId="10" fillId="7" borderId="18" xfId="0" applyNumberFormat="1" applyFont="1" applyFill="1" applyBorder="1" applyAlignment="1" applyProtection="1">
      <alignment horizontal="center" vertical="center"/>
    </xf>
    <xf numFmtId="14" fontId="14" fillId="0" borderId="6" xfId="0" applyNumberFormat="1" applyFont="1" applyBorder="1" applyAlignment="1" applyProtection="1">
      <alignment horizontal="right" vertical="center" wrapText="1"/>
    </xf>
    <xf numFmtId="14" fontId="14" fillId="0" borderId="13" xfId="0" applyNumberFormat="1" applyFont="1" applyBorder="1" applyAlignment="1" applyProtection="1">
      <alignment horizontal="right" vertical="center" wrapText="1"/>
    </xf>
    <xf numFmtId="14" fontId="14" fillId="0" borderId="18" xfId="0" applyNumberFormat="1" applyFont="1" applyBorder="1" applyAlignment="1" applyProtection="1">
      <alignment horizontal="right" vertical="center" wrapText="1"/>
    </xf>
    <xf numFmtId="1" fontId="9" fillId="7" borderId="1" xfId="0" applyNumberFormat="1"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10" fillId="7" borderId="9" xfId="0" applyFont="1" applyFill="1" applyBorder="1" applyAlignment="1" applyProtection="1">
      <alignment horizontal="center"/>
    </xf>
    <xf numFmtId="0" fontId="10" fillId="7" borderId="8" xfId="0" applyFont="1" applyFill="1" applyBorder="1" applyAlignment="1" applyProtection="1">
      <alignment horizontal="center"/>
    </xf>
    <xf numFmtId="0" fontId="10" fillId="7" borderId="2" xfId="0" applyFont="1" applyFill="1" applyBorder="1" applyAlignment="1" applyProtection="1">
      <alignment horizontal="center"/>
    </xf>
    <xf numFmtId="0" fontId="10" fillId="7" borderId="15" xfId="0" applyFont="1" applyFill="1" applyBorder="1" applyAlignment="1" applyProtection="1">
      <alignment horizontal="center"/>
    </xf>
    <xf numFmtId="43" fontId="10" fillId="7" borderId="6" xfId="11" applyFont="1" applyFill="1" applyBorder="1" applyAlignment="1" applyProtection="1">
      <alignment horizontal="center" vertical="center"/>
    </xf>
    <xf numFmtId="43" fontId="10" fillId="7" borderId="18" xfId="11" applyFont="1" applyFill="1" applyBorder="1" applyAlignment="1" applyProtection="1">
      <alignment horizontal="center" vertical="center"/>
    </xf>
    <xf numFmtId="1" fontId="9" fillId="7" borderId="3" xfId="0" applyNumberFormat="1" applyFont="1" applyFill="1" applyBorder="1" applyAlignment="1" applyProtection="1">
      <alignment horizontal="center" vertical="center"/>
    </xf>
    <xf numFmtId="1" fontId="9" fillId="7" borderId="4" xfId="0" applyNumberFormat="1" applyFont="1" applyFill="1" applyBorder="1" applyAlignment="1" applyProtection="1">
      <alignment horizontal="center" vertical="center"/>
    </xf>
    <xf numFmtId="1" fontId="9" fillId="7" borderId="5" xfId="0" applyNumberFormat="1" applyFont="1" applyFill="1" applyBorder="1" applyAlignment="1" applyProtection="1">
      <alignment horizontal="center" vertical="center"/>
    </xf>
    <xf numFmtId="0" fontId="9" fillId="0" borderId="0" xfId="0" applyFont="1" applyAlignment="1" applyProtection="1">
      <alignment horizontal="left" wrapText="1"/>
    </xf>
    <xf numFmtId="169" fontId="3" fillId="0" borderId="13" xfId="4" applyNumberFormat="1" applyFont="1" applyBorder="1" applyAlignment="1">
      <alignment horizontal="center" vertical="center"/>
    </xf>
    <xf numFmtId="169" fontId="3" fillId="0" borderId="19" xfId="4" applyNumberFormat="1" applyFont="1" applyBorder="1" applyAlignment="1">
      <alignment horizontal="center" vertical="center"/>
    </xf>
    <xf numFmtId="0" fontId="3" fillId="0" borderId="7" xfId="0" applyFont="1" applyBorder="1" applyAlignment="1">
      <alignment horizontal="left" vertical="center" wrapText="1"/>
    </xf>
    <xf numFmtId="0" fontId="3" fillId="0" borderId="14" xfId="0" applyFont="1" applyBorder="1" applyAlignment="1">
      <alignment horizontal="left" vertical="center" wrapText="1"/>
    </xf>
    <xf numFmtId="0" fontId="3" fillId="0" borderId="47"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60" xfId="0" applyFont="1" applyBorder="1" applyAlignment="1">
      <alignment horizontal="center" vertical="center" wrapText="1"/>
    </xf>
    <xf numFmtId="169" fontId="3" fillId="0" borderId="6" xfId="4" applyNumberFormat="1"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xf>
    <xf numFmtId="0" fontId="3" fillId="0" borderId="13" xfId="0" applyFont="1" applyBorder="1" applyAlignment="1">
      <alignment horizontal="center"/>
    </xf>
    <xf numFmtId="179" fontId="3" fillId="0" borderId="17"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1" fontId="3" fillId="0" borderId="7" xfId="0" applyNumberFormat="1" applyFont="1" applyBorder="1" applyAlignment="1">
      <alignment horizontal="center" vertical="center" wrapText="1"/>
    </xf>
    <xf numFmtId="1" fontId="3" fillId="0" borderId="16"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66" fontId="3" fillId="0" borderId="6" xfId="0" applyNumberFormat="1" applyFont="1" applyFill="1" applyBorder="1" applyAlignment="1">
      <alignment horizontal="center" vertical="center" wrapText="1"/>
    </xf>
    <xf numFmtId="166" fontId="3" fillId="0" borderId="13" xfId="0"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3" xfId="0" applyFont="1" applyFill="1" applyBorder="1" applyAlignment="1">
      <alignment horizontal="center" vertical="center" wrapText="1"/>
    </xf>
    <xf numFmtId="3" fontId="3" fillId="0" borderId="6"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173" fontId="3" fillId="0" borderId="6" xfId="8" applyNumberFormat="1" applyFont="1" applyFill="1" applyBorder="1" applyAlignment="1">
      <alignment horizontal="center" vertical="center"/>
    </xf>
    <xf numFmtId="173" fontId="3" fillId="0" borderId="13" xfId="8" applyNumberFormat="1" applyFont="1" applyFill="1" applyBorder="1" applyAlignment="1">
      <alignment horizontal="center" vertical="center"/>
    </xf>
    <xf numFmtId="9" fontId="3" fillId="0" borderId="6" xfId="0" applyNumberFormat="1"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readingOrder="2"/>
    </xf>
    <xf numFmtId="0" fontId="3" fillId="0" borderId="6" xfId="0" applyFont="1" applyFill="1" applyBorder="1" applyAlignment="1">
      <alignment horizontal="justify" vertical="center" wrapText="1" readingOrder="2"/>
    </xf>
    <xf numFmtId="0" fontId="3" fillId="0" borderId="6"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7" borderId="0" xfId="0" applyFont="1" applyFill="1" applyBorder="1" applyAlignment="1">
      <alignment horizontal="center" vertical="center" wrapText="1"/>
    </xf>
    <xf numFmtId="17" fontId="3" fillId="0" borderId="6"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3" fontId="3" fillId="0" borderId="19"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43" fontId="3" fillId="0" borderId="19" xfId="1" applyFont="1" applyFill="1" applyBorder="1" applyAlignment="1">
      <alignment horizontal="center" vertical="center" wrapText="1"/>
    </xf>
    <xf numFmtId="3" fontId="3" fillId="0" borderId="18" xfId="0" applyNumberFormat="1" applyFont="1" applyFill="1" applyBorder="1" applyAlignment="1">
      <alignment horizontal="center" vertical="center"/>
    </xf>
    <xf numFmtId="173" fontId="3" fillId="0" borderId="6" xfId="0" applyNumberFormat="1" applyFont="1" applyFill="1" applyBorder="1" applyAlignment="1">
      <alignment horizontal="center" vertical="center"/>
    </xf>
    <xf numFmtId="173" fontId="3" fillId="0" borderId="13" xfId="0" applyNumberFormat="1" applyFont="1" applyFill="1" applyBorder="1" applyAlignment="1">
      <alignment horizontal="center" vertical="center"/>
    </xf>
    <xf numFmtId="173" fontId="3" fillId="0" borderId="18" xfId="0" applyNumberFormat="1" applyFont="1" applyFill="1" applyBorder="1" applyAlignment="1">
      <alignment horizontal="center" vertical="center"/>
    </xf>
    <xf numFmtId="173" fontId="3" fillId="0" borderId="18" xfId="8" applyNumberFormat="1" applyFont="1" applyFill="1" applyBorder="1" applyAlignment="1">
      <alignment horizontal="center" vertical="center"/>
    </xf>
    <xf numFmtId="9" fontId="3" fillId="0" borderId="19" xfId="0" applyNumberFormat="1" applyFont="1" applyFill="1" applyBorder="1" applyAlignment="1">
      <alignment horizontal="center" vertical="center" wrapText="1"/>
    </xf>
    <xf numFmtId="0" fontId="3" fillId="0" borderId="13" xfId="0" applyFont="1" applyFill="1" applyBorder="1" applyAlignment="1">
      <alignment horizontal="justify" vertical="center" wrapText="1" readingOrder="2"/>
    </xf>
    <xf numFmtId="0" fontId="3" fillId="0" borderId="19" xfId="0" applyFont="1" applyFill="1" applyBorder="1" applyAlignment="1">
      <alignment horizontal="justify" vertical="center" wrapText="1" readingOrder="2"/>
    </xf>
    <xf numFmtId="0" fontId="3" fillId="0" borderId="19" xfId="0" applyFont="1" applyFill="1" applyBorder="1" applyAlignment="1">
      <alignment horizontal="justify" vertical="center" wrapText="1"/>
    </xf>
    <xf numFmtId="43" fontId="3" fillId="0" borderId="1" xfId="1" applyFont="1" applyFill="1" applyBorder="1" applyAlignment="1">
      <alignment horizontal="center" vertical="center" wrapText="1"/>
    </xf>
    <xf numFmtId="169" fontId="3" fillId="0" borderId="6" xfId="4" applyNumberFormat="1" applyFont="1" applyFill="1" applyBorder="1" applyAlignment="1">
      <alignment horizontal="center" vertical="center" wrapText="1"/>
    </xf>
    <xf numFmtId="169" fontId="3" fillId="0" borderId="13" xfId="4" applyNumberFormat="1" applyFont="1" applyFill="1" applyBorder="1" applyAlignment="1">
      <alignment horizontal="center" vertical="center" wrapText="1"/>
    </xf>
    <xf numFmtId="0" fontId="10" fillId="0" borderId="6" xfId="0" applyFont="1" applyFill="1" applyBorder="1" applyAlignment="1">
      <alignment horizontal="justify" vertical="center" wrapText="1"/>
    </xf>
    <xf numFmtId="0" fontId="10" fillId="0" borderId="13" xfId="0" applyFont="1" applyFill="1" applyBorder="1" applyAlignment="1">
      <alignment horizontal="justify" vertical="center" wrapText="1"/>
    </xf>
    <xf numFmtId="0" fontId="3" fillId="0" borderId="6" xfId="0" applyFont="1" applyFill="1" applyBorder="1" applyAlignment="1">
      <alignment horizontal="center" vertical="center" wrapText="1" readingOrder="2"/>
    </xf>
    <xf numFmtId="0" fontId="3" fillId="0" borderId="13" xfId="0" applyFont="1" applyFill="1" applyBorder="1" applyAlignment="1">
      <alignment horizontal="center" vertical="center" wrapText="1" readingOrder="2"/>
    </xf>
    <xf numFmtId="0" fontId="10" fillId="0" borderId="18" xfId="0" applyFont="1" applyFill="1" applyBorder="1" applyAlignment="1">
      <alignment horizontal="justify" vertical="center" wrapText="1"/>
    </xf>
    <xf numFmtId="0" fontId="10" fillId="0" borderId="6" xfId="0" applyFont="1" applyFill="1" applyBorder="1" applyAlignment="1">
      <alignment horizontal="center" vertical="center" wrapText="1"/>
    </xf>
    <xf numFmtId="0" fontId="10" fillId="0" borderId="13" xfId="0" applyFont="1" applyFill="1" applyBorder="1" applyAlignment="1">
      <alignment horizontal="center" vertical="center" wrapText="1"/>
    </xf>
    <xf numFmtId="169" fontId="3" fillId="0" borderId="18" xfId="4" applyNumberFormat="1" applyFont="1" applyFill="1" applyBorder="1" applyAlignment="1">
      <alignment horizontal="center" vertical="center" wrapText="1"/>
    </xf>
    <xf numFmtId="0" fontId="3" fillId="0" borderId="18" xfId="0" applyFont="1" applyFill="1" applyBorder="1" applyAlignment="1">
      <alignment horizontal="center" vertical="center" wrapText="1" readingOrder="2"/>
    </xf>
    <xf numFmtId="0" fontId="10" fillId="0" borderId="18" xfId="0" applyFont="1" applyFill="1" applyBorder="1" applyAlignment="1">
      <alignment horizontal="center" vertical="center" wrapText="1"/>
    </xf>
    <xf numFmtId="9" fontId="3" fillId="0" borderId="18" xfId="0" applyNumberFormat="1" applyFont="1" applyFill="1" applyBorder="1" applyAlignment="1">
      <alignment horizontal="center" vertical="center" wrapText="1"/>
    </xf>
    <xf numFmtId="9" fontId="3" fillId="0" borderId="6" xfId="4" applyFont="1" applyFill="1" applyBorder="1" applyAlignment="1">
      <alignment horizontal="center" vertical="center" wrapText="1"/>
    </xf>
    <xf numFmtId="9" fontId="3" fillId="0" borderId="13" xfId="4" applyFont="1" applyFill="1" applyBorder="1" applyAlignment="1">
      <alignment horizontal="center" vertical="center" wrapText="1"/>
    </xf>
    <xf numFmtId="9" fontId="3" fillId="0" borderId="18" xfId="4" applyFont="1" applyFill="1" applyBorder="1" applyAlignment="1">
      <alignment horizontal="center" vertical="center" wrapText="1"/>
    </xf>
    <xf numFmtId="0" fontId="3" fillId="0" borderId="18" xfId="0" applyFont="1" applyFill="1" applyBorder="1" applyAlignment="1">
      <alignment horizontal="justify" vertical="center" wrapText="1"/>
    </xf>
    <xf numFmtId="0" fontId="3" fillId="7" borderId="5" xfId="0" applyFont="1" applyFill="1" applyBorder="1" applyAlignment="1">
      <alignment horizontal="center" vertical="center" wrapText="1"/>
    </xf>
    <xf numFmtId="1" fontId="3" fillId="7" borderId="13" xfId="0" applyNumberFormat="1" applyFont="1" applyFill="1" applyBorder="1" applyAlignment="1">
      <alignment horizontal="center" vertical="center" wrapText="1"/>
    </xf>
    <xf numFmtId="178" fontId="3" fillId="7" borderId="1" xfId="0" applyNumberFormat="1" applyFont="1" applyFill="1" applyBorder="1" applyAlignment="1">
      <alignment horizontal="center" vertical="center" wrapText="1"/>
    </xf>
    <xf numFmtId="179" fontId="3" fillId="7" borderId="13" xfId="0" applyNumberFormat="1" applyFont="1" applyFill="1" applyBorder="1" applyAlignment="1">
      <alignment horizontal="center" vertical="center" wrapText="1"/>
    </xf>
    <xf numFmtId="9" fontId="3" fillId="7" borderId="6" xfId="4" applyNumberFormat="1" applyFont="1" applyFill="1" applyBorder="1" applyAlignment="1">
      <alignment horizontal="center" vertical="center"/>
    </xf>
    <xf numFmtId="9" fontId="3" fillId="7" borderId="13" xfId="4" applyNumberFormat="1" applyFont="1" applyFill="1" applyBorder="1" applyAlignment="1">
      <alignment horizontal="center" vertical="center"/>
    </xf>
    <xf numFmtId="14" fontId="3" fillId="0" borderId="1" xfId="0" applyNumberFormat="1" applyFont="1" applyBorder="1" applyAlignment="1">
      <alignment horizontal="center" vertical="center"/>
    </xf>
    <xf numFmtId="181" fontId="3" fillId="0" borderId="6" xfId="0" applyNumberFormat="1" applyFont="1" applyBorder="1" applyAlignment="1">
      <alignment horizontal="center" vertical="center"/>
    </xf>
    <xf numFmtId="179" fontId="3" fillId="0" borderId="6" xfId="0" applyNumberFormat="1" applyFont="1" applyBorder="1" applyAlignment="1">
      <alignment horizontal="center" vertical="center"/>
    </xf>
    <xf numFmtId="179" fontId="3" fillId="0" borderId="13" xfId="0" applyNumberFormat="1" applyFont="1" applyBorder="1" applyAlignment="1">
      <alignment horizontal="center" vertical="center"/>
    </xf>
    <xf numFmtId="179" fontId="3" fillId="0" borderId="18" xfId="0" applyNumberFormat="1" applyFont="1" applyBorder="1" applyAlignment="1">
      <alignment horizontal="center" vertical="center"/>
    </xf>
    <xf numFmtId="179" fontId="3" fillId="7" borderId="6" xfId="3" applyNumberFormat="1" applyFont="1" applyFill="1" applyBorder="1" applyAlignment="1">
      <alignment horizontal="center" vertical="center"/>
    </xf>
    <xf numFmtId="179" fontId="3" fillId="7" borderId="13" xfId="3" applyNumberFormat="1" applyFont="1" applyFill="1" applyBorder="1" applyAlignment="1">
      <alignment horizontal="center" vertical="center"/>
    </xf>
    <xf numFmtId="179" fontId="3" fillId="7" borderId="18" xfId="3" applyNumberFormat="1" applyFont="1" applyFill="1" applyBorder="1" applyAlignment="1">
      <alignment horizontal="center" vertical="center"/>
    </xf>
    <xf numFmtId="179" fontId="3" fillId="7" borderId="1" xfId="3" applyNumberFormat="1" applyFont="1" applyFill="1" applyBorder="1" applyAlignment="1">
      <alignment horizontal="center" vertical="center"/>
    </xf>
    <xf numFmtId="178" fontId="3" fillId="7" borderId="6" xfId="0" applyNumberFormat="1" applyFont="1" applyFill="1" applyBorder="1" applyAlignment="1">
      <alignment horizontal="center" vertical="center" wrapText="1"/>
    </xf>
    <xf numFmtId="178" fontId="3" fillId="7" borderId="13" xfId="0" applyNumberFormat="1" applyFont="1" applyFill="1" applyBorder="1" applyAlignment="1">
      <alignment horizontal="center" vertical="center" wrapText="1"/>
    </xf>
    <xf numFmtId="179" fontId="3" fillId="7" borderId="6" xfId="0" applyNumberFormat="1" applyFont="1" applyFill="1" applyBorder="1" applyAlignment="1">
      <alignment horizontal="center" vertical="center" wrapText="1"/>
    </xf>
    <xf numFmtId="43" fontId="3" fillId="7" borderId="6" xfId="19" applyFont="1" applyFill="1" applyBorder="1" applyAlignment="1">
      <alignment horizontal="justify" vertical="center" wrapText="1"/>
    </xf>
    <xf numFmtId="43" fontId="3" fillId="7" borderId="13" xfId="19" applyFont="1" applyFill="1" applyBorder="1" applyAlignment="1">
      <alignment horizontal="justify" vertical="center" wrapText="1"/>
    </xf>
    <xf numFmtId="0" fontId="3" fillId="0" borderId="5" xfId="0" applyFont="1" applyBorder="1" applyAlignment="1">
      <alignment horizontal="center" vertical="center" wrapText="1"/>
    </xf>
    <xf numFmtId="0" fontId="10" fillId="7" borderId="6" xfId="0" applyFont="1" applyFill="1" applyBorder="1" applyAlignment="1">
      <alignment horizontal="center" vertical="center"/>
    </xf>
    <xf numFmtId="0" fontId="10" fillId="7" borderId="13" xfId="0" applyFont="1" applyFill="1" applyBorder="1" applyAlignment="1">
      <alignment horizontal="center" vertical="center"/>
    </xf>
    <xf numFmtId="2" fontId="10" fillId="7" borderId="6" xfId="0" applyNumberFormat="1" applyFont="1" applyFill="1" applyBorder="1" applyAlignment="1">
      <alignment horizontal="center" vertical="center"/>
    </xf>
    <xf numFmtId="2" fontId="10" fillId="7" borderId="13" xfId="0" applyNumberFormat="1" applyFont="1" applyFill="1" applyBorder="1" applyAlignment="1">
      <alignment horizontal="center" vertical="center"/>
    </xf>
    <xf numFmtId="169" fontId="10" fillId="7" borderId="6" xfId="13" applyNumberFormat="1" applyFont="1" applyFill="1" applyBorder="1" applyAlignment="1">
      <alignment horizontal="center" vertical="center"/>
    </xf>
    <xf numFmtId="169" fontId="10" fillId="7" borderId="13" xfId="13" applyNumberFormat="1" applyFont="1" applyFill="1" applyBorder="1" applyAlignment="1">
      <alignment horizontal="center" vertical="center"/>
    </xf>
    <xf numFmtId="14" fontId="10" fillId="7" borderId="7" xfId="0" applyNumberFormat="1" applyFont="1" applyFill="1" applyBorder="1" applyAlignment="1">
      <alignment horizontal="center" vertical="center"/>
    </xf>
    <xf numFmtId="14" fontId="10" fillId="7" borderId="16" xfId="0" applyNumberFormat="1" applyFont="1" applyFill="1" applyBorder="1" applyAlignment="1">
      <alignment horizontal="center" vertical="center"/>
    </xf>
    <xf numFmtId="0" fontId="10" fillId="7" borderId="18" xfId="0" applyFont="1" applyFill="1" applyBorder="1" applyAlignment="1">
      <alignment horizontal="center" vertical="center"/>
    </xf>
    <xf numFmtId="172" fontId="10" fillId="7" borderId="6" xfId="0" applyNumberFormat="1" applyFont="1" applyFill="1" applyBorder="1" applyAlignment="1">
      <alignment horizontal="center" vertical="center"/>
    </xf>
    <xf numFmtId="172" fontId="10" fillId="7" borderId="13" xfId="0" applyNumberFormat="1" applyFont="1" applyFill="1" applyBorder="1" applyAlignment="1">
      <alignment horizontal="center" vertical="center"/>
    </xf>
    <xf numFmtId="172" fontId="10" fillId="7" borderId="18" xfId="0" applyNumberFormat="1" applyFont="1" applyFill="1" applyBorder="1" applyAlignment="1">
      <alignment horizontal="center" vertical="center"/>
    </xf>
    <xf numFmtId="169" fontId="10" fillId="7" borderId="6" xfId="4" applyNumberFormat="1" applyFont="1" applyFill="1" applyBorder="1" applyAlignment="1">
      <alignment horizontal="center" vertical="center"/>
    </xf>
    <xf numFmtId="169" fontId="10" fillId="7" borderId="13" xfId="4" applyNumberFormat="1" applyFont="1" applyFill="1" applyBorder="1" applyAlignment="1">
      <alignment horizontal="center" vertical="center"/>
    </xf>
    <xf numFmtId="9" fontId="10" fillId="7" borderId="6" xfId="13" applyFont="1" applyFill="1" applyBorder="1" applyAlignment="1">
      <alignment horizontal="center" vertical="center"/>
    </xf>
    <xf numFmtId="9" fontId="10" fillId="7" borderId="13" xfId="13" applyFont="1" applyFill="1" applyBorder="1" applyAlignment="1">
      <alignment horizontal="center" vertical="center"/>
    </xf>
    <xf numFmtId="14" fontId="10" fillId="7" borderId="18" xfId="0" applyNumberFormat="1" applyFont="1" applyFill="1" applyBorder="1" applyAlignment="1">
      <alignment horizontal="center" vertical="center"/>
    </xf>
    <xf numFmtId="0" fontId="10" fillId="7" borderId="1" xfId="0" applyFont="1" applyFill="1" applyBorder="1" applyAlignment="1">
      <alignment horizontal="center" vertical="center"/>
    </xf>
    <xf numFmtId="1" fontId="10" fillId="7" borderId="6" xfId="0" applyNumberFormat="1" applyFont="1" applyFill="1" applyBorder="1" applyAlignment="1">
      <alignment horizontal="center" vertical="center"/>
    </xf>
    <xf numFmtId="49" fontId="10" fillId="7" borderId="6" xfId="18" applyNumberFormat="1" applyFont="1" applyFill="1" applyBorder="1" applyAlignment="1">
      <alignment horizontal="center" vertical="center" wrapText="1"/>
    </xf>
    <xf numFmtId="49" fontId="10" fillId="7" borderId="13" xfId="18" applyNumberFormat="1" applyFont="1" applyFill="1" applyBorder="1" applyAlignment="1">
      <alignment horizontal="center" vertical="center" wrapText="1"/>
    </xf>
    <xf numFmtId="1" fontId="10" fillId="7" borderId="13" xfId="0" applyNumberFormat="1" applyFont="1" applyFill="1" applyBorder="1" applyAlignment="1">
      <alignment horizontal="center" vertical="center"/>
    </xf>
    <xf numFmtId="169" fontId="10" fillId="7" borderId="18" xfId="4" applyNumberFormat="1" applyFont="1" applyFill="1" applyBorder="1" applyAlignment="1">
      <alignment horizontal="center" vertical="center"/>
    </xf>
    <xf numFmtId="43" fontId="10" fillId="7" borderId="18" xfId="1" applyFont="1" applyFill="1" applyBorder="1" applyAlignment="1">
      <alignment horizontal="center" vertical="center"/>
    </xf>
    <xf numFmtId="43" fontId="10" fillId="7" borderId="1" xfId="1" applyFont="1" applyFill="1" applyBorder="1" applyAlignment="1">
      <alignment horizontal="center" vertical="center"/>
    </xf>
    <xf numFmtId="2" fontId="10" fillId="7" borderId="18" xfId="0" applyNumberFormat="1" applyFont="1" applyFill="1" applyBorder="1" applyAlignment="1">
      <alignment horizontal="center" vertical="center"/>
    </xf>
    <xf numFmtId="169" fontId="10" fillId="7" borderId="1" xfId="13" applyNumberFormat="1" applyFont="1" applyFill="1" applyBorder="1" applyAlignment="1">
      <alignment horizontal="center" vertical="center"/>
    </xf>
    <xf numFmtId="0" fontId="10" fillId="0" borderId="8" xfId="0" applyFont="1" applyBorder="1" applyAlignment="1">
      <alignment horizontal="justify" vertical="center" wrapText="1"/>
    </xf>
    <xf numFmtId="0" fontId="10" fillId="0" borderId="17" xfId="0" applyFont="1" applyBorder="1" applyAlignment="1">
      <alignment horizontal="justify" vertical="center" wrapText="1"/>
    </xf>
    <xf numFmtId="0" fontId="10" fillId="0" borderId="15" xfId="0" applyFont="1" applyBorder="1" applyAlignment="1">
      <alignment horizontal="justify" vertical="center" wrapText="1"/>
    </xf>
    <xf numFmtId="178" fontId="10" fillId="7" borderId="6" xfId="0" applyNumberFormat="1" applyFont="1" applyFill="1" applyBorder="1" applyAlignment="1">
      <alignment horizontal="center" vertical="center" wrapText="1"/>
    </xf>
    <xf numFmtId="178" fontId="10" fillId="7" borderId="13" xfId="0" applyNumberFormat="1" applyFont="1" applyFill="1" applyBorder="1" applyAlignment="1">
      <alignment horizontal="center" vertical="center" wrapText="1"/>
    </xf>
    <xf numFmtId="179" fontId="10" fillId="7" borderId="13" xfId="0" applyNumberFormat="1" applyFont="1" applyFill="1" applyBorder="1" applyAlignment="1">
      <alignment horizontal="center" vertical="center" wrapText="1"/>
    </xf>
    <xf numFmtId="14" fontId="10" fillId="0" borderId="1" xfId="0" applyNumberFormat="1" applyFont="1" applyBorder="1" applyAlignment="1">
      <alignment horizontal="center" vertical="center"/>
    </xf>
    <xf numFmtId="14" fontId="10" fillId="0" borderId="6" xfId="0" applyNumberFormat="1" applyFont="1" applyBorder="1" applyAlignment="1">
      <alignment horizontal="center" vertical="center"/>
    </xf>
    <xf numFmtId="14" fontId="10" fillId="0" borderId="13" xfId="0" applyNumberFormat="1" applyFont="1" applyBorder="1" applyAlignment="1">
      <alignment horizontal="center" vertical="center"/>
    </xf>
    <xf numFmtId="14" fontId="10" fillId="0" borderId="18" xfId="0" applyNumberFormat="1" applyFont="1" applyBorder="1" applyAlignment="1">
      <alignment horizontal="center" vertical="center"/>
    </xf>
    <xf numFmtId="14" fontId="10" fillId="0" borderId="7" xfId="0" applyNumberFormat="1" applyFont="1" applyBorder="1" applyAlignment="1">
      <alignment horizontal="center" vertical="center"/>
    </xf>
    <xf numFmtId="14" fontId="10" fillId="0" borderId="16" xfId="0" applyNumberFormat="1" applyFont="1" applyBorder="1" applyAlignment="1">
      <alignment horizontal="center" vertical="center"/>
    </xf>
    <xf numFmtId="14" fontId="10" fillId="0" borderId="14" xfId="0" applyNumberFormat="1" applyFont="1" applyBorder="1" applyAlignment="1">
      <alignment horizontal="center" vertical="center"/>
    </xf>
    <xf numFmtId="3" fontId="10" fillId="0" borderId="6" xfId="0" applyNumberFormat="1" applyFont="1" applyBorder="1" applyAlignment="1">
      <alignment horizontal="center" vertical="center"/>
    </xf>
    <xf numFmtId="3" fontId="10" fillId="0" borderId="13" xfId="0" applyNumberFormat="1" applyFont="1" applyBorder="1" applyAlignment="1">
      <alignment horizontal="center" vertical="center"/>
    </xf>
    <xf numFmtId="3" fontId="10" fillId="0" borderId="18" xfId="0" applyNumberFormat="1" applyFont="1" applyBorder="1" applyAlignment="1">
      <alignment horizontal="center" vertical="center"/>
    </xf>
    <xf numFmtId="9" fontId="10" fillId="7" borderId="6" xfId="0" applyNumberFormat="1" applyFont="1" applyFill="1" applyBorder="1" applyAlignment="1">
      <alignment horizontal="center" vertical="center"/>
    </xf>
    <xf numFmtId="9" fontId="10" fillId="7" borderId="13" xfId="0" applyNumberFormat="1" applyFont="1" applyFill="1" applyBorder="1" applyAlignment="1">
      <alignment horizontal="center" vertical="center"/>
    </xf>
    <xf numFmtId="9" fontId="10" fillId="7" borderId="18" xfId="0" applyNumberFormat="1" applyFont="1" applyFill="1" applyBorder="1" applyAlignment="1">
      <alignment horizontal="center" vertical="center"/>
    </xf>
    <xf numFmtId="180" fontId="10" fillId="0" borderId="6" xfId="0" applyNumberFormat="1" applyFont="1" applyBorder="1" applyAlignment="1">
      <alignment horizontal="center" vertical="center"/>
    </xf>
    <xf numFmtId="180" fontId="10" fillId="0" borderId="13" xfId="0" applyNumberFormat="1" applyFont="1" applyBorder="1" applyAlignment="1">
      <alignment horizontal="center" vertical="center"/>
    </xf>
    <xf numFmtId="180" fontId="10" fillId="0" borderId="18" xfId="0" applyNumberFormat="1" applyFont="1" applyBorder="1" applyAlignment="1">
      <alignment horizontal="center" vertical="center"/>
    </xf>
    <xf numFmtId="180" fontId="10" fillId="0" borderId="6" xfId="0" applyNumberFormat="1" applyFont="1" applyBorder="1" applyAlignment="1">
      <alignment horizontal="center" vertical="center" wrapText="1"/>
    </xf>
    <xf numFmtId="3" fontId="10" fillId="7" borderId="6" xfId="0" applyNumberFormat="1" applyFont="1" applyFill="1" applyBorder="1" applyAlignment="1">
      <alignment horizontal="center" vertical="center"/>
    </xf>
    <xf numFmtId="3" fontId="10" fillId="7" borderId="13" xfId="0" applyNumberFormat="1" applyFont="1" applyFill="1" applyBorder="1" applyAlignment="1">
      <alignment horizontal="center" vertical="center"/>
    </xf>
    <xf numFmtId="3" fontId="10" fillId="7" borderId="18" xfId="0" applyNumberFormat="1" applyFont="1" applyFill="1" applyBorder="1" applyAlignment="1">
      <alignment horizontal="center" vertical="center"/>
    </xf>
    <xf numFmtId="3" fontId="10" fillId="7" borderId="6" xfId="8" applyNumberFormat="1" applyFont="1" applyFill="1" applyBorder="1" applyAlignment="1">
      <alignment horizontal="center" vertical="center"/>
    </xf>
    <xf numFmtId="3" fontId="10" fillId="7" borderId="13" xfId="8" applyNumberFormat="1" applyFont="1" applyFill="1" applyBorder="1" applyAlignment="1">
      <alignment horizontal="center" vertical="center"/>
    </xf>
    <xf numFmtId="3" fontId="10" fillId="7" borderId="18" xfId="8" applyNumberFormat="1" applyFont="1" applyFill="1" applyBorder="1" applyAlignment="1">
      <alignment horizontal="center" vertical="center"/>
    </xf>
    <xf numFmtId="0" fontId="10" fillId="7" borderId="3" xfId="0" applyFont="1" applyFill="1" applyBorder="1" applyAlignment="1">
      <alignment horizontal="justify" vertical="center" wrapText="1"/>
    </xf>
    <xf numFmtId="169" fontId="10" fillId="7" borderId="18" xfId="13" applyNumberFormat="1" applyFont="1" applyFill="1" applyBorder="1" applyAlignment="1">
      <alignment horizontal="center" vertical="center"/>
    </xf>
    <xf numFmtId="179" fontId="10" fillId="0" borderId="6" xfId="0" applyNumberFormat="1" applyFont="1" applyBorder="1" applyAlignment="1">
      <alignment horizontal="center" vertical="center" wrapText="1"/>
    </xf>
    <xf numFmtId="179" fontId="10" fillId="0" borderId="13" xfId="0" applyNumberFormat="1" applyFont="1" applyBorder="1" applyAlignment="1">
      <alignment horizontal="center" vertical="center" wrapText="1"/>
    </xf>
    <xf numFmtId="179" fontId="10" fillId="0" borderId="18" xfId="0" applyNumberFormat="1" applyFont="1" applyBorder="1" applyAlignment="1">
      <alignment horizontal="center" vertical="center" wrapText="1"/>
    </xf>
    <xf numFmtId="0" fontId="10" fillId="7" borderId="9" xfId="0" applyFont="1" applyFill="1" applyBorder="1" applyAlignment="1">
      <alignment horizontal="justify" vertical="center" wrapText="1"/>
    </xf>
    <xf numFmtId="0" fontId="10" fillId="7" borderId="0" xfId="0" applyFont="1" applyFill="1" applyAlignment="1">
      <alignment horizontal="justify" vertical="center" wrapText="1"/>
    </xf>
    <xf numFmtId="0" fontId="10" fillId="7" borderId="2" xfId="0" applyFont="1" applyFill="1" applyBorder="1" applyAlignment="1">
      <alignment horizontal="justify" vertical="center" wrapText="1"/>
    </xf>
    <xf numFmtId="9" fontId="10" fillId="7" borderId="13" xfId="13" applyNumberFormat="1" applyFont="1" applyFill="1" applyBorder="1" applyAlignment="1">
      <alignment horizontal="center" vertical="center"/>
    </xf>
    <xf numFmtId="0" fontId="10" fillId="0" borderId="17" xfId="0" applyFont="1" applyBorder="1" applyAlignment="1">
      <alignment horizontal="center" vertical="center" wrapText="1"/>
    </xf>
    <xf numFmtId="1" fontId="10" fillId="7" borderId="18" xfId="6" applyNumberFormat="1" applyFont="1" applyFill="1" applyBorder="1" applyAlignment="1">
      <alignment horizontal="center" vertical="center" wrapText="1"/>
    </xf>
    <xf numFmtId="1" fontId="10" fillId="7" borderId="6" xfId="6" applyNumberFormat="1" applyFont="1" applyFill="1" applyBorder="1" applyAlignment="1">
      <alignment horizontal="center" vertical="center" wrapText="1"/>
    </xf>
    <xf numFmtId="2" fontId="10" fillId="7" borderId="6" xfId="6" applyNumberFormat="1" applyFont="1" applyFill="1" applyBorder="1" applyAlignment="1">
      <alignment horizontal="center" vertical="center" wrapText="1"/>
    </xf>
    <xf numFmtId="2" fontId="10" fillId="7" borderId="13" xfId="6" applyNumberFormat="1" applyFont="1" applyFill="1" applyBorder="1" applyAlignment="1">
      <alignment horizontal="center" vertical="center" wrapText="1"/>
    </xf>
    <xf numFmtId="2" fontId="10" fillId="7" borderId="18" xfId="6" applyNumberFormat="1" applyFont="1" applyFill="1" applyBorder="1" applyAlignment="1">
      <alignment horizontal="center" vertical="center" wrapText="1"/>
    </xf>
    <xf numFmtId="2" fontId="10" fillId="7" borderId="6" xfId="0" applyNumberFormat="1" applyFont="1" applyFill="1" applyBorder="1" applyAlignment="1">
      <alignment horizontal="center" vertical="center" wrapText="1"/>
    </xf>
    <xf numFmtId="2" fontId="10" fillId="7" borderId="13" xfId="0" applyNumberFormat="1" applyFont="1" applyFill="1" applyBorder="1" applyAlignment="1">
      <alignment horizontal="center" vertical="center" wrapText="1"/>
    </xf>
    <xf numFmtId="2" fontId="10" fillId="7" borderId="18" xfId="0" applyNumberFormat="1" applyFont="1" applyFill="1" applyBorder="1" applyAlignment="1">
      <alignment horizontal="center" vertical="center" wrapText="1"/>
    </xf>
    <xf numFmtId="14" fontId="10" fillId="0" borderId="15" xfId="0" applyNumberFormat="1" applyFont="1" applyBorder="1" applyAlignment="1">
      <alignment horizontal="center" vertical="center"/>
    </xf>
    <xf numFmtId="14" fontId="10" fillId="0" borderId="5" xfId="0" applyNumberFormat="1" applyFont="1" applyBorder="1" applyAlignment="1">
      <alignment horizontal="center" vertical="center"/>
    </xf>
    <xf numFmtId="0" fontId="9" fillId="5" borderId="1"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178" fontId="10" fillId="7" borderId="18" xfId="0" applyNumberFormat="1" applyFont="1" applyFill="1" applyBorder="1" applyAlignment="1">
      <alignment horizontal="center" vertical="center" wrapText="1"/>
    </xf>
    <xf numFmtId="0" fontId="9" fillId="5" borderId="1" xfId="0" applyFont="1" applyFill="1" applyBorder="1" applyAlignment="1">
      <alignment horizontal="center" vertical="center" textRotation="90" wrapText="1"/>
    </xf>
    <xf numFmtId="3" fontId="9" fillId="5" borderId="1" xfId="0" applyNumberFormat="1" applyFont="1" applyFill="1" applyBorder="1" applyAlignment="1">
      <alignment horizontal="center" vertical="center" wrapText="1"/>
    </xf>
    <xf numFmtId="9" fontId="9" fillId="5" borderId="1" xfId="6" applyFont="1" applyFill="1" applyBorder="1" applyAlignment="1">
      <alignment horizontal="center" vertical="center" wrapText="1"/>
    </xf>
    <xf numFmtId="3" fontId="9" fillId="5" borderId="6" xfId="0" applyNumberFormat="1" applyFont="1" applyFill="1" applyBorder="1" applyAlignment="1">
      <alignment horizontal="center" vertical="center" wrapText="1"/>
    </xf>
    <xf numFmtId="3" fontId="9" fillId="5" borderId="13" xfId="0" applyNumberFormat="1" applyFont="1" applyFill="1" applyBorder="1" applyAlignment="1">
      <alignment horizontal="center" vertical="center" wrapText="1"/>
    </xf>
    <xf numFmtId="3" fontId="9" fillId="5" borderId="18" xfId="0" applyNumberFormat="1" applyFont="1" applyFill="1" applyBorder="1" applyAlignment="1">
      <alignment horizontal="center" vertical="center" wrapText="1"/>
    </xf>
    <xf numFmtId="49" fontId="9" fillId="5" borderId="1" xfId="0" applyNumberFormat="1" applyFont="1" applyFill="1" applyBorder="1" applyAlignment="1">
      <alignment horizontal="center" vertical="center" textRotation="90" wrapText="1"/>
    </xf>
    <xf numFmtId="0" fontId="9" fillId="4" borderId="7"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7" xfId="0" applyFont="1" applyFill="1" applyBorder="1" applyAlignment="1">
      <alignment horizontal="center" vertical="center" textRotation="90" wrapText="1"/>
    </xf>
    <xf numFmtId="0" fontId="9" fillId="4" borderId="8" xfId="0" applyFont="1" applyFill="1" applyBorder="1" applyAlignment="1">
      <alignment horizontal="center" vertical="center" textRotation="90" wrapText="1"/>
    </xf>
    <xf numFmtId="0" fontId="9" fillId="4" borderId="14" xfId="0" applyFont="1" applyFill="1" applyBorder="1" applyAlignment="1">
      <alignment horizontal="center" vertical="center" textRotation="90" wrapText="1"/>
    </xf>
    <xf numFmtId="0" fontId="9" fillId="4" borderId="15" xfId="0" applyFont="1" applyFill="1" applyBorder="1" applyAlignment="1">
      <alignment horizontal="center" vertical="center" textRotation="90" wrapText="1"/>
    </xf>
    <xf numFmtId="165" fontId="9" fillId="5" borderId="10" xfId="17" applyFont="1" applyFill="1" applyBorder="1" applyAlignment="1">
      <alignment horizontal="center" vertical="center"/>
    </xf>
    <xf numFmtId="165" fontId="9" fillId="5" borderId="11" xfId="17" applyFont="1" applyFill="1" applyBorder="1" applyAlignment="1">
      <alignment horizontal="center" vertical="center"/>
    </xf>
    <xf numFmtId="165" fontId="9" fillId="5" borderId="12" xfId="17" applyFont="1" applyFill="1" applyBorder="1" applyAlignment="1">
      <alignment horizontal="center" vertical="center"/>
    </xf>
    <xf numFmtId="166" fontId="9" fillId="5" borderId="1" xfId="0" applyNumberFormat="1" applyFont="1" applyFill="1" applyBorder="1" applyAlignment="1">
      <alignment horizontal="center" vertical="center" wrapText="1"/>
    </xf>
    <xf numFmtId="166" fontId="9" fillId="5" borderId="7" xfId="0" applyNumberFormat="1" applyFont="1" applyFill="1" applyBorder="1" applyAlignment="1">
      <alignment horizontal="center" vertical="center" wrapText="1"/>
    </xf>
    <xf numFmtId="166" fontId="9" fillId="5" borderId="8" xfId="0" applyNumberFormat="1" applyFont="1" applyFill="1" applyBorder="1" applyAlignment="1">
      <alignment horizontal="center" vertical="center" wrapText="1"/>
    </xf>
    <xf numFmtId="166" fontId="9" fillId="5" borderId="14" xfId="0" applyNumberFormat="1" applyFont="1" applyFill="1" applyBorder="1" applyAlignment="1">
      <alignment horizontal="center" vertical="center" wrapText="1"/>
    </xf>
    <xf numFmtId="166" fontId="9" fillId="5" borderId="15" xfId="0" applyNumberFormat="1" applyFont="1" applyFill="1" applyBorder="1" applyAlignment="1">
      <alignment horizontal="center" vertical="center" wrapText="1"/>
    </xf>
    <xf numFmtId="0" fontId="9" fillId="5" borderId="13" xfId="0" applyFont="1" applyFill="1" applyBorder="1" applyAlignment="1">
      <alignment horizontal="center" vertical="center" wrapText="1"/>
    </xf>
    <xf numFmtId="171" fontId="9" fillId="5" borderId="7" xfId="0" applyNumberFormat="1" applyFont="1" applyFill="1" applyBorder="1" applyAlignment="1">
      <alignment horizontal="center" vertical="center" wrapText="1"/>
    </xf>
    <xf numFmtId="171" fontId="9" fillId="5" borderId="9" xfId="0" applyNumberFormat="1" applyFont="1" applyFill="1" applyBorder="1" applyAlignment="1">
      <alignment horizontal="center" vertical="center" wrapText="1"/>
    </xf>
    <xf numFmtId="171" fontId="9" fillId="5" borderId="8" xfId="0" applyNumberFormat="1" applyFont="1" applyFill="1" applyBorder="1" applyAlignment="1">
      <alignment horizontal="center" vertical="center" wrapText="1"/>
    </xf>
    <xf numFmtId="171" fontId="9" fillId="5" borderId="16" xfId="0" applyNumberFormat="1" applyFont="1" applyFill="1" applyBorder="1" applyAlignment="1">
      <alignment horizontal="center" vertical="center" wrapText="1"/>
    </xf>
    <xf numFmtId="171" fontId="9" fillId="5" borderId="0" xfId="0" applyNumberFormat="1" applyFont="1" applyFill="1" applyAlignment="1">
      <alignment horizontal="center" vertical="center" wrapText="1"/>
    </xf>
    <xf numFmtId="171" fontId="9" fillId="5" borderId="17" xfId="0" applyNumberFormat="1" applyFont="1" applyFill="1" applyBorder="1" applyAlignment="1">
      <alignment horizontal="center" vertical="center" wrapText="1"/>
    </xf>
    <xf numFmtId="171" fontId="9" fillId="5" borderId="6" xfId="0" applyNumberFormat="1" applyFont="1" applyFill="1" applyBorder="1" applyAlignment="1">
      <alignment horizontal="center" vertical="center" wrapText="1"/>
    </xf>
    <xf numFmtId="171" fontId="9" fillId="5" borderId="13" xfId="0" applyNumberFormat="1" applyFont="1" applyFill="1" applyBorder="1" applyAlignment="1">
      <alignment horizontal="center" vertical="center" wrapText="1"/>
    </xf>
    <xf numFmtId="171" fontId="9" fillId="5" borderId="18" xfId="0" applyNumberFormat="1"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0" borderId="0" xfId="0" applyFont="1" applyAlignment="1">
      <alignment horizontal="center" vertical="center"/>
    </xf>
    <xf numFmtId="0" fontId="9" fillId="0" borderId="17" xfId="0" applyFont="1" applyBorder="1" applyAlignment="1">
      <alignment horizontal="center" vertical="center"/>
    </xf>
    <xf numFmtId="0" fontId="9" fillId="5" borderId="15" xfId="0" applyFont="1" applyFill="1" applyBorder="1" applyAlignment="1">
      <alignment horizontal="center" vertical="center" wrapText="1"/>
    </xf>
    <xf numFmtId="0" fontId="2" fillId="0" borderId="0" xfId="0" applyFont="1" applyAlignment="1">
      <alignment horizontal="center" vertical="center" wrapText="1"/>
    </xf>
    <xf numFmtId="49" fontId="4" fillId="3" borderId="1" xfId="0" applyNumberFormat="1" applyFont="1" applyFill="1" applyBorder="1" applyAlignment="1">
      <alignment horizontal="center" vertical="center" textRotation="90" wrapText="1"/>
    </xf>
    <xf numFmtId="0" fontId="2" fillId="10" borderId="3" xfId="0" applyFont="1" applyFill="1" applyBorder="1" applyAlignment="1">
      <alignment horizontal="center" vertical="center"/>
    </xf>
    <xf numFmtId="0" fontId="2" fillId="10" borderId="4" xfId="0" applyFont="1" applyFill="1" applyBorder="1" applyAlignment="1">
      <alignment horizontal="center" vertical="center"/>
    </xf>
    <xf numFmtId="0" fontId="3" fillId="7" borderId="19" xfId="0" applyFont="1" applyFill="1" applyBorder="1" applyAlignment="1">
      <alignment horizontal="center" vertical="center" wrapText="1"/>
    </xf>
    <xf numFmtId="0" fontId="3" fillId="0" borderId="19" xfId="0" applyFont="1" applyBorder="1" applyAlignment="1">
      <alignment horizontal="center" vertical="center" wrapText="1"/>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2" xfId="0" applyFont="1" applyFill="1" applyBorder="1" applyAlignment="1">
      <alignment horizontal="center" vertical="center" wrapText="1"/>
    </xf>
    <xf numFmtId="43" fontId="2" fillId="3" borderId="1" xfId="1" applyFont="1" applyFill="1" applyBorder="1" applyAlignment="1">
      <alignment horizontal="center" vertical="center" wrapText="1"/>
    </xf>
    <xf numFmtId="0" fontId="3" fillId="0" borderId="19" xfId="0" applyFont="1" applyBorder="1" applyAlignment="1">
      <alignment horizontal="justify" vertical="center" wrapText="1"/>
    </xf>
    <xf numFmtId="9" fontId="3" fillId="0" borderId="19" xfId="0" applyNumberFormat="1" applyFont="1" applyBorder="1" applyAlignment="1">
      <alignment horizontal="center" vertical="center" wrapText="1"/>
    </xf>
    <xf numFmtId="43" fontId="3" fillId="0" borderId="19" xfId="1" applyFont="1" applyBorder="1" applyAlignment="1">
      <alignment horizontal="center" vertical="center" wrapText="1"/>
    </xf>
    <xf numFmtId="0" fontId="3" fillId="0" borderId="6" xfId="0" applyFont="1" applyBorder="1" applyAlignment="1">
      <alignment horizontal="justify" vertical="center" wrapText="1" readingOrder="2"/>
    </xf>
    <xf numFmtId="0" fontId="3" fillId="0" borderId="13" xfId="0" applyFont="1" applyBorder="1" applyAlignment="1">
      <alignment horizontal="justify" vertical="center" wrapText="1" readingOrder="2"/>
    </xf>
    <xf numFmtId="0" fontId="3" fillId="0" borderId="19" xfId="0" applyFont="1" applyBorder="1" applyAlignment="1">
      <alignment horizontal="justify" vertical="center" wrapText="1" readingOrder="2"/>
    </xf>
    <xf numFmtId="3" fontId="3" fillId="0" borderId="6" xfId="1" applyNumberFormat="1" applyFont="1" applyBorder="1" applyAlignment="1">
      <alignment horizontal="center" vertical="center" wrapText="1"/>
    </xf>
    <xf numFmtId="3" fontId="3" fillId="0" borderId="13" xfId="1" applyNumberFormat="1" applyFont="1" applyBorder="1" applyAlignment="1">
      <alignment horizontal="center" vertical="center" wrapText="1"/>
    </xf>
    <xf numFmtId="3" fontId="3" fillId="0" borderId="19" xfId="1" applyNumberFormat="1" applyFont="1" applyBorder="1" applyAlignment="1">
      <alignment horizontal="center" vertical="center" wrapText="1"/>
    </xf>
    <xf numFmtId="14" fontId="3" fillId="0" borderId="6" xfId="0" applyNumberFormat="1" applyFont="1" applyBorder="1" applyAlignment="1">
      <alignment horizontal="justify" vertical="center" wrapText="1"/>
    </xf>
    <xf numFmtId="14" fontId="3" fillId="0" borderId="13" xfId="0" applyNumberFormat="1" applyFont="1" applyBorder="1" applyAlignment="1">
      <alignment horizontal="justify" vertical="center" wrapText="1"/>
    </xf>
    <xf numFmtId="3" fontId="3" fillId="0" borderId="6" xfId="0" applyNumberFormat="1" applyFont="1" applyBorder="1" applyAlignment="1">
      <alignment horizontal="justify" vertical="center" wrapText="1"/>
    </xf>
    <xf numFmtId="3" fontId="3" fillId="0" borderId="13" xfId="0" applyNumberFormat="1" applyFont="1" applyBorder="1" applyAlignment="1">
      <alignment horizontal="justify"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10" fontId="3" fillId="0" borderId="6" xfId="0" applyNumberFormat="1" applyFont="1" applyBorder="1" applyAlignment="1">
      <alignment horizontal="center" vertical="center" wrapText="1"/>
    </xf>
    <xf numFmtId="43" fontId="3" fillId="0" borderId="6" xfId="1" applyFont="1" applyBorder="1" applyAlignment="1">
      <alignment horizontal="justify" vertical="center" wrapText="1"/>
    </xf>
    <xf numFmtId="43" fontId="3" fillId="0" borderId="13" xfId="1" applyFont="1" applyBorder="1" applyAlignment="1">
      <alignment horizontal="justify" vertical="center" wrapText="1"/>
    </xf>
    <xf numFmtId="0" fontId="2" fillId="0" borderId="17" xfId="0" applyFont="1" applyBorder="1" applyAlignment="1">
      <alignment horizontal="center" vertical="center" wrapText="1"/>
    </xf>
    <xf numFmtId="0" fontId="2" fillId="3" borderId="6"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0" xfId="0" applyFont="1" applyFill="1" applyAlignment="1">
      <alignment horizontal="center" vertical="center" wrapText="1"/>
    </xf>
    <xf numFmtId="0" fontId="10" fillId="0" borderId="6" xfId="26" applyFont="1" applyFill="1" applyBorder="1" applyAlignment="1">
      <alignment horizontal="center" vertical="center" wrapText="1"/>
    </xf>
    <xf numFmtId="0" fontId="10" fillId="0" borderId="13" xfId="26" applyFont="1" applyFill="1" applyBorder="1" applyAlignment="1">
      <alignment horizontal="center" vertical="center" wrapText="1"/>
    </xf>
    <xf numFmtId="0" fontId="10" fillId="0" borderId="18" xfId="26" applyFont="1" applyFill="1" applyBorder="1" applyAlignment="1">
      <alignment horizontal="center" vertical="center" wrapText="1"/>
    </xf>
    <xf numFmtId="0" fontId="10" fillId="7" borderId="6" xfId="26" applyFont="1" applyFill="1" applyBorder="1" applyAlignment="1">
      <alignment horizontal="justify" vertical="center" wrapText="1"/>
    </xf>
    <xf numFmtId="0" fontId="10" fillId="7" borderId="13" xfId="26" applyFont="1" applyFill="1" applyBorder="1" applyAlignment="1">
      <alignment horizontal="justify" vertical="center" wrapText="1"/>
    </xf>
    <xf numFmtId="0" fontId="10" fillId="7" borderId="18" xfId="26" applyFont="1" applyFill="1" applyBorder="1" applyAlignment="1">
      <alignment horizontal="justify" vertical="center" wrapText="1"/>
    </xf>
    <xf numFmtId="0" fontId="10" fillId="7" borderId="6" xfId="26" applyFont="1" applyFill="1" applyBorder="1" applyAlignment="1">
      <alignment horizontal="center" vertical="center" wrapText="1"/>
    </xf>
    <xf numFmtId="0" fontId="10" fillId="7" borderId="13" xfId="26" applyFont="1" applyFill="1" applyBorder="1" applyAlignment="1">
      <alignment horizontal="center" vertical="center" wrapText="1"/>
    </xf>
    <xf numFmtId="0" fontId="10" fillId="7" borderId="18" xfId="26" applyFont="1" applyFill="1" applyBorder="1" applyAlignment="1">
      <alignment horizontal="center" vertical="center" wrapText="1"/>
    </xf>
    <xf numFmtId="0" fontId="3" fillId="7" borderId="6" xfId="26" applyFont="1" applyFill="1" applyBorder="1" applyAlignment="1">
      <alignment horizontal="center" vertical="center" wrapText="1"/>
    </xf>
    <xf numFmtId="0" fontId="3" fillId="7" borderId="13" xfId="26" applyFont="1" applyFill="1" applyBorder="1" applyAlignment="1">
      <alignment horizontal="center" vertical="center" wrapText="1"/>
    </xf>
    <xf numFmtId="0" fontId="3" fillId="7" borderId="18" xfId="26" applyFont="1" applyFill="1" applyBorder="1" applyAlignment="1">
      <alignment horizontal="center" vertical="center" wrapText="1"/>
    </xf>
    <xf numFmtId="9" fontId="10" fillId="21" borderId="6" xfId="13" applyFont="1" applyFill="1" applyBorder="1" applyAlignment="1">
      <alignment horizontal="center" vertical="center" wrapText="1"/>
    </xf>
    <xf numFmtId="9" fontId="10" fillId="21" borderId="13" xfId="13" applyFont="1" applyFill="1" applyBorder="1" applyAlignment="1">
      <alignment horizontal="center" vertical="center" wrapText="1"/>
    </xf>
    <xf numFmtId="9" fontId="10" fillId="21" borderId="18" xfId="13" applyFont="1" applyFill="1" applyBorder="1" applyAlignment="1">
      <alignment horizontal="center" vertical="center" wrapText="1"/>
    </xf>
    <xf numFmtId="43" fontId="10" fillId="21" borderId="6" xfId="11" applyFont="1" applyFill="1" applyBorder="1" applyAlignment="1">
      <alignment horizontal="center" vertical="center" wrapText="1"/>
    </xf>
    <xf numFmtId="43" fontId="10" fillId="21" borderId="13" xfId="11" applyFont="1" applyFill="1" applyBorder="1" applyAlignment="1">
      <alignment horizontal="center" vertical="center" wrapText="1"/>
    </xf>
    <xf numFmtId="43" fontId="10" fillId="21" borderId="18" xfId="11" applyFont="1" applyFill="1" applyBorder="1" applyAlignment="1">
      <alignment horizontal="center" vertical="center" wrapText="1"/>
    </xf>
    <xf numFmtId="0" fontId="10" fillId="21" borderId="6" xfId="26" applyFont="1" applyFill="1" applyBorder="1" applyAlignment="1">
      <alignment horizontal="justify" vertical="center" wrapText="1"/>
    </xf>
    <xf numFmtId="0" fontId="10" fillId="21" borderId="13" xfId="26" applyFont="1" applyFill="1" applyBorder="1" applyAlignment="1">
      <alignment horizontal="justify" vertical="center" wrapText="1"/>
    </xf>
    <xf numFmtId="0" fontId="10" fillId="21" borderId="18" xfId="26" applyFont="1" applyFill="1" applyBorder="1" applyAlignment="1">
      <alignment horizontal="justify" vertical="center" wrapText="1"/>
    </xf>
    <xf numFmtId="3" fontId="3" fillId="7" borderId="6" xfId="26" applyNumberFormat="1" applyFont="1" applyFill="1" applyBorder="1" applyAlignment="1">
      <alignment horizontal="center" vertical="center" wrapText="1"/>
    </xf>
    <xf numFmtId="3" fontId="3" fillId="7" borderId="13" xfId="26" applyNumberFormat="1" applyFont="1" applyFill="1" applyBorder="1" applyAlignment="1">
      <alignment horizontal="center" vertical="center" wrapText="1"/>
    </xf>
    <xf numFmtId="3" fontId="3" fillId="7" borderId="18" xfId="26" applyNumberFormat="1" applyFont="1" applyFill="1" applyBorder="1" applyAlignment="1">
      <alignment horizontal="center" vertical="center" wrapText="1"/>
    </xf>
    <xf numFmtId="166" fontId="3" fillId="7" borderId="6" xfId="26" applyNumberFormat="1" applyFont="1" applyFill="1" applyBorder="1" applyAlignment="1">
      <alignment horizontal="center" vertical="center" wrapText="1"/>
    </xf>
    <xf numFmtId="166" fontId="3" fillId="7" borderId="13" xfId="26" applyNumberFormat="1" applyFont="1" applyFill="1" applyBorder="1" applyAlignment="1">
      <alignment horizontal="center" vertical="center" wrapText="1"/>
    </xf>
    <xf numFmtId="166" fontId="3" fillId="7" borderId="18" xfId="26" applyNumberFormat="1" applyFont="1" applyFill="1" applyBorder="1" applyAlignment="1">
      <alignment horizontal="center" vertical="center" wrapText="1"/>
    </xf>
    <xf numFmtId="0" fontId="3" fillId="7" borderId="6" xfId="11" applyNumberFormat="1" applyFont="1" applyFill="1" applyBorder="1" applyAlignment="1">
      <alignment horizontal="center" vertical="center" wrapText="1"/>
    </xf>
    <xf numFmtId="0" fontId="3" fillId="7" borderId="13" xfId="11" applyNumberFormat="1" applyFont="1" applyFill="1" applyBorder="1" applyAlignment="1">
      <alignment horizontal="center" vertical="center" wrapText="1"/>
    </xf>
    <xf numFmtId="1" fontId="3" fillId="7" borderId="6" xfId="11" applyNumberFormat="1" applyFont="1" applyFill="1" applyBorder="1" applyAlignment="1">
      <alignment horizontal="center" vertical="center" wrapText="1"/>
    </xf>
    <xf numFmtId="1" fontId="3" fillId="7" borderId="13" xfId="11" applyNumberFormat="1" applyFont="1" applyFill="1" applyBorder="1" applyAlignment="1">
      <alignment horizontal="center" vertical="center" wrapText="1"/>
    </xf>
    <xf numFmtId="0" fontId="3" fillId="7" borderId="18" xfId="11" applyNumberFormat="1" applyFont="1" applyFill="1" applyBorder="1" applyAlignment="1">
      <alignment horizontal="center" vertical="center" wrapText="1"/>
    </xf>
    <xf numFmtId="0" fontId="10" fillId="0" borderId="1" xfId="26" applyFont="1" applyFill="1" applyBorder="1" applyAlignment="1">
      <alignment horizontal="center" vertical="center" wrapText="1"/>
    </xf>
    <xf numFmtId="0" fontId="3" fillId="0" borderId="6" xfId="0" applyFont="1" applyBorder="1" applyAlignment="1">
      <alignment horizontal="center" vertical="center" textRotation="180" wrapText="1"/>
    </xf>
    <xf numFmtId="0" fontId="3" fillId="0" borderId="13" xfId="0" applyFont="1" applyBorder="1" applyAlignment="1">
      <alignment horizontal="center" vertical="center" textRotation="180" wrapText="1"/>
    </xf>
    <xf numFmtId="0" fontId="3" fillId="0" borderId="18" xfId="0" applyFont="1" applyBorder="1" applyAlignment="1">
      <alignment horizontal="center" vertical="center" textRotation="180" wrapText="1"/>
    </xf>
    <xf numFmtId="0" fontId="3" fillId="21" borderId="6" xfId="26" applyFont="1" applyFill="1" applyBorder="1" applyAlignment="1">
      <alignment horizontal="center" vertical="center" wrapText="1"/>
    </xf>
    <xf numFmtId="0" fontId="3" fillId="21" borderId="13" xfId="26" applyFont="1" applyFill="1" applyBorder="1" applyAlignment="1">
      <alignment horizontal="center" vertical="center" wrapText="1"/>
    </xf>
    <xf numFmtId="0" fontId="3" fillId="21" borderId="18" xfId="26" applyFont="1" applyFill="1" applyBorder="1" applyAlignment="1">
      <alignment horizontal="center" vertical="center" wrapText="1"/>
    </xf>
    <xf numFmtId="9" fontId="10" fillId="7" borderId="6" xfId="13" applyFont="1" applyFill="1" applyBorder="1" applyAlignment="1">
      <alignment horizontal="center" vertical="center" wrapText="1"/>
    </xf>
    <xf numFmtId="9" fontId="10" fillId="7" borderId="13" xfId="13" applyFont="1" applyFill="1" applyBorder="1" applyAlignment="1">
      <alignment horizontal="center" vertical="center" wrapText="1"/>
    </xf>
    <xf numFmtId="9" fontId="10" fillId="7" borderId="18" xfId="13" applyFont="1" applyFill="1" applyBorder="1" applyAlignment="1">
      <alignment horizontal="center" vertical="center" wrapText="1"/>
    </xf>
    <xf numFmtId="43" fontId="10" fillId="7" borderId="6" xfId="11" applyFont="1" applyFill="1" applyBorder="1" applyAlignment="1">
      <alignment horizontal="center" vertical="center" wrapText="1"/>
    </xf>
    <xf numFmtId="43" fontId="10" fillId="7" borderId="13" xfId="11" applyFont="1" applyFill="1" applyBorder="1" applyAlignment="1">
      <alignment horizontal="center" vertical="center" wrapText="1"/>
    </xf>
    <xf numFmtId="43" fontId="10" fillId="7" borderId="18" xfId="11" applyFont="1" applyFill="1" applyBorder="1" applyAlignment="1">
      <alignment horizontal="center" vertical="center" wrapText="1"/>
    </xf>
    <xf numFmtId="0" fontId="10" fillId="0" borderId="8" xfId="26" applyFont="1" applyFill="1" applyBorder="1" applyAlignment="1">
      <alignment horizontal="center" vertical="center" wrapText="1"/>
    </xf>
    <xf numFmtId="0" fontId="10" fillId="0" borderId="17" xfId="26" applyFont="1" applyFill="1" applyBorder="1" applyAlignment="1">
      <alignment horizontal="center" vertical="center" wrapText="1"/>
    </xf>
    <xf numFmtId="0" fontId="10" fillId="0" borderId="15" xfId="26" applyFont="1" applyFill="1" applyBorder="1" applyAlignment="1">
      <alignment horizontal="center" vertical="center" wrapText="1"/>
    </xf>
    <xf numFmtId="1" fontId="3" fillId="21" borderId="6" xfId="26" applyNumberFormat="1" applyFont="1" applyFill="1" applyBorder="1" applyAlignment="1">
      <alignment horizontal="center" vertical="center" wrapText="1"/>
    </xf>
    <xf numFmtId="1" fontId="3" fillId="21" borderId="13" xfId="26" applyNumberFormat="1" applyFont="1" applyFill="1" applyBorder="1" applyAlignment="1">
      <alignment horizontal="center" vertical="center" wrapText="1"/>
    </xf>
    <xf numFmtId="1" fontId="3" fillId="21" borderId="18" xfId="26" applyNumberFormat="1" applyFont="1" applyFill="1" applyBorder="1" applyAlignment="1">
      <alignment horizontal="center" vertical="center" wrapText="1"/>
    </xf>
    <xf numFmtId="171" fontId="3" fillId="0" borderId="6" xfId="0" applyNumberFormat="1" applyFont="1" applyBorder="1" applyAlignment="1">
      <alignment horizontal="center" vertical="center" wrapText="1"/>
    </xf>
    <xf numFmtId="171" fontId="3" fillId="0" borderId="13" xfId="0" applyNumberFormat="1" applyFont="1" applyBorder="1" applyAlignment="1">
      <alignment horizontal="center" vertical="center" wrapText="1"/>
    </xf>
    <xf numFmtId="171" fontId="3" fillId="0" borderId="18" xfId="0" applyNumberFormat="1" applyFont="1" applyBorder="1" applyAlignment="1">
      <alignment horizontal="center" vertical="center" wrapText="1"/>
    </xf>
    <xf numFmtId="1" fontId="3" fillId="0" borderId="6" xfId="0" applyNumberFormat="1" applyFont="1" applyBorder="1" applyAlignment="1">
      <alignment horizontal="center" vertical="center" wrapText="1"/>
    </xf>
    <xf numFmtId="1" fontId="3" fillId="0" borderId="13" xfId="0" applyNumberFormat="1" applyFont="1" applyBorder="1" applyAlignment="1">
      <alignment horizontal="center" vertical="center" wrapText="1"/>
    </xf>
    <xf numFmtId="1" fontId="3" fillId="0" borderId="18" xfId="0" applyNumberFormat="1" applyFont="1" applyBorder="1" applyAlignment="1">
      <alignment horizontal="center" vertical="center" wrapText="1"/>
    </xf>
    <xf numFmtId="9" fontId="10" fillId="21" borderId="1" xfId="13" applyFont="1" applyFill="1" applyBorder="1" applyAlignment="1">
      <alignment horizontal="center" vertical="center" wrapText="1"/>
    </xf>
    <xf numFmtId="0" fontId="10" fillId="7" borderId="6" xfId="26" applyFont="1" applyFill="1" applyBorder="1" applyAlignment="1">
      <alignment horizontal="left" vertical="center" wrapText="1"/>
    </xf>
    <xf numFmtId="0" fontId="10" fillId="7" borderId="13" xfId="26" applyFont="1" applyFill="1" applyBorder="1" applyAlignment="1">
      <alignment horizontal="left" vertical="center" wrapText="1"/>
    </xf>
    <xf numFmtId="0" fontId="10" fillId="7" borderId="18" xfId="26" applyFont="1" applyFill="1" applyBorder="1" applyAlignment="1">
      <alignment horizontal="left" vertical="center" wrapText="1"/>
    </xf>
    <xf numFmtId="0" fontId="3" fillId="0" borderId="6" xfId="11" applyNumberFormat="1" applyFont="1" applyBorder="1" applyAlignment="1">
      <alignment horizontal="center" vertical="center" wrapText="1"/>
    </xf>
    <xf numFmtId="0" fontId="3" fillId="0" borderId="13" xfId="11" applyNumberFormat="1" applyFont="1" applyBorder="1" applyAlignment="1">
      <alignment horizontal="center" vertical="center" wrapText="1"/>
    </xf>
    <xf numFmtId="0" fontId="3" fillId="0" borderId="18" xfId="11" applyNumberFormat="1" applyFont="1" applyBorder="1" applyAlignment="1">
      <alignment horizontal="center" vertical="center" wrapText="1"/>
    </xf>
    <xf numFmtId="0" fontId="10" fillId="7" borderId="1" xfId="26" applyFont="1" applyFill="1" applyBorder="1" applyAlignment="1">
      <alignment horizontal="left" vertical="center" wrapText="1"/>
    </xf>
    <xf numFmtId="0" fontId="10" fillId="7" borderId="1" xfId="26" applyFont="1" applyFill="1" applyBorder="1" applyAlignment="1">
      <alignment horizontal="justify" vertical="center" wrapText="1"/>
    </xf>
    <xf numFmtId="0" fontId="3" fillId="0" borderId="16" xfId="0" applyFont="1" applyBorder="1" applyAlignment="1">
      <alignment horizontal="center" vertical="center"/>
    </xf>
    <xf numFmtId="0" fontId="3" fillId="0" borderId="7" xfId="0" applyFont="1" applyBorder="1" applyAlignment="1">
      <alignment horizontal="center" vertical="center" wrapText="1"/>
    </xf>
    <xf numFmtId="43" fontId="3" fillId="0" borderId="7" xfId="1" applyFont="1" applyBorder="1" applyAlignment="1">
      <alignment horizontal="center" vertical="center"/>
    </xf>
    <xf numFmtId="43" fontId="3" fillId="0" borderId="16" xfId="1" applyFont="1" applyBorder="1" applyAlignment="1">
      <alignment horizontal="center" vertical="center"/>
    </xf>
    <xf numFmtId="9" fontId="3" fillId="0" borderId="7" xfId="4" applyFont="1" applyBorder="1" applyAlignment="1">
      <alignment horizontal="center" vertical="center"/>
    </xf>
    <xf numFmtId="9" fontId="3" fillId="0" borderId="16" xfId="4" applyFont="1" applyBorder="1" applyAlignment="1">
      <alignment horizontal="center" vertical="center"/>
    </xf>
    <xf numFmtId="0" fontId="10" fillId="0" borderId="6" xfId="26" applyFont="1" applyBorder="1" applyAlignment="1">
      <alignment horizontal="center" vertical="center" wrapText="1"/>
    </xf>
    <xf numFmtId="0" fontId="10" fillId="0" borderId="13" xfId="26" applyFont="1" applyBorder="1" applyAlignment="1">
      <alignment horizontal="center" vertical="center" wrapText="1"/>
    </xf>
    <xf numFmtId="0" fontId="10" fillId="0" borderId="18" xfId="26" applyFont="1" applyBorder="1" applyAlignment="1">
      <alignment horizontal="center" vertical="center" wrapText="1"/>
    </xf>
    <xf numFmtId="9" fontId="10" fillId="0" borderId="6" xfId="13" applyFont="1" applyFill="1" applyBorder="1" applyAlignment="1">
      <alignment horizontal="center" vertical="center" wrapText="1"/>
    </xf>
    <xf numFmtId="9" fontId="10" fillId="0" borderId="13" xfId="13" applyFont="1" applyFill="1" applyBorder="1" applyAlignment="1">
      <alignment horizontal="center" vertical="center" wrapText="1"/>
    </xf>
    <xf numFmtId="9" fontId="10" fillId="0" borderId="18" xfId="13" applyFont="1" applyFill="1" applyBorder="1" applyAlignment="1">
      <alignment horizontal="center" vertical="center" wrapText="1"/>
    </xf>
    <xf numFmtId="0" fontId="10" fillId="0" borderId="6" xfId="26" applyFont="1" applyBorder="1" applyAlignment="1">
      <alignment horizontal="justify" vertical="center" wrapText="1"/>
    </xf>
    <xf numFmtId="0" fontId="10" fillId="0" borderId="13" xfId="26" applyFont="1" applyBorder="1" applyAlignment="1">
      <alignment horizontal="justify" vertical="center" wrapText="1"/>
    </xf>
    <xf numFmtId="0" fontId="10" fillId="0" borderId="6" xfId="26" applyFont="1" applyFill="1" applyBorder="1" applyAlignment="1">
      <alignment horizontal="justify" vertical="center" wrapText="1"/>
    </xf>
    <xf numFmtId="0" fontId="10" fillId="0" borderId="13" xfId="26" applyFont="1" applyFill="1" applyBorder="1" applyAlignment="1">
      <alignment horizontal="justify" vertical="center" wrapText="1"/>
    </xf>
    <xf numFmtId="0" fontId="10" fillId="0" borderId="18" xfId="26" applyFont="1" applyFill="1" applyBorder="1" applyAlignment="1">
      <alignment horizontal="justify" vertical="center" wrapText="1"/>
    </xf>
    <xf numFmtId="0" fontId="10" fillId="0" borderId="18" xfId="26" applyFont="1" applyBorder="1" applyAlignment="1">
      <alignment horizontal="justify" vertical="center" wrapText="1"/>
    </xf>
    <xf numFmtId="9" fontId="10" fillId="0" borderId="6" xfId="13" applyFont="1" applyBorder="1" applyAlignment="1">
      <alignment horizontal="center" vertical="center" wrapText="1"/>
    </xf>
    <xf numFmtId="9" fontId="10" fillId="0" borderId="13" xfId="13" applyFont="1" applyBorder="1" applyAlignment="1">
      <alignment horizontal="center" vertical="center" wrapText="1"/>
    </xf>
    <xf numFmtId="9" fontId="10" fillId="0" borderId="18" xfId="13" applyFont="1" applyBorder="1" applyAlignment="1">
      <alignment horizontal="center" vertical="center" wrapText="1"/>
    </xf>
    <xf numFmtId="0" fontId="3" fillId="0" borderId="6" xfId="26" applyFont="1" applyBorder="1" applyAlignment="1">
      <alignment horizontal="center" vertical="center" wrapText="1"/>
    </xf>
    <xf numFmtId="0" fontId="3" fillId="0" borderId="13" xfId="26" applyFont="1" applyBorder="1" applyAlignment="1">
      <alignment horizontal="center" vertical="center" wrapText="1"/>
    </xf>
    <xf numFmtId="0" fontId="3" fillId="0" borderId="18" xfId="26" applyFont="1" applyBorder="1" applyAlignment="1">
      <alignment horizontal="center" vertical="center" wrapText="1"/>
    </xf>
    <xf numFmtId="1" fontId="3" fillId="0" borderId="6" xfId="26" applyNumberFormat="1" applyFont="1" applyBorder="1" applyAlignment="1">
      <alignment horizontal="center" vertical="center" wrapText="1"/>
    </xf>
    <xf numFmtId="1" fontId="3" fillId="0" borderId="13" xfId="26" applyNumberFormat="1" applyFont="1" applyBorder="1" applyAlignment="1">
      <alignment horizontal="center" vertical="center" wrapText="1"/>
    </xf>
    <xf numFmtId="1" fontId="3" fillId="0" borderId="18" xfId="26" applyNumberFormat="1" applyFont="1" applyBorder="1" applyAlignment="1">
      <alignment horizontal="center" vertical="center" wrapText="1"/>
    </xf>
    <xf numFmtId="49" fontId="10" fillId="0" borderId="1" xfId="29" applyNumberFormat="1" applyFont="1" applyFill="1" applyBorder="1" applyAlignment="1">
      <alignment horizontal="justify" vertical="center" wrapText="1"/>
    </xf>
    <xf numFmtId="49" fontId="10" fillId="0" borderId="6" xfId="29" applyNumberFormat="1" applyFont="1" applyFill="1" applyBorder="1" applyAlignment="1">
      <alignment horizontal="justify" vertical="center" wrapText="1"/>
    </xf>
    <xf numFmtId="49" fontId="10" fillId="0" borderId="18" xfId="29" applyNumberFormat="1" applyFont="1" applyFill="1" applyBorder="1" applyAlignment="1">
      <alignment horizontal="justify" vertical="center" wrapText="1"/>
    </xf>
    <xf numFmtId="49" fontId="10" fillId="0" borderId="6" xfId="29" applyNumberFormat="1" applyFont="1" applyFill="1" applyBorder="1" applyAlignment="1">
      <alignment horizontal="center" vertical="center" wrapText="1"/>
    </xf>
    <xf numFmtId="49" fontId="10" fillId="0" borderId="13" xfId="29" applyNumberFormat="1" applyFont="1" applyFill="1" applyBorder="1" applyAlignment="1">
      <alignment horizontal="center" vertical="center" wrapText="1"/>
    </xf>
    <xf numFmtId="49" fontId="10" fillId="0" borderId="18" xfId="29" applyNumberFormat="1" applyFont="1" applyFill="1" applyBorder="1" applyAlignment="1">
      <alignment horizontal="center" vertical="center" wrapText="1"/>
    </xf>
    <xf numFmtId="9" fontId="3" fillId="0" borderId="6" xfId="4" applyFont="1" applyBorder="1" applyAlignment="1">
      <alignment horizontal="center" vertical="center"/>
    </xf>
    <xf numFmtId="9" fontId="3" fillId="0" borderId="13" xfId="4" applyFont="1" applyBorder="1" applyAlignment="1">
      <alignment horizontal="center" vertical="center"/>
    </xf>
    <xf numFmtId="9" fontId="3" fillId="0" borderId="18" xfId="4" applyFont="1" applyBorder="1" applyAlignment="1">
      <alignment horizontal="center" vertical="center"/>
    </xf>
    <xf numFmtId="0" fontId="10" fillId="7" borderId="8" xfId="26" applyFont="1" applyFill="1" applyBorder="1" applyAlignment="1">
      <alignment horizontal="justify" vertical="center" wrapText="1"/>
    </xf>
    <xf numFmtId="0" fontId="10" fillId="7" borderId="17" xfId="26" applyFont="1" applyFill="1" applyBorder="1" applyAlignment="1">
      <alignment horizontal="justify" vertical="center" wrapText="1"/>
    </xf>
    <xf numFmtId="0" fontId="10" fillId="7" borderId="15" xfId="26" applyFont="1" applyFill="1" applyBorder="1" applyAlignment="1">
      <alignment horizontal="justify" vertical="center" wrapText="1"/>
    </xf>
    <xf numFmtId="49" fontId="10" fillId="0" borderId="13" xfId="29" applyNumberFormat="1" applyFont="1" applyFill="1" applyBorder="1" applyAlignment="1">
      <alignment horizontal="justify" vertical="center" wrapText="1"/>
    </xf>
    <xf numFmtId="0" fontId="10" fillId="0" borderId="9" xfId="26" applyFont="1" applyFill="1" applyBorder="1" applyAlignment="1">
      <alignment horizontal="center" vertical="center" wrapText="1"/>
    </xf>
    <xf numFmtId="0" fontId="10" fillId="0" borderId="0" xfId="26" applyFont="1" applyFill="1" applyBorder="1" applyAlignment="1">
      <alignment horizontal="center" vertical="center" wrapText="1"/>
    </xf>
    <xf numFmtId="0" fontId="10" fillId="0" borderId="2" xfId="26" applyFont="1" applyFill="1" applyBorder="1" applyAlignment="1">
      <alignment horizontal="center" vertical="center" wrapText="1"/>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10" fillId="7" borderId="9" xfId="26" applyFont="1" applyFill="1" applyBorder="1" applyAlignment="1">
      <alignment horizontal="center" vertical="center" wrapText="1"/>
    </xf>
    <xf numFmtId="0" fontId="10" fillId="7" borderId="0" xfId="26" applyFont="1" applyFill="1" applyBorder="1" applyAlignment="1">
      <alignment horizontal="center" vertical="center" wrapText="1"/>
    </xf>
    <xf numFmtId="0" fontId="10" fillId="7" borderId="2" xfId="26" applyFont="1" applyFill="1" applyBorder="1" applyAlignment="1">
      <alignment horizontal="center" vertical="center" wrapText="1"/>
    </xf>
    <xf numFmtId="1" fontId="3" fillId="7" borderId="6" xfId="26" applyNumberFormat="1" applyFont="1" applyFill="1" applyBorder="1" applyAlignment="1">
      <alignment horizontal="center" vertical="center" wrapText="1"/>
    </xf>
    <xf numFmtId="1" fontId="3" fillId="7" borderId="13" xfId="26" applyNumberFormat="1" applyFont="1" applyFill="1" applyBorder="1" applyAlignment="1">
      <alignment horizontal="center" vertical="center" wrapText="1"/>
    </xf>
    <xf numFmtId="1" fontId="3" fillId="7" borderId="18" xfId="26" applyNumberFormat="1" applyFont="1" applyFill="1" applyBorder="1" applyAlignment="1">
      <alignment horizontal="center" vertical="center" wrapText="1"/>
    </xf>
    <xf numFmtId="0" fontId="3" fillId="0" borderId="14" xfId="0" applyFont="1" applyBorder="1" applyAlignment="1">
      <alignment horizontal="center" vertical="center" wrapText="1"/>
    </xf>
    <xf numFmtId="43" fontId="3" fillId="0" borderId="14" xfId="1" applyFont="1" applyBorder="1" applyAlignment="1">
      <alignment horizontal="center" vertical="center"/>
    </xf>
    <xf numFmtId="9" fontId="3" fillId="0" borderId="14" xfId="4" applyFont="1" applyBorder="1" applyAlignment="1">
      <alignment horizontal="center" vertical="center"/>
    </xf>
    <xf numFmtId="0" fontId="10" fillId="7" borderId="1" xfId="26" applyFont="1" applyFill="1" applyBorder="1" applyAlignment="1">
      <alignment horizontal="center" vertical="center" wrapText="1"/>
    </xf>
    <xf numFmtId="166" fontId="3" fillId="0" borderId="7" xfId="0" applyNumberFormat="1" applyFont="1" applyBorder="1" applyAlignment="1">
      <alignment horizontal="center" vertical="center"/>
    </xf>
    <xf numFmtId="166" fontId="3" fillId="0" borderId="16" xfId="0" applyNumberFormat="1" applyFont="1" applyBorder="1" applyAlignment="1">
      <alignment horizontal="center" vertical="center"/>
    </xf>
    <xf numFmtId="166" fontId="3" fillId="0" borderId="14" xfId="0" applyNumberFormat="1" applyFont="1" applyBorder="1" applyAlignment="1">
      <alignment horizontal="center" vertical="center"/>
    </xf>
    <xf numFmtId="14" fontId="3" fillId="0" borderId="7" xfId="0" applyNumberFormat="1" applyFont="1" applyBorder="1" applyAlignment="1">
      <alignment horizontal="center" vertical="center" wrapText="1"/>
    </xf>
    <xf numFmtId="9" fontId="10" fillId="0" borderId="7" xfId="0" applyNumberFormat="1" applyFont="1" applyBorder="1" applyAlignment="1">
      <alignment horizontal="center" vertical="center"/>
    </xf>
    <xf numFmtId="9" fontId="10" fillId="0" borderId="16" xfId="0" applyNumberFormat="1" applyFont="1" applyBorder="1" applyAlignment="1">
      <alignment horizontal="center" vertical="center"/>
    </xf>
    <xf numFmtId="1" fontId="3" fillId="0" borderId="7" xfId="0" applyNumberFormat="1" applyFont="1" applyBorder="1" applyAlignment="1">
      <alignment horizontal="center" vertical="center"/>
    </xf>
    <xf numFmtId="1" fontId="3" fillId="0" borderId="16" xfId="0" applyNumberFormat="1" applyFont="1" applyBorder="1" applyAlignment="1">
      <alignment horizontal="center" vertical="center"/>
    </xf>
    <xf numFmtId="1" fontId="3" fillId="0" borderId="14" xfId="0" applyNumberFormat="1" applyFont="1" applyBorder="1" applyAlignment="1">
      <alignment horizontal="center" vertical="center"/>
    </xf>
    <xf numFmtId="49" fontId="10" fillId="0" borderId="6" xfId="29" applyNumberFormat="1" applyFont="1" applyFill="1" applyBorder="1" applyAlignment="1">
      <alignment horizontal="left" vertical="center" wrapText="1"/>
    </xf>
    <xf numFmtId="49" fontId="10" fillId="0" borderId="18" xfId="29" applyNumberFormat="1" applyFont="1" applyFill="1" applyBorder="1" applyAlignment="1">
      <alignment horizontal="left" vertical="center" wrapText="1"/>
    </xf>
    <xf numFmtId="14" fontId="3" fillId="0" borderId="6" xfId="0" applyNumberFormat="1" applyFont="1" applyBorder="1" applyAlignment="1">
      <alignment horizontal="center" vertical="center" wrapText="1"/>
    </xf>
    <xf numFmtId="0" fontId="10" fillId="7" borderId="7" xfId="26" applyFont="1" applyFill="1" applyBorder="1" applyAlignment="1">
      <alignment horizontal="justify" vertical="center" wrapText="1"/>
    </xf>
    <xf numFmtId="0" fontId="10" fillId="7" borderId="16" xfId="26" applyFont="1" applyFill="1" applyBorder="1" applyAlignment="1">
      <alignment horizontal="justify" vertical="center" wrapText="1"/>
    </xf>
    <xf numFmtId="0" fontId="10" fillId="7" borderId="14" xfId="26" applyFont="1" applyFill="1" applyBorder="1" applyAlignment="1">
      <alignment horizontal="justify" vertical="center" wrapText="1"/>
    </xf>
    <xf numFmtId="10" fontId="10" fillId="21" borderId="1" xfId="13" applyNumberFormat="1" applyFont="1" applyFill="1" applyBorder="1" applyAlignment="1">
      <alignment horizontal="center" vertical="center" wrapText="1"/>
    </xf>
    <xf numFmtId="43" fontId="10" fillId="21" borderId="1" xfId="11" applyFont="1" applyFill="1" applyBorder="1" applyAlignment="1">
      <alignment horizontal="center" vertical="center" wrapText="1"/>
    </xf>
    <xf numFmtId="0" fontId="10" fillId="7" borderId="5" xfId="26" applyFont="1" applyFill="1" applyBorder="1" applyAlignment="1">
      <alignment horizontal="center" vertical="center" wrapText="1"/>
    </xf>
    <xf numFmtId="0" fontId="10" fillId="0" borderId="7" xfId="26" applyFont="1" applyFill="1" applyBorder="1" applyAlignment="1">
      <alignment horizontal="justify" vertical="center" wrapText="1"/>
    </xf>
    <xf numFmtId="0" fontId="10" fillId="0" borderId="14" xfId="26" applyFont="1" applyFill="1" applyBorder="1" applyAlignment="1">
      <alignment horizontal="justify" vertical="center" wrapText="1"/>
    </xf>
    <xf numFmtId="0" fontId="10" fillId="0" borderId="8" xfId="26" applyFont="1" applyFill="1" applyBorder="1" applyAlignment="1">
      <alignment horizontal="justify" vertical="center" wrapText="1"/>
    </xf>
    <xf numFmtId="0" fontId="10" fillId="0" borderId="15" xfId="26" applyFont="1" applyFill="1" applyBorder="1" applyAlignment="1">
      <alignment horizontal="justify" vertical="center" wrapText="1"/>
    </xf>
    <xf numFmtId="0" fontId="10" fillId="7" borderId="9" xfId="26" applyFont="1" applyFill="1" applyBorder="1" applyAlignment="1">
      <alignment horizontal="justify" vertical="center" wrapText="1"/>
    </xf>
    <xf numFmtId="0" fontId="10" fillId="7" borderId="2" xfId="26" applyFont="1" applyFill="1" applyBorder="1" applyAlignment="1">
      <alignment horizontal="justify" vertical="center" wrapText="1"/>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10" fillId="7" borderId="6" xfId="26" applyFont="1" applyFill="1" applyBorder="1" applyAlignment="1">
      <alignment horizontal="center" vertical="center"/>
    </xf>
    <xf numFmtId="0" fontId="10" fillId="7" borderId="13" xfId="26" applyFont="1" applyFill="1" applyBorder="1" applyAlignment="1">
      <alignment horizontal="center" vertical="center"/>
    </xf>
    <xf numFmtId="0" fontId="10" fillId="0" borderId="6" xfId="26" quotePrefix="1" applyFont="1" applyFill="1" applyBorder="1" applyAlignment="1">
      <alignment horizontal="justify" vertical="center" wrapText="1"/>
    </xf>
    <xf numFmtId="0" fontId="10" fillId="0" borderId="13" xfId="26" quotePrefix="1" applyFont="1" applyFill="1" applyBorder="1" applyAlignment="1">
      <alignment horizontal="justify" vertical="center" wrapText="1"/>
    </xf>
    <xf numFmtId="0" fontId="10" fillId="0" borderId="18" xfId="26" quotePrefix="1" applyFont="1" applyFill="1" applyBorder="1" applyAlignment="1">
      <alignment horizontal="justify" vertical="center" wrapText="1"/>
    </xf>
    <xf numFmtId="0" fontId="10" fillId="0" borderId="6" xfId="26" applyFont="1" applyBorder="1" applyAlignment="1">
      <alignment horizontal="center" vertical="center"/>
    </xf>
    <xf numFmtId="0" fontId="10" fillId="0" borderId="13" xfId="26" applyFont="1" applyBorder="1" applyAlignment="1">
      <alignment horizontal="center" vertical="center"/>
    </xf>
    <xf numFmtId="0" fontId="10" fillId="0" borderId="18" xfId="26" applyFont="1" applyBorder="1" applyAlignment="1">
      <alignment horizontal="center" vertical="center"/>
    </xf>
    <xf numFmtId="14" fontId="3" fillId="0" borderId="13" xfId="0" applyNumberFormat="1" applyFont="1" applyBorder="1" applyAlignment="1">
      <alignment horizontal="center" vertical="center" wrapText="1"/>
    </xf>
    <xf numFmtId="14" fontId="3" fillId="0" borderId="18" xfId="0" applyNumberFormat="1" applyFont="1" applyBorder="1" applyAlignment="1">
      <alignment horizontal="center" vertical="center" wrapText="1"/>
    </xf>
    <xf numFmtId="0" fontId="10" fillId="7" borderId="18" xfId="26" applyFont="1" applyFill="1" applyBorder="1" applyAlignment="1">
      <alignment horizontal="center" vertical="center"/>
    </xf>
    <xf numFmtId="9" fontId="10" fillId="7" borderId="1" xfId="13" applyFont="1" applyFill="1" applyBorder="1" applyAlignment="1">
      <alignment horizontal="center" vertical="center" wrapText="1"/>
    </xf>
    <xf numFmtId="0" fontId="10" fillId="0" borderId="6" xfId="26" applyFont="1" applyBorder="1" applyAlignment="1">
      <alignment horizontal="left" vertical="center" wrapText="1"/>
    </xf>
    <xf numFmtId="0" fontId="10" fillId="0" borderId="13" xfId="26" applyFont="1" applyBorder="1" applyAlignment="1">
      <alignment horizontal="left" vertical="center" wrapText="1"/>
    </xf>
    <xf numFmtId="0" fontId="10" fillId="0" borderId="1" xfId="26" applyFont="1" applyBorder="1" applyAlignment="1">
      <alignment horizontal="justify" vertical="center" wrapText="1"/>
    </xf>
    <xf numFmtId="43" fontId="10" fillId="7" borderId="1" xfId="11" applyFont="1" applyFill="1" applyBorder="1" applyAlignment="1">
      <alignment horizontal="center" vertical="center" wrapText="1"/>
    </xf>
    <xf numFmtId="0" fontId="3" fillId="0" borderId="6" xfId="11" applyNumberFormat="1" applyFont="1" applyFill="1" applyBorder="1" applyAlignment="1">
      <alignment horizontal="center" vertical="center" wrapText="1"/>
    </xf>
    <xf numFmtId="0" fontId="3" fillId="0" borderId="13" xfId="11" applyNumberFormat="1" applyFont="1" applyFill="1" applyBorder="1" applyAlignment="1">
      <alignment horizontal="center" vertical="center" wrapText="1"/>
    </xf>
    <xf numFmtId="0" fontId="3" fillId="0" borderId="18" xfId="11" applyNumberFormat="1" applyFont="1" applyFill="1" applyBorder="1" applyAlignment="1">
      <alignment horizontal="center" vertical="center" wrapText="1"/>
    </xf>
    <xf numFmtId="0" fontId="3" fillId="0" borderId="7" xfId="0" applyFont="1" applyBorder="1" applyAlignment="1">
      <alignment horizontal="center"/>
    </xf>
    <xf numFmtId="0" fontId="3" fillId="0" borderId="16" xfId="0" applyFont="1" applyBorder="1" applyAlignment="1">
      <alignment horizontal="center"/>
    </xf>
    <xf numFmtId="0" fontId="9" fillId="3" borderId="14" xfId="0" applyFont="1" applyFill="1" applyBorder="1" applyAlignment="1" applyProtection="1">
      <alignment horizontal="center" vertical="center" wrapText="1"/>
    </xf>
    <xf numFmtId="0" fontId="9" fillId="3" borderId="15" xfId="0" applyFont="1" applyFill="1" applyBorder="1" applyAlignment="1" applyProtection="1">
      <alignment horizontal="center" vertical="center" wrapText="1"/>
    </xf>
    <xf numFmtId="0" fontId="9" fillId="0" borderId="8"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39"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3" borderId="38" xfId="0" applyFont="1" applyFill="1" applyBorder="1" applyAlignment="1" applyProtection="1">
      <alignment horizontal="center" vertical="center" wrapText="1"/>
    </xf>
    <xf numFmtId="0" fontId="9" fillId="3" borderId="6" xfId="0" applyFont="1" applyFill="1" applyBorder="1" applyAlignment="1" applyProtection="1">
      <alignment horizontal="center" vertical="center" wrapText="1"/>
    </xf>
    <xf numFmtId="0" fontId="9" fillId="3" borderId="13" xfId="0" applyFont="1" applyFill="1" applyBorder="1" applyAlignment="1" applyProtection="1">
      <alignment horizontal="center" vertical="center" wrapText="1"/>
    </xf>
    <xf numFmtId="0" fontId="9" fillId="3" borderId="18" xfId="0" applyFont="1" applyFill="1" applyBorder="1" applyAlignment="1" applyProtection="1">
      <alignment horizontal="center" vertical="center" wrapText="1"/>
    </xf>
    <xf numFmtId="3" fontId="9" fillId="4" borderId="5" xfId="0" applyNumberFormat="1" applyFont="1" applyFill="1" applyBorder="1" applyAlignment="1" applyProtection="1">
      <alignment horizontal="center" vertical="center" wrapText="1"/>
    </xf>
    <xf numFmtId="3" fontId="9" fillId="3" borderId="36" xfId="0" applyNumberFormat="1" applyFont="1" applyFill="1" applyBorder="1" applyAlignment="1" applyProtection="1">
      <alignment horizontal="center" vertical="center" wrapText="1"/>
    </xf>
    <xf numFmtId="0" fontId="9" fillId="3" borderId="1" xfId="0" applyFont="1" applyFill="1" applyBorder="1" applyAlignment="1" applyProtection="1">
      <alignment horizontal="center" vertical="center" textRotation="90" wrapText="1"/>
    </xf>
    <xf numFmtId="49" fontId="9" fillId="3" borderId="1" xfId="0" applyNumberFormat="1" applyFont="1" applyFill="1" applyBorder="1" applyAlignment="1" applyProtection="1">
      <alignment horizontal="center" vertical="center" textRotation="90" wrapText="1"/>
    </xf>
    <xf numFmtId="0" fontId="9" fillId="3" borderId="5" xfId="0" applyFont="1" applyFill="1" applyBorder="1" applyAlignment="1" applyProtection="1">
      <alignment horizontal="center" vertical="center" textRotation="90"/>
    </xf>
    <xf numFmtId="0" fontId="9" fillId="3" borderId="1" xfId="0" applyFont="1" applyFill="1" applyBorder="1" applyAlignment="1" applyProtection="1">
      <alignment horizontal="center" vertical="center" textRotation="90"/>
    </xf>
    <xf numFmtId="0" fontId="9" fillId="4" borderId="5" xfId="0" applyFont="1" applyFill="1" applyBorder="1" applyAlignment="1" applyProtection="1">
      <alignment horizontal="center" vertical="center"/>
    </xf>
    <xf numFmtId="165" fontId="9" fillId="3" borderId="10" xfId="17" applyFont="1" applyFill="1" applyBorder="1" applyAlignment="1" applyProtection="1">
      <alignment horizontal="center" vertical="center"/>
    </xf>
    <xf numFmtId="165" fontId="9" fillId="3" borderId="11" xfId="17" applyFont="1" applyFill="1" applyBorder="1" applyAlignment="1" applyProtection="1">
      <alignment horizontal="center" vertical="center"/>
    </xf>
    <xf numFmtId="165" fontId="9" fillId="3" borderId="12" xfId="17" applyFont="1" applyFill="1" applyBorder="1" applyAlignment="1" applyProtection="1">
      <alignment horizontal="center" vertical="center"/>
    </xf>
    <xf numFmtId="166" fontId="9" fillId="3" borderId="7" xfId="0" applyNumberFormat="1" applyFont="1" applyFill="1" applyBorder="1" applyAlignment="1" applyProtection="1">
      <alignment horizontal="center" vertical="center" wrapText="1"/>
    </xf>
    <xf numFmtId="166" fontId="9" fillId="3" borderId="8" xfId="0" applyNumberFormat="1" applyFont="1" applyFill="1" applyBorder="1" applyAlignment="1" applyProtection="1">
      <alignment horizontal="center" vertical="center" wrapText="1"/>
    </xf>
    <xf numFmtId="166" fontId="9" fillId="3" borderId="14" xfId="0" applyNumberFormat="1" applyFont="1" applyFill="1" applyBorder="1" applyAlignment="1" applyProtection="1">
      <alignment horizontal="center" vertical="center" wrapText="1"/>
    </xf>
    <xf numFmtId="166" fontId="9" fillId="3" borderId="15" xfId="0" applyNumberFormat="1" applyFont="1" applyFill="1" applyBorder="1" applyAlignment="1" applyProtection="1">
      <alignment horizontal="center" vertical="center" wrapText="1"/>
    </xf>
    <xf numFmtId="0" fontId="3" fillId="7" borderId="6" xfId="0" applyFont="1" applyFill="1" applyBorder="1" applyAlignment="1" applyProtection="1">
      <alignment horizontal="justify" vertical="center" wrapText="1"/>
    </xf>
    <xf numFmtId="0" fontId="3" fillId="7" borderId="13" xfId="0" applyFont="1" applyFill="1" applyBorder="1" applyAlignment="1" applyProtection="1">
      <alignment horizontal="justify" vertical="center" wrapText="1"/>
    </xf>
    <xf numFmtId="0" fontId="3" fillId="7" borderId="18" xfId="0" applyFont="1" applyFill="1" applyBorder="1" applyAlignment="1" applyProtection="1">
      <alignment horizontal="justify" vertical="center" wrapText="1"/>
    </xf>
    <xf numFmtId="3" fontId="3" fillId="7" borderId="6" xfId="0" applyNumberFormat="1" applyFont="1" applyFill="1" applyBorder="1" applyAlignment="1" applyProtection="1">
      <alignment horizontal="justify" vertical="center" wrapText="1"/>
    </xf>
    <xf numFmtId="3" fontId="3" fillId="7" borderId="13" xfId="0" applyNumberFormat="1" applyFont="1" applyFill="1" applyBorder="1" applyAlignment="1" applyProtection="1">
      <alignment horizontal="justify" vertical="center" wrapText="1"/>
    </xf>
    <xf numFmtId="3" fontId="3" fillId="7" borderId="18" xfId="0" applyNumberFormat="1" applyFont="1" applyFill="1" applyBorder="1" applyAlignment="1" applyProtection="1">
      <alignment horizontal="justify" vertical="center" wrapText="1"/>
    </xf>
    <xf numFmtId="1" fontId="3" fillId="7" borderId="6" xfId="0" applyNumberFormat="1" applyFont="1" applyFill="1" applyBorder="1" applyAlignment="1" applyProtection="1">
      <alignment horizontal="center" vertical="center" wrapText="1"/>
    </xf>
    <xf numFmtId="1" fontId="3" fillId="7" borderId="13" xfId="0" applyNumberFormat="1" applyFont="1" applyFill="1" applyBorder="1" applyAlignment="1" applyProtection="1">
      <alignment horizontal="center" vertical="center" wrapText="1"/>
    </xf>
    <xf numFmtId="1" fontId="3" fillId="7" borderId="18" xfId="0" applyNumberFormat="1" applyFont="1" applyFill="1" applyBorder="1" applyAlignment="1" applyProtection="1">
      <alignment horizontal="center" vertical="center" wrapText="1"/>
    </xf>
    <xf numFmtId="0" fontId="9" fillId="5" borderId="1" xfId="0" applyFont="1" applyFill="1" applyBorder="1" applyAlignment="1" applyProtection="1">
      <alignment horizontal="center" vertical="center" wrapText="1"/>
    </xf>
    <xf numFmtId="0" fontId="9" fillId="5" borderId="6" xfId="0" applyFont="1" applyFill="1" applyBorder="1" applyAlignment="1" applyProtection="1">
      <alignment horizontal="center" vertical="center" wrapText="1"/>
    </xf>
    <xf numFmtId="0" fontId="9" fillId="5" borderId="18" xfId="0" applyFont="1" applyFill="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3" fillId="7" borderId="1" xfId="0" applyFont="1" applyFill="1" applyBorder="1" applyAlignment="1" applyProtection="1">
      <alignment horizontal="justify" vertical="center" wrapText="1"/>
    </xf>
    <xf numFmtId="0" fontId="3" fillId="7" borderId="6" xfId="0" applyFont="1" applyFill="1" applyBorder="1" applyAlignment="1" applyProtection="1">
      <alignment horizontal="center" vertical="center" wrapText="1"/>
    </xf>
    <xf numFmtId="0" fontId="3" fillId="7" borderId="13" xfId="0" applyFont="1" applyFill="1" applyBorder="1" applyAlignment="1" applyProtection="1">
      <alignment horizontal="center" vertical="center" wrapText="1"/>
    </xf>
    <xf numFmtId="0" fontId="3" fillId="7" borderId="18" xfId="0" applyFont="1" applyFill="1" applyBorder="1" applyAlignment="1" applyProtection="1">
      <alignment horizontal="center" vertical="center" wrapText="1"/>
    </xf>
    <xf numFmtId="43" fontId="3" fillId="7" borderId="6" xfId="1" applyFont="1" applyFill="1" applyBorder="1" applyAlignment="1" applyProtection="1">
      <alignment horizontal="center" vertical="center" wrapText="1"/>
    </xf>
    <xf numFmtId="43" fontId="3" fillId="7" borderId="13" xfId="1" applyFont="1" applyFill="1" applyBorder="1" applyAlignment="1" applyProtection="1">
      <alignment horizontal="center" vertical="center" wrapText="1"/>
    </xf>
    <xf numFmtId="43" fontId="3" fillId="7" borderId="18" xfId="1" applyFont="1" applyFill="1" applyBorder="1" applyAlignment="1" applyProtection="1">
      <alignment horizontal="center" vertical="center" wrapText="1"/>
    </xf>
    <xf numFmtId="3" fontId="9" fillId="5" borderId="1" xfId="0" applyNumberFormat="1" applyFont="1" applyFill="1" applyBorder="1" applyAlignment="1" applyProtection="1">
      <alignment horizontal="center" vertical="center" wrapText="1"/>
    </xf>
    <xf numFmtId="9" fontId="9" fillId="5" borderId="1" xfId="4" applyFont="1" applyFill="1" applyBorder="1" applyAlignment="1" applyProtection="1">
      <alignment horizontal="center" vertical="center" wrapText="1"/>
    </xf>
    <xf numFmtId="184" fontId="9" fillId="3" borderId="7" xfId="23" applyFont="1" applyFill="1" applyBorder="1" applyAlignment="1" applyProtection="1">
      <alignment horizontal="center" vertical="center" wrapText="1"/>
    </xf>
    <xf numFmtId="184" fontId="9" fillId="3" borderId="9" xfId="23" applyFont="1" applyFill="1" applyBorder="1" applyAlignment="1" applyProtection="1">
      <alignment horizontal="center" vertical="center" wrapText="1"/>
    </xf>
    <xf numFmtId="184" fontId="9" fillId="3" borderId="8" xfId="23" applyFont="1" applyFill="1" applyBorder="1" applyAlignment="1" applyProtection="1">
      <alignment horizontal="center" vertical="center" wrapText="1"/>
    </xf>
    <xf numFmtId="184" fontId="9" fillId="3" borderId="16" xfId="23" applyFont="1" applyFill="1" applyBorder="1" applyAlignment="1" applyProtection="1">
      <alignment horizontal="center" vertical="center" wrapText="1"/>
    </xf>
    <xf numFmtId="184" fontId="9" fillId="3" borderId="0" xfId="23" applyFont="1" applyFill="1" applyAlignment="1" applyProtection="1">
      <alignment horizontal="center" vertical="center" wrapText="1"/>
    </xf>
    <xf numFmtId="184" fontId="9" fillId="3" borderId="17" xfId="23" applyFont="1" applyFill="1" applyBorder="1" applyAlignment="1" applyProtection="1">
      <alignment horizontal="center" vertical="center" wrapText="1"/>
    </xf>
    <xf numFmtId="170" fontId="3" fillId="7" borderId="6" xfId="0" applyNumberFormat="1" applyFont="1" applyFill="1" applyBorder="1" applyAlignment="1" applyProtection="1">
      <alignment horizontal="center" vertical="center" wrapText="1"/>
    </xf>
    <xf numFmtId="170" fontId="3" fillId="7" borderId="13" xfId="0" applyNumberFormat="1" applyFont="1" applyFill="1" applyBorder="1" applyAlignment="1" applyProtection="1">
      <alignment horizontal="center" vertical="center" wrapText="1"/>
    </xf>
    <xf numFmtId="170" fontId="3" fillId="7" borderId="18" xfId="0" applyNumberFormat="1" applyFont="1" applyFill="1" applyBorder="1" applyAlignment="1" applyProtection="1">
      <alignment horizontal="center" vertical="center" wrapText="1"/>
    </xf>
    <xf numFmtId="0" fontId="3" fillId="7" borderId="0" xfId="0" applyFont="1" applyFill="1" applyAlignment="1" applyProtection="1">
      <alignment horizontal="center" vertical="center" wrapText="1"/>
    </xf>
    <xf numFmtId="0" fontId="3" fillId="0" borderId="1" xfId="0" applyFont="1" applyBorder="1" applyAlignment="1" applyProtection="1">
      <alignment horizontal="justify" vertical="center" wrapText="1"/>
    </xf>
    <xf numFmtId="3" fontId="3" fillId="7" borderId="6" xfId="0" applyNumberFormat="1" applyFont="1" applyFill="1" applyBorder="1" applyAlignment="1" applyProtection="1">
      <alignment horizontal="center" vertical="center" wrapText="1"/>
    </xf>
    <xf numFmtId="3" fontId="3" fillId="7" borderId="13" xfId="0" applyNumberFormat="1" applyFont="1" applyFill="1" applyBorder="1" applyAlignment="1" applyProtection="1">
      <alignment horizontal="center" vertical="center" wrapText="1"/>
    </xf>
    <xf numFmtId="3" fontId="3" fillId="7" borderId="18" xfId="0" applyNumberFormat="1" applyFont="1" applyFill="1" applyBorder="1" applyAlignment="1" applyProtection="1">
      <alignment horizontal="center" vertical="center" wrapText="1"/>
    </xf>
    <xf numFmtId="9" fontId="3" fillId="7" borderId="6" xfId="4" applyFont="1" applyFill="1" applyBorder="1" applyAlignment="1" applyProtection="1">
      <alignment horizontal="center" vertical="center" wrapText="1"/>
    </xf>
    <xf numFmtId="9" fontId="3" fillId="7" borderId="13" xfId="4" applyFont="1" applyFill="1" applyBorder="1" applyAlignment="1" applyProtection="1">
      <alignment horizontal="center" vertical="center" wrapText="1"/>
    </xf>
    <xf numFmtId="9" fontId="3" fillId="7" borderId="18" xfId="4" applyFont="1" applyFill="1" applyBorder="1" applyAlignment="1" applyProtection="1">
      <alignment horizontal="center" vertical="center" wrapText="1"/>
    </xf>
    <xf numFmtId="0" fontId="3" fillId="7" borderId="1" xfId="0" applyFont="1" applyFill="1" applyBorder="1" applyAlignment="1" applyProtection="1">
      <alignment horizontal="center"/>
    </xf>
    <xf numFmtId="1" fontId="3" fillId="7" borderId="1" xfId="0" applyNumberFormat="1" applyFont="1" applyFill="1" applyBorder="1" applyAlignment="1" applyProtection="1">
      <alignment horizontal="center" vertical="center" wrapText="1"/>
    </xf>
    <xf numFmtId="43" fontId="3" fillId="7" borderId="1" xfId="1" applyFont="1" applyFill="1" applyBorder="1" applyAlignment="1" applyProtection="1">
      <alignment horizontal="center" vertical="center" wrapText="1"/>
    </xf>
    <xf numFmtId="170" fontId="3" fillId="7" borderId="1" xfId="0" applyNumberFormat="1" applyFont="1" applyFill="1" applyBorder="1" applyAlignment="1" applyProtection="1">
      <alignment horizontal="center" vertical="center" wrapText="1"/>
    </xf>
    <xf numFmtId="3" fontId="3" fillId="7" borderId="1" xfId="0" applyNumberFormat="1" applyFont="1" applyFill="1" applyBorder="1" applyAlignment="1" applyProtection="1">
      <alignment horizontal="justify" vertical="center" wrapText="1"/>
    </xf>
    <xf numFmtId="9" fontId="3" fillId="7" borderId="1" xfId="4" applyFont="1" applyFill="1" applyBorder="1" applyAlignment="1" applyProtection="1">
      <alignment horizontal="center" vertical="center" wrapText="1"/>
    </xf>
    <xf numFmtId="0" fontId="3" fillId="7" borderId="7" xfId="0" applyFont="1" applyFill="1" applyBorder="1" applyAlignment="1" applyProtection="1">
      <alignment horizontal="center"/>
    </xf>
    <xf numFmtId="0" fontId="3" fillId="7" borderId="16" xfId="0" applyFont="1" applyFill="1" applyBorder="1" applyAlignment="1" applyProtection="1">
      <alignment horizontal="center"/>
    </xf>
    <xf numFmtId="0" fontId="3" fillId="7" borderId="14" xfId="0" applyFont="1" applyFill="1" applyBorder="1" applyAlignment="1" applyProtection="1">
      <alignment horizontal="center"/>
    </xf>
    <xf numFmtId="170" fontId="3" fillId="7" borderId="6" xfId="0" applyNumberFormat="1" applyFont="1" applyFill="1" applyBorder="1" applyAlignment="1" applyProtection="1">
      <alignment horizontal="justify" vertical="center" wrapText="1"/>
    </xf>
    <xf numFmtId="170" fontId="3" fillId="7" borderId="13" xfId="0" applyNumberFormat="1" applyFont="1" applyFill="1" applyBorder="1" applyAlignment="1" applyProtection="1">
      <alignment horizontal="justify" vertical="center" wrapText="1"/>
    </xf>
    <xf numFmtId="0" fontId="3" fillId="0" borderId="6" xfId="0" applyFont="1" applyBorder="1" applyAlignment="1" applyProtection="1">
      <alignment horizontal="justify" vertical="top" wrapText="1"/>
    </xf>
    <xf numFmtId="0" fontId="3" fillId="0" borderId="13" xfId="0" applyFont="1" applyBorder="1" applyAlignment="1" applyProtection="1">
      <alignment horizontal="justify" vertical="top" wrapText="1"/>
    </xf>
    <xf numFmtId="172" fontId="3" fillId="7" borderId="6" xfId="0" applyNumberFormat="1" applyFont="1" applyFill="1" applyBorder="1" applyAlignment="1" applyProtection="1">
      <alignment horizontal="center" vertical="center" wrapText="1"/>
    </xf>
    <xf numFmtId="172" fontId="3" fillId="7" borderId="13" xfId="0" applyNumberFormat="1" applyFont="1" applyFill="1" applyBorder="1" applyAlignment="1" applyProtection="1">
      <alignment horizontal="center" vertical="center" wrapText="1"/>
    </xf>
    <xf numFmtId="0" fontId="3" fillId="7" borderId="6" xfId="0" applyFont="1" applyFill="1" applyBorder="1" applyAlignment="1" applyProtection="1">
      <alignment horizontal="center"/>
    </xf>
    <xf numFmtId="0" fontId="3" fillId="7" borderId="13" xfId="0" applyFont="1" applyFill="1" applyBorder="1" applyAlignment="1" applyProtection="1">
      <alignment horizontal="center"/>
    </xf>
    <xf numFmtId="9" fontId="3" fillId="7" borderId="6" xfId="0" applyNumberFormat="1" applyFont="1" applyFill="1" applyBorder="1" applyAlignment="1" applyProtection="1">
      <alignment horizontal="center" vertical="center" wrapText="1"/>
    </xf>
    <xf numFmtId="9" fontId="3" fillId="7" borderId="18" xfId="0" applyNumberFormat="1" applyFont="1" applyFill="1" applyBorder="1" applyAlignment="1" applyProtection="1">
      <alignment horizontal="center" vertical="center" wrapText="1"/>
    </xf>
    <xf numFmtId="0" fontId="3" fillId="7" borderId="6" xfId="0" applyFont="1" applyFill="1" applyBorder="1" applyAlignment="1" applyProtection="1">
      <alignment horizontal="justify" vertical="top" wrapText="1"/>
    </xf>
    <xf numFmtId="0" fontId="3" fillId="7" borderId="18" xfId="0" applyFont="1" applyFill="1" applyBorder="1" applyAlignment="1" applyProtection="1">
      <alignment horizontal="justify" vertical="top" wrapText="1"/>
    </xf>
    <xf numFmtId="0" fontId="3" fillId="7" borderId="2" xfId="0" applyFont="1" applyFill="1" applyBorder="1" applyAlignment="1" applyProtection="1">
      <alignment horizontal="center" vertical="center" wrapText="1"/>
    </xf>
    <xf numFmtId="0" fontId="3" fillId="7" borderId="15" xfId="0" applyFont="1" applyFill="1" applyBorder="1" applyAlignment="1" applyProtection="1">
      <alignment horizontal="center" vertical="center" wrapText="1"/>
    </xf>
    <xf numFmtId="0" fontId="2" fillId="3" borderId="70" xfId="0" applyFont="1" applyFill="1" applyBorder="1" applyAlignment="1" applyProtection="1">
      <alignment horizontal="center" vertical="center" wrapText="1"/>
    </xf>
    <xf numFmtId="0" fontId="2" fillId="3" borderId="38" xfId="0" applyFont="1" applyFill="1" applyBorder="1" applyAlignment="1" applyProtection="1">
      <alignment horizontal="center" vertical="center" wrapText="1"/>
    </xf>
    <xf numFmtId="0" fontId="2" fillId="3" borderId="72" xfId="0" applyFont="1" applyFill="1" applyBorder="1" applyAlignment="1" applyProtection="1">
      <alignment horizontal="center" vertical="center" wrapText="1"/>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8" xfId="0" applyFont="1" applyBorder="1" applyAlignment="1" applyProtection="1">
      <alignment horizontal="center" vertical="center"/>
    </xf>
    <xf numFmtId="0" fontId="4" fillId="3" borderId="96" xfId="0" applyFont="1" applyFill="1" applyBorder="1" applyAlignment="1" applyProtection="1">
      <alignment horizontal="center" vertical="center" wrapText="1"/>
    </xf>
    <xf numFmtId="0" fontId="4" fillId="3" borderId="33" xfId="0" applyFont="1" applyFill="1" applyBorder="1" applyAlignment="1" applyProtection="1">
      <alignment horizontal="center" vertical="center" wrapText="1"/>
    </xf>
    <xf numFmtId="0" fontId="5" fillId="3" borderId="75"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3" fontId="4" fillId="4" borderId="10" xfId="0" applyNumberFormat="1" applyFont="1" applyFill="1" applyBorder="1" applyAlignment="1" applyProtection="1">
      <alignment horizontal="center" vertical="center" wrapText="1"/>
    </xf>
    <xf numFmtId="3" fontId="4" fillId="4" borderId="11" xfId="0" applyNumberFormat="1" applyFont="1" applyFill="1" applyBorder="1" applyAlignment="1" applyProtection="1">
      <alignment horizontal="center" vertical="center" wrapText="1"/>
    </xf>
    <xf numFmtId="3" fontId="4" fillId="4" borderId="12" xfId="0" applyNumberFormat="1" applyFont="1" applyFill="1" applyBorder="1" applyAlignment="1" applyProtection="1">
      <alignment horizontal="center" vertical="center" wrapText="1"/>
    </xf>
    <xf numFmtId="0" fontId="4" fillId="4" borderId="10" xfId="0" applyFont="1" applyFill="1" applyBorder="1" applyAlignment="1" applyProtection="1">
      <alignment horizontal="center" vertical="center" wrapText="1"/>
    </xf>
    <xf numFmtId="0" fontId="4" fillId="4" borderId="11" xfId="0" applyFont="1" applyFill="1" applyBorder="1" applyAlignment="1" applyProtection="1">
      <alignment horizontal="center" vertical="center" wrapText="1"/>
    </xf>
    <xf numFmtId="0" fontId="4" fillId="4" borderId="12" xfId="0" applyFont="1" applyFill="1" applyBorder="1" applyAlignment="1" applyProtection="1">
      <alignment horizontal="center" vertical="center" wrapText="1"/>
    </xf>
    <xf numFmtId="3" fontId="2" fillId="3" borderId="34" xfId="0" applyNumberFormat="1" applyFont="1" applyFill="1" applyBorder="1" applyAlignment="1" applyProtection="1">
      <alignment horizontal="center" vertical="center" wrapText="1"/>
    </xf>
    <xf numFmtId="3" fontId="2" fillId="3" borderId="36" xfId="0" applyNumberFormat="1" applyFont="1" applyFill="1" applyBorder="1" applyAlignment="1" applyProtection="1">
      <alignment horizontal="center" vertical="center" wrapText="1"/>
    </xf>
    <xf numFmtId="3" fontId="2" fillId="3" borderId="76" xfId="0" applyNumberFormat="1" applyFont="1" applyFill="1" applyBorder="1" applyAlignment="1" applyProtection="1">
      <alignment horizontal="center" vertical="center" wrapText="1"/>
    </xf>
    <xf numFmtId="49" fontId="4" fillId="3" borderId="1" xfId="0" applyNumberFormat="1" applyFont="1" applyFill="1" applyBorder="1" applyAlignment="1" applyProtection="1">
      <alignment horizontal="center" vertical="center" textRotation="90" wrapText="1"/>
    </xf>
    <xf numFmtId="0" fontId="4" fillId="4" borderId="10"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0" fontId="4" fillId="4" borderId="96" xfId="0" applyFont="1" applyFill="1" applyBorder="1" applyAlignment="1" applyProtection="1">
      <alignment horizontal="center" vertical="center" textRotation="90" wrapText="1"/>
    </xf>
    <xf numFmtId="0" fontId="4" fillId="4" borderId="33" xfId="0" applyFont="1" applyFill="1" applyBorder="1" applyAlignment="1" applyProtection="1">
      <alignment horizontal="center" vertical="center" textRotation="90" wrapText="1"/>
    </xf>
    <xf numFmtId="166" fontId="4" fillId="3" borderId="96" xfId="0" applyNumberFormat="1" applyFont="1" applyFill="1" applyBorder="1" applyAlignment="1" applyProtection="1">
      <alignment horizontal="center" vertical="center" wrapText="1"/>
    </xf>
    <xf numFmtId="166" fontId="4" fillId="3" borderId="33" xfId="0" applyNumberFormat="1" applyFont="1" applyFill="1" applyBorder="1" applyAlignment="1" applyProtection="1">
      <alignment horizontal="center" vertical="center" wrapText="1"/>
    </xf>
    <xf numFmtId="0" fontId="20" fillId="0" borderId="1" xfId="0" applyFont="1" applyBorder="1" applyAlignment="1" applyProtection="1">
      <alignment horizontal="left" vertical="center" wrapText="1"/>
    </xf>
    <xf numFmtId="0" fontId="20" fillId="0" borderId="1" xfId="0" applyFont="1" applyBorder="1" applyAlignment="1" applyProtection="1">
      <alignment horizontal="justify" vertical="center" wrapText="1"/>
    </xf>
    <xf numFmtId="0" fontId="20" fillId="0" borderId="6" xfId="0" applyFont="1" applyBorder="1" applyAlignment="1" applyProtection="1">
      <alignment horizontal="justify" vertical="center" wrapText="1"/>
    </xf>
    <xf numFmtId="0" fontId="20" fillId="0" borderId="13" xfId="0" applyFont="1" applyBorder="1" applyAlignment="1" applyProtection="1">
      <alignment horizontal="justify" vertical="center" wrapText="1"/>
    </xf>
    <xf numFmtId="0" fontId="8" fillId="0" borderId="6"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43" fontId="8" fillId="0" borderId="6" xfId="1" applyFont="1" applyBorder="1" applyAlignment="1" applyProtection="1">
      <alignment horizontal="center" vertical="center" wrapText="1"/>
    </xf>
    <xf numFmtId="43" fontId="8" fillId="0" borderId="13" xfId="1" applyFont="1" applyBorder="1" applyAlignment="1" applyProtection="1">
      <alignment horizontal="center" vertical="center" wrapText="1"/>
    </xf>
    <xf numFmtId="43" fontId="8" fillId="0" borderId="19" xfId="1" applyFont="1" applyBorder="1" applyAlignment="1" applyProtection="1">
      <alignment horizontal="center" vertical="center" wrapText="1"/>
    </xf>
    <xf numFmtId="9" fontId="8" fillId="0" borderId="6" xfId="4" applyFont="1" applyBorder="1" applyAlignment="1" applyProtection="1">
      <alignment horizontal="center" vertical="center" wrapText="1"/>
    </xf>
    <xf numFmtId="9" fontId="8" fillId="0" borderId="13" xfId="4" applyFont="1" applyBorder="1" applyAlignment="1" applyProtection="1">
      <alignment horizontal="center" vertical="center" wrapText="1"/>
    </xf>
    <xf numFmtId="9" fontId="8" fillId="0" borderId="19" xfId="4" applyFont="1" applyBorder="1" applyAlignment="1" applyProtection="1">
      <alignment horizontal="center" vertical="center" wrapText="1"/>
    </xf>
    <xf numFmtId="0" fontId="12" fillId="0" borderId="20" xfId="0" applyFont="1" applyBorder="1" applyAlignment="1" applyProtection="1">
      <alignment horizontal="center" vertical="center"/>
    </xf>
    <xf numFmtId="0" fontId="12" fillId="0" borderId="21" xfId="0" applyFont="1" applyBorder="1" applyAlignment="1" applyProtection="1">
      <alignment horizontal="center" vertical="center"/>
    </xf>
    <xf numFmtId="0" fontId="12" fillId="0" borderId="23" xfId="0" applyFont="1" applyBorder="1" applyAlignment="1" applyProtection="1">
      <alignment horizontal="center" vertical="center"/>
    </xf>
    <xf numFmtId="0" fontId="20" fillId="0" borderId="1" xfId="0" applyFont="1" applyBorder="1" applyAlignment="1" applyProtection="1">
      <alignment horizontal="center" vertical="center" wrapText="1"/>
    </xf>
    <xf numFmtId="1" fontId="20" fillId="0" borderId="1" xfId="0" applyNumberFormat="1" applyFont="1" applyBorder="1" applyAlignment="1" applyProtection="1">
      <alignment horizontal="center" vertical="center" wrapText="1"/>
    </xf>
    <xf numFmtId="9" fontId="20" fillId="0" borderId="6" xfId="0" applyNumberFormat="1" applyFont="1" applyBorder="1" applyAlignment="1" applyProtection="1">
      <alignment horizontal="center" vertical="center" wrapText="1"/>
    </xf>
    <xf numFmtId="9" fontId="20" fillId="0" borderId="13" xfId="0" applyNumberFormat="1" applyFont="1" applyBorder="1" applyAlignment="1" applyProtection="1">
      <alignment horizontal="center" vertical="center" wrapText="1"/>
    </xf>
    <xf numFmtId="43" fontId="20" fillId="0" borderId="6" xfId="1" applyFont="1" applyBorder="1" applyAlignment="1" applyProtection="1">
      <alignment horizontal="center" vertical="center" wrapText="1"/>
    </xf>
    <xf numFmtId="43" fontId="20" fillId="0" borderId="13" xfId="1" applyFont="1" applyBorder="1" applyAlignment="1" applyProtection="1">
      <alignment horizontal="center" vertical="center" wrapText="1"/>
    </xf>
    <xf numFmtId="166" fontId="8" fillId="0" borderId="1" xfId="0" applyNumberFormat="1" applyFont="1" applyBorder="1" applyAlignment="1" applyProtection="1">
      <alignment horizontal="center" vertical="center" wrapText="1"/>
    </xf>
    <xf numFmtId="3" fontId="20" fillId="0" borderId="36" xfId="0" applyNumberFormat="1" applyFont="1" applyBorder="1" applyAlignment="1" applyProtection="1">
      <alignment horizontal="center" vertical="center" wrapText="1"/>
    </xf>
    <xf numFmtId="2" fontId="3" fillId="0" borderId="6" xfId="0" applyNumberFormat="1" applyFont="1" applyBorder="1" applyAlignment="1">
      <alignment horizontal="center" vertical="center" wrapText="1"/>
    </xf>
    <xf numFmtId="2" fontId="3" fillId="0" borderId="18" xfId="0" applyNumberFormat="1" applyFont="1" applyBorder="1" applyAlignment="1">
      <alignment horizontal="center" vertical="center" wrapText="1"/>
    </xf>
    <xf numFmtId="0" fontId="8" fillId="0" borderId="1" xfId="0" applyFont="1" applyFill="1" applyBorder="1" applyAlignment="1">
      <alignment horizontal="justify" vertical="center" wrapText="1"/>
    </xf>
    <xf numFmtId="0" fontId="8" fillId="0" borderId="6" xfId="0" applyFont="1" applyFill="1" applyBorder="1" applyAlignment="1">
      <alignment horizontal="justify" vertical="center" wrapText="1"/>
    </xf>
    <xf numFmtId="9" fontId="8" fillId="0" borderId="6" xfId="4" applyFont="1" applyFill="1" applyBorder="1" applyAlignment="1">
      <alignment horizontal="center" vertical="center" wrapText="1"/>
    </xf>
    <xf numFmtId="9" fontId="8" fillId="0" borderId="18" xfId="4" applyFont="1" applyFill="1" applyBorder="1" applyAlignment="1">
      <alignment horizontal="center" vertical="center" wrapText="1"/>
    </xf>
    <xf numFmtId="3" fontId="8" fillId="7" borderId="6" xfId="0" applyNumberFormat="1" applyFont="1" applyFill="1" applyBorder="1" applyAlignment="1">
      <alignment horizontal="center" vertical="center" wrapText="1"/>
    </xf>
    <xf numFmtId="3" fontId="8" fillId="7" borderId="18" xfId="0" applyNumberFormat="1" applyFont="1" applyFill="1" applyBorder="1" applyAlignment="1">
      <alignment horizontal="center" vertical="center" wrapText="1"/>
    </xf>
    <xf numFmtId="0" fontId="8" fillId="7" borderId="1" xfId="0" applyFont="1" applyFill="1" applyBorder="1" applyAlignment="1">
      <alignment horizontal="justify" vertical="center" wrapText="1"/>
    </xf>
    <xf numFmtId="0" fontId="8" fillId="7" borderId="6" xfId="0" applyFont="1" applyFill="1" applyBorder="1" applyAlignment="1">
      <alignment horizontal="justify" vertical="center" wrapText="1"/>
    </xf>
    <xf numFmtId="0" fontId="8" fillId="7" borderId="13" xfId="0" applyFont="1" applyFill="1" applyBorder="1" applyAlignment="1">
      <alignment horizontal="justify" vertical="center" wrapText="1"/>
    </xf>
    <xf numFmtId="0" fontId="8" fillId="7" borderId="18" xfId="0" applyFont="1" applyFill="1" applyBorder="1" applyAlignment="1">
      <alignment horizontal="justify" vertical="center" wrapText="1"/>
    </xf>
    <xf numFmtId="2" fontId="8" fillId="7" borderId="6" xfId="0" applyNumberFormat="1" applyFont="1" applyFill="1" applyBorder="1" applyAlignment="1">
      <alignment horizontal="justify" vertical="center" wrapText="1"/>
    </xf>
    <xf numFmtId="2" fontId="8" fillId="7" borderId="18" xfId="0" applyNumberFormat="1" applyFont="1" applyFill="1" applyBorder="1" applyAlignment="1">
      <alignment horizontal="justify" vertical="center" wrapText="1"/>
    </xf>
    <xf numFmtId="0" fontId="8" fillId="7" borderId="6" xfId="0" applyFont="1" applyFill="1" applyBorder="1" applyAlignment="1">
      <alignment horizontal="center" vertical="center" wrapText="1"/>
    </xf>
    <xf numFmtId="0" fontId="8" fillId="7" borderId="18" xfId="0" applyFont="1" applyFill="1" applyBorder="1" applyAlignment="1">
      <alignment horizontal="center" vertical="center" wrapText="1"/>
    </xf>
    <xf numFmtId="10" fontId="3" fillId="0" borderId="1" xfId="0" applyNumberFormat="1" applyFont="1" applyBorder="1" applyAlignment="1">
      <alignment horizontal="center" vertical="center" wrapText="1"/>
    </xf>
    <xf numFmtId="0" fontId="8" fillId="0" borderId="18" xfId="0" applyFont="1" applyFill="1" applyBorder="1" applyAlignment="1">
      <alignment horizontal="justify" vertical="center" wrapText="1"/>
    </xf>
  </cellXfs>
  <cellStyles count="30">
    <cellStyle name="Excel Built-in Normal" xfId="24"/>
    <cellStyle name="Excel Built-in Normal 2" xfId="29"/>
    <cellStyle name="Millares" xfId="1" builtinId="3"/>
    <cellStyle name="Millares [0]" xfId="2" builtinId="6"/>
    <cellStyle name="Millares [0] 2" xfId="12"/>
    <cellStyle name="Millares [0] 3" xfId="9"/>
    <cellStyle name="Millares [0] 4" xfId="27"/>
    <cellStyle name="Millares 2" xfId="7"/>
    <cellStyle name="Millares 2 2" xfId="11"/>
    <cellStyle name="Millares 2 2 2" xfId="19"/>
    <cellStyle name="Millares 2 2 2 2" xfId="28"/>
    <cellStyle name="Millares 3 2" xfId="14"/>
    <cellStyle name="Millares 3 3" xfId="22"/>
    <cellStyle name="Millares 4" xfId="8"/>
    <cellStyle name="Moneda" xfId="3" builtinId="4"/>
    <cellStyle name="Moneda [0] 2" xfId="23"/>
    <cellStyle name="Moneda [0] 2 3" xfId="16"/>
    <cellStyle name="Moneda 2" xfId="21"/>
    <cellStyle name="Normal" xfId="0" builtinId="0"/>
    <cellStyle name="Normal 2" xfId="5"/>
    <cellStyle name="Normal 2 2" xfId="18"/>
    <cellStyle name="Normal 2 2 2" xfId="17"/>
    <cellStyle name="Normal 2 3 2" xfId="10"/>
    <cellStyle name="Normal 3 2" xfId="20"/>
    <cellStyle name="Normal 4" xfId="25"/>
    <cellStyle name="Normal 7" xfId="26"/>
    <cellStyle name="Porcentaje" xfId="4" builtinId="5"/>
    <cellStyle name="Porcentaje 2 2" xfId="6"/>
    <cellStyle name="Porcentaje 2 2 2" xfId="15"/>
    <cellStyle name="Porcentaje 2 3"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27213</xdr:colOff>
      <xdr:row>0</xdr:row>
      <xdr:rowOff>176893</xdr:rowOff>
    </xdr:from>
    <xdr:ext cx="993321" cy="925286"/>
    <xdr:pic>
      <xdr:nvPicPr>
        <xdr:cNvPr id="2" name="Imagen 1" descr="C:\Users\AUXPLANEACION03\Desktop\Gobernacion_del_quindio.jpg">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6413" y="176893"/>
          <a:ext cx="993321" cy="925286"/>
        </a:xfrm>
        <a:prstGeom prst="rect">
          <a:avLst/>
        </a:prstGeom>
        <a:noFill/>
        <a:ln>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1</xdr:col>
      <xdr:colOff>27213</xdr:colOff>
      <xdr:row>0</xdr:row>
      <xdr:rowOff>176893</xdr:rowOff>
    </xdr:from>
    <xdr:ext cx="993321" cy="925286"/>
    <xdr:pic>
      <xdr:nvPicPr>
        <xdr:cNvPr id="2" name="Imagen 1" descr="C:\Users\AUXPLANEACION03\Desktop\Gobernacion_del_quindio.jpg">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2088" y="176893"/>
          <a:ext cx="993321" cy="925286"/>
        </a:xfrm>
        <a:prstGeom prst="rect">
          <a:avLst/>
        </a:prstGeom>
        <a:noFill/>
        <a:ln>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1</xdr:col>
      <xdr:colOff>27213</xdr:colOff>
      <xdr:row>0</xdr:row>
      <xdr:rowOff>176893</xdr:rowOff>
    </xdr:from>
    <xdr:ext cx="993321" cy="925286"/>
    <xdr:pic>
      <xdr:nvPicPr>
        <xdr:cNvPr id="2" name="Imagen 1" descr="C:\Users\AUXPLANEACION03\Desktop\Gobernacion_del_quindio.jpg">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1138" y="176893"/>
          <a:ext cx="993321" cy="925286"/>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27215</xdr:colOff>
      <xdr:row>0</xdr:row>
      <xdr:rowOff>0</xdr:rowOff>
    </xdr:from>
    <xdr:to>
      <xdr:col>1</xdr:col>
      <xdr:colOff>675597</xdr:colOff>
      <xdr:row>0</xdr:row>
      <xdr:rowOff>22225</xdr:rowOff>
    </xdr:to>
    <xdr:pic>
      <xdr:nvPicPr>
        <xdr:cNvPr id="2" name="Imagen 1" descr="C:\Users\AUXPLANEACION03\Desktop\Gobernacion_del_quindio.jpg">
          <a:extLst>
            <a:ext uri="{FF2B5EF4-FFF2-40B4-BE49-F238E27FC236}">
              <a16:creationId xmlns:a16="http://schemas.microsoft.com/office/drawing/2014/main" xmlns="" id="{8C9C2E1F-9A2B-41D3-BF11-6F21FB8811B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7790" y="0"/>
          <a:ext cx="648382" cy="22225"/>
        </a:xfrm>
        <a:prstGeom prst="rect">
          <a:avLst/>
        </a:prstGeom>
        <a:noFill/>
        <a:ln>
          <a:noFill/>
        </a:ln>
      </xdr:spPr>
    </xdr:pic>
    <xdr:clientData/>
  </xdr:twoCellAnchor>
  <xdr:twoCellAnchor editAs="oneCell">
    <xdr:from>
      <xdr:col>1</xdr:col>
      <xdr:colOff>27215</xdr:colOff>
      <xdr:row>0</xdr:row>
      <xdr:rowOff>0</xdr:rowOff>
    </xdr:from>
    <xdr:to>
      <xdr:col>1</xdr:col>
      <xdr:colOff>678565</xdr:colOff>
      <xdr:row>0</xdr:row>
      <xdr:rowOff>22225</xdr:rowOff>
    </xdr:to>
    <xdr:pic>
      <xdr:nvPicPr>
        <xdr:cNvPr id="3" name="Imagen 2" descr="C:\Users\AUXPLANEACION03\Desktop\Gobernacion_del_quindio.jpg">
          <a:extLst>
            <a:ext uri="{FF2B5EF4-FFF2-40B4-BE49-F238E27FC236}">
              <a16:creationId xmlns:a16="http://schemas.microsoft.com/office/drawing/2014/main" xmlns="" id="{F6F5FCC1-1292-48D4-95DE-F9AE45173DB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7790" y="0"/>
          <a:ext cx="651350" cy="222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27213</xdr:colOff>
      <xdr:row>0</xdr:row>
      <xdr:rowOff>176893</xdr:rowOff>
    </xdr:from>
    <xdr:ext cx="993321" cy="925286"/>
    <xdr:pic>
      <xdr:nvPicPr>
        <xdr:cNvPr id="2" name="Imagen 1" descr="C:\Users\AUXPLANEACION03\Desktop\Gobernacion_del_quindio.jpg">
          <a:extLst>
            <a:ext uri="{FF2B5EF4-FFF2-40B4-BE49-F238E27FC236}">
              <a16:creationId xmlns=""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3513" y="176893"/>
          <a:ext cx="993321" cy="925286"/>
        </a:xfrm>
        <a:prstGeom prst="rect">
          <a:avLst/>
        </a:prstGeom>
        <a:noFill/>
        <a:ln>
          <a:noFill/>
        </a:ln>
      </xdr:spPr>
    </xdr:pic>
    <xdr:clientData/>
  </xdr:oneCellAnchor>
  <xdr:oneCellAnchor>
    <xdr:from>
      <xdr:col>1</xdr:col>
      <xdr:colOff>27213</xdr:colOff>
      <xdr:row>0</xdr:row>
      <xdr:rowOff>176893</xdr:rowOff>
    </xdr:from>
    <xdr:ext cx="993321" cy="925286"/>
    <xdr:pic>
      <xdr:nvPicPr>
        <xdr:cNvPr id="3" name="Imagen 2" descr="C:\Users\AUXPLANEACION03\Desktop\Gobernacion_del_quindio.jpg">
          <a:extLst>
            <a:ext uri="{FF2B5EF4-FFF2-40B4-BE49-F238E27FC236}">
              <a16:creationId xmlns:a16="http://schemas.microsoft.com/office/drawing/2014/main" xmlns=""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3513" y="176893"/>
          <a:ext cx="993321" cy="925286"/>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27213</xdr:colOff>
      <xdr:row>0</xdr:row>
      <xdr:rowOff>176893</xdr:rowOff>
    </xdr:from>
    <xdr:ext cx="993321" cy="925286"/>
    <xdr:pic>
      <xdr:nvPicPr>
        <xdr:cNvPr id="2" name="Imagen 1" descr="C:\Users\AUXPLANEACION03\Desktop\Gobernacion_del_quindio.jpg">
          <a:extLst>
            <a:ext uri="{FF2B5EF4-FFF2-40B4-BE49-F238E27FC236}">
              <a16:creationId xmlns=""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038" y="176893"/>
          <a:ext cx="993321" cy="925286"/>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27215</xdr:colOff>
      <xdr:row>0</xdr:row>
      <xdr:rowOff>0</xdr:rowOff>
    </xdr:from>
    <xdr:to>
      <xdr:col>1</xdr:col>
      <xdr:colOff>675597</xdr:colOff>
      <xdr:row>0</xdr:row>
      <xdr:rowOff>22225</xdr:rowOff>
    </xdr:to>
    <xdr:pic>
      <xdr:nvPicPr>
        <xdr:cNvPr id="2" name="Imagen 1" descr="C:\Users\AUXPLANEACION03\Desktop\Gobernacion_del_quindio.jpg">
          <a:extLst>
            <a:ext uri="{FF2B5EF4-FFF2-40B4-BE49-F238E27FC236}">
              <a16:creationId xmlns="" xmlns:a16="http://schemas.microsoft.com/office/drawing/2014/main" id="{8C9C2E1F-9A2B-41D3-BF11-6F21FB8811B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9340" y="0"/>
          <a:ext cx="648382" cy="22225"/>
        </a:xfrm>
        <a:prstGeom prst="rect">
          <a:avLst/>
        </a:prstGeom>
        <a:noFill/>
        <a:ln>
          <a:noFill/>
        </a:ln>
      </xdr:spPr>
    </xdr:pic>
    <xdr:clientData/>
  </xdr:twoCellAnchor>
  <xdr:twoCellAnchor editAs="oneCell">
    <xdr:from>
      <xdr:col>1</xdr:col>
      <xdr:colOff>27215</xdr:colOff>
      <xdr:row>0</xdr:row>
      <xdr:rowOff>0</xdr:rowOff>
    </xdr:from>
    <xdr:to>
      <xdr:col>1</xdr:col>
      <xdr:colOff>678565</xdr:colOff>
      <xdr:row>0</xdr:row>
      <xdr:rowOff>22225</xdr:rowOff>
    </xdr:to>
    <xdr:pic>
      <xdr:nvPicPr>
        <xdr:cNvPr id="3" name="Imagen 2" descr="C:\Users\AUXPLANEACION03\Desktop\Gobernacion_del_quindio.jpg">
          <a:extLst>
            <a:ext uri="{FF2B5EF4-FFF2-40B4-BE49-F238E27FC236}">
              <a16:creationId xmlns="" xmlns:a16="http://schemas.microsoft.com/office/drawing/2014/main" id="{F6F5FCC1-1292-48D4-95DE-F9AE45173DB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9340" y="0"/>
          <a:ext cx="651350" cy="222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27213</xdr:colOff>
      <xdr:row>0</xdr:row>
      <xdr:rowOff>176893</xdr:rowOff>
    </xdr:from>
    <xdr:ext cx="993321" cy="925286"/>
    <xdr:pic>
      <xdr:nvPicPr>
        <xdr:cNvPr id="2" name="Imagen 1" descr="C:\Users\AUXPLANEACION03\Desktop\Gobernacion_del_quindio.jpg">
          <a:extLst>
            <a:ext uri="{FF2B5EF4-FFF2-40B4-BE49-F238E27FC236}">
              <a16:creationId xmlns=""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5413" y="176893"/>
          <a:ext cx="993321" cy="925286"/>
        </a:xfrm>
        <a:prstGeom prst="rect">
          <a:avLst/>
        </a:prstGeom>
        <a:noFill/>
        <a:ln>
          <a:noFill/>
        </a:ln>
      </xdr:spPr>
    </xdr:pic>
    <xdr:clientData/>
  </xdr:oneCellAnchor>
  <xdr:twoCellAnchor editAs="oneCell">
    <xdr:from>
      <xdr:col>1</xdr:col>
      <xdr:colOff>27215</xdr:colOff>
      <xdr:row>0</xdr:row>
      <xdr:rowOff>0</xdr:rowOff>
    </xdr:from>
    <xdr:to>
      <xdr:col>2</xdr:col>
      <xdr:colOff>312853</xdr:colOff>
      <xdr:row>0</xdr:row>
      <xdr:rowOff>22225</xdr:rowOff>
    </xdr:to>
    <xdr:pic>
      <xdr:nvPicPr>
        <xdr:cNvPr id="3" name="Imagen 2" descr="C:\Users\AUXPLANEACION03\Desktop\Gobernacion_del_quindio.jpg">
          <a:extLst>
            <a:ext uri="{FF2B5EF4-FFF2-40B4-BE49-F238E27FC236}">
              <a16:creationId xmlns="" xmlns:a16="http://schemas.microsoft.com/office/drawing/2014/main" id="{8C9C2E1F-9A2B-41D3-BF11-6F21FB8811B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5415" y="0"/>
          <a:ext cx="647588" cy="22225"/>
        </a:xfrm>
        <a:prstGeom prst="rect">
          <a:avLst/>
        </a:prstGeom>
        <a:noFill/>
        <a:ln>
          <a:noFill/>
        </a:ln>
      </xdr:spPr>
    </xdr:pic>
    <xdr:clientData/>
  </xdr:twoCellAnchor>
  <xdr:twoCellAnchor editAs="oneCell">
    <xdr:from>
      <xdr:col>1</xdr:col>
      <xdr:colOff>27215</xdr:colOff>
      <xdr:row>0</xdr:row>
      <xdr:rowOff>0</xdr:rowOff>
    </xdr:from>
    <xdr:to>
      <xdr:col>2</xdr:col>
      <xdr:colOff>315821</xdr:colOff>
      <xdr:row>0</xdr:row>
      <xdr:rowOff>22225</xdr:rowOff>
    </xdr:to>
    <xdr:pic>
      <xdr:nvPicPr>
        <xdr:cNvPr id="4" name="Imagen 3" descr="C:\Users\AUXPLANEACION03\Desktop\Gobernacion_del_quindio.jpg">
          <a:extLst>
            <a:ext uri="{FF2B5EF4-FFF2-40B4-BE49-F238E27FC236}">
              <a16:creationId xmlns="" xmlns:a16="http://schemas.microsoft.com/office/drawing/2014/main" id="{F6F5FCC1-1292-48D4-95DE-F9AE45173DB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5415" y="0"/>
          <a:ext cx="650556" cy="222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27213</xdr:colOff>
      <xdr:row>0</xdr:row>
      <xdr:rowOff>176893</xdr:rowOff>
    </xdr:from>
    <xdr:ext cx="993321" cy="925286"/>
    <xdr:pic>
      <xdr:nvPicPr>
        <xdr:cNvPr id="2" name="Imagen 1" descr="C:\Users\AUXPLANEACION03\Desktop\Gobernacion_del_quindio.jp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5888" y="176893"/>
          <a:ext cx="993321" cy="925286"/>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8163</xdr:colOff>
      <xdr:row>0</xdr:row>
      <xdr:rowOff>119743</xdr:rowOff>
    </xdr:from>
    <xdr:ext cx="993321" cy="925286"/>
    <xdr:pic>
      <xdr:nvPicPr>
        <xdr:cNvPr id="2" name="Imagen 1" descr="C:\Users\AUXPLANEACION03\Desktop\Gobernacion_del_quindio.jpg">
          <a:extLst>
            <a:ext uri="{FF2B5EF4-FFF2-40B4-BE49-F238E27FC236}">
              <a16:creationId xmlns=""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4963" y="119743"/>
          <a:ext cx="993321" cy="925286"/>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361951</xdr:colOff>
      <xdr:row>0</xdr:row>
      <xdr:rowOff>0</xdr:rowOff>
    </xdr:from>
    <xdr:to>
      <xdr:col>2</xdr:col>
      <xdr:colOff>498408</xdr:colOff>
      <xdr:row>2</xdr:row>
      <xdr:rowOff>177078</xdr:rowOff>
    </xdr:to>
    <xdr:pic>
      <xdr:nvPicPr>
        <xdr:cNvPr id="2" name="Imagen 1" descr="C:\Users\AUXPLANEACION03\Desktop\Gobernacion_del_quindio.jpg">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1" y="0"/>
          <a:ext cx="1260407" cy="710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OBERNACION%20QUINDIO%202019/EJECUCIONES%202019/MARZO%202019/Planeacion%20marzo%202019/compromisos%20-planeac.%2003-31-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SEG.%20TURISMO%20I%20Y%20C.%20A%20MARZO%2031-2019%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eguimiento%2012-18\SEC.%20SALUD%20%20IV%20TRIMESTRE%202018%20(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OBERNACION%20QUINDIO%202019/SEGUIMIENTO%20PDD%202019/I%20TRIMESTRE%202019/I%20TRIMESTRE%20MARZO%202019/SECRETARIAS%20I%20TRIMESTRE%202019/IDTQ%20Sgto%20marz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romisos"/>
      <sheetName val="proyecto 9"/>
      <sheetName val="proyecto 14"/>
    </sheetNames>
    <sheetDataSet>
      <sheetData sheetId="0">
        <row r="21">
          <cell r="L21">
            <v>3583000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y Proyectos"/>
      <sheetName val="Seguimiento P.A."/>
      <sheetName val="Inversión Mpios"/>
      <sheetName val="Gestión Recursos"/>
      <sheetName val="Plan de Acción"/>
      <sheetName val="POAI"/>
      <sheetName val="Presupuesto Gastos"/>
    </sheetNames>
    <sheetDataSet>
      <sheetData sheetId="0">
        <row r="33">
          <cell r="O33">
            <v>119250000</v>
          </cell>
          <cell r="P33">
            <v>103530000</v>
          </cell>
          <cell r="Q33">
            <v>15157000</v>
          </cell>
        </row>
        <row r="34">
          <cell r="O34">
            <v>29800000</v>
          </cell>
          <cell r="P34">
            <v>13250000</v>
          </cell>
        </row>
        <row r="36">
          <cell r="O36">
            <v>248604326</v>
          </cell>
          <cell r="P36">
            <v>172628611</v>
          </cell>
          <cell r="Q36">
            <v>117394000</v>
          </cell>
        </row>
        <row r="37">
          <cell r="P37">
            <v>310001389</v>
          </cell>
        </row>
        <row r="38">
          <cell r="O38">
            <v>528998611</v>
          </cell>
          <cell r="P38">
            <v>219000000</v>
          </cell>
        </row>
        <row r="39">
          <cell r="O39">
            <v>72966900</v>
          </cell>
          <cell r="P39">
            <v>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sheetName val="Hoja1"/>
      <sheetName val="SGTO PLAN DE ACCION"/>
      <sheetName val="DISCRIMINADO X MUNICIPIOS SALUD"/>
      <sheetName val="GESTION RECURSOS"/>
      <sheetName val="Hoja2"/>
    </sheetNames>
    <sheetDataSet>
      <sheetData sheetId="0" refreshError="1"/>
      <sheetData sheetId="1" refreshError="1"/>
      <sheetData sheetId="2" refreshError="1">
        <row r="13">
          <cell r="AB13" t="str">
            <v>N/A</v>
          </cell>
          <cell r="AC13" t="str">
            <v>N/A</v>
          </cell>
          <cell r="AD13" t="str">
            <v>N/A</v>
          </cell>
          <cell r="AE13" t="str">
            <v>N/A</v>
          </cell>
          <cell r="AF13">
            <v>64149</v>
          </cell>
          <cell r="AG13">
            <v>41055.360000000001</v>
          </cell>
          <cell r="AH13" t="str">
            <v>N/A</v>
          </cell>
          <cell r="AI13" t="str">
            <v>N/A</v>
          </cell>
          <cell r="AJ13" t="str">
            <v>N/A</v>
          </cell>
          <cell r="AK13" t="str">
            <v>N/A</v>
          </cell>
          <cell r="AL13" t="str">
            <v>N/A</v>
          </cell>
          <cell r="AM13" t="str">
            <v>N/A</v>
          </cell>
          <cell r="AN13" t="str">
            <v>N/A</v>
          </cell>
          <cell r="AO13" t="str">
            <v>N/A</v>
          </cell>
          <cell r="AP13" t="str">
            <v>N/A</v>
          </cell>
          <cell r="AQ13" t="str">
            <v>N/A</v>
          </cell>
          <cell r="AR13" t="str">
            <v>N/A</v>
          </cell>
          <cell r="AS13" t="str">
            <v>N/A</v>
          </cell>
          <cell r="AT13" t="str">
            <v>N/A</v>
          </cell>
          <cell r="AU13" t="str">
            <v>N/A</v>
          </cell>
          <cell r="AV13" t="str">
            <v>N/A</v>
          </cell>
          <cell r="AW13" t="str">
            <v>N/A</v>
          </cell>
          <cell r="AX13" t="str">
            <v>N/A</v>
          </cell>
          <cell r="AY13" t="str">
            <v>N/A</v>
          </cell>
          <cell r="AZ13" t="str">
            <v>N/A</v>
          </cell>
          <cell r="BA13" t="str">
            <v>N/A</v>
          </cell>
          <cell r="BB13" t="str">
            <v>N/A</v>
          </cell>
          <cell r="BC13" t="str">
            <v>N/A</v>
          </cell>
          <cell r="BD13" t="str">
            <v>N/A</v>
          </cell>
          <cell r="BE13" t="str">
            <v>N/A</v>
          </cell>
          <cell r="BF13" t="str">
            <v>N/A</v>
          </cell>
          <cell r="BG13" t="str">
            <v>N/A</v>
          </cell>
        </row>
        <row r="14">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row>
        <row r="15">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row>
        <row r="16">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row>
        <row r="17">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row>
        <row r="18">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row>
        <row r="19">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row>
        <row r="20">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row>
        <row r="21">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row>
        <row r="22">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row>
        <row r="23">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row>
        <row r="24">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row>
        <row r="25">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row>
        <row r="26">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row>
        <row r="27">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row>
        <row r="28">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row>
        <row r="29">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row>
      </sheetData>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SGTO MARZO 31 2019"/>
      <sheetName val="Metas y Proyectos"/>
      <sheetName val="Plan de Accion"/>
      <sheetName val="Seguimiento P.A."/>
      <sheetName val="Inversión Mpios"/>
      <sheetName val="Gestión Recursos"/>
    </sheetNames>
    <sheetDataSet>
      <sheetData sheetId="0"/>
      <sheetData sheetId="1">
        <row r="16">
          <cell r="O16">
            <v>476000000</v>
          </cell>
          <cell r="P16">
            <v>56400000</v>
          </cell>
          <cell r="Q16">
            <v>7350000</v>
          </cell>
        </row>
        <row r="17">
          <cell r="O17">
            <v>100000000</v>
          </cell>
        </row>
        <row r="18">
          <cell r="O18">
            <v>14800000</v>
          </cell>
        </row>
        <row r="19">
          <cell r="O19">
            <v>6200000</v>
          </cell>
        </row>
        <row r="20">
          <cell r="O20">
            <v>9200000</v>
          </cell>
        </row>
        <row r="21">
          <cell r="O21">
            <v>800000</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9"/>
  <sheetViews>
    <sheetView showGridLines="0" topLeftCell="N24" zoomScale="70" zoomScaleNormal="70" workbookViewId="0">
      <selection activeCell="O27" sqref="O27"/>
    </sheetView>
  </sheetViews>
  <sheetFormatPr baseColWidth="10" defaultColWidth="11.42578125" defaultRowHeight="14.25" x14ac:dyDescent="0.2"/>
  <cols>
    <col min="1" max="1" width="18.28515625" style="2" customWidth="1"/>
    <col min="2" max="2" width="8.42578125" style="2" customWidth="1"/>
    <col min="3" max="3" width="12.7109375" style="2" customWidth="1"/>
    <col min="4" max="4" width="15" style="2" customWidth="1"/>
    <col min="5" max="5" width="22.5703125" style="2" customWidth="1"/>
    <col min="6" max="6" width="11.42578125" style="2" hidden="1" customWidth="1"/>
    <col min="7" max="7" width="16.7109375" style="2" customWidth="1"/>
    <col min="8" max="8" width="11.140625" style="2" customWidth="1"/>
    <col min="9" max="9" width="14" style="2" customWidth="1"/>
    <col min="10" max="10" width="17.42578125" style="2" customWidth="1"/>
    <col min="11" max="11" width="31" style="2" customWidth="1"/>
    <col min="12" max="12" width="17.7109375" style="2" customWidth="1"/>
    <col min="13" max="13" width="9.28515625" style="2" customWidth="1"/>
    <col min="14" max="14" width="9.140625" style="2" customWidth="1"/>
    <col min="15" max="15" width="35.5703125" style="2" customWidth="1"/>
    <col min="16" max="16" width="24.28515625" style="2" customWidth="1"/>
    <col min="17" max="17" width="23" style="2" customWidth="1"/>
    <col min="18" max="18" width="23.5703125" style="97" customWidth="1"/>
    <col min="19" max="19" width="27.140625" style="2" customWidth="1"/>
    <col min="20" max="20" width="30.28515625" style="2" customWidth="1"/>
    <col min="21" max="21" width="38" style="2" customWidth="1"/>
    <col min="22" max="22" width="34" style="98" customWidth="1"/>
    <col min="23" max="23" width="24" style="2" bestFit="1" customWidth="1"/>
    <col min="24" max="24" width="23" style="2" bestFit="1" customWidth="1"/>
    <col min="25" max="25" width="22.42578125" style="2" bestFit="1" customWidth="1"/>
    <col min="26" max="26" width="10.7109375" style="2" customWidth="1"/>
    <col min="27" max="27" width="14.85546875" style="2" customWidth="1"/>
    <col min="28" max="59" width="10.7109375" style="2" customWidth="1"/>
    <col min="60" max="60" width="20.28515625" style="2" customWidth="1"/>
    <col min="61" max="61" width="22.5703125" style="2" bestFit="1" customWidth="1"/>
    <col min="62" max="62" width="21.140625" style="2" bestFit="1" customWidth="1"/>
    <col min="63" max="63" width="18.5703125" style="2" customWidth="1"/>
    <col min="64" max="64" width="22.28515625" style="2" customWidth="1"/>
    <col min="65" max="65" width="34.28515625" style="2" customWidth="1"/>
    <col min="66" max="66" width="12.5703125" style="2" customWidth="1"/>
    <col min="67" max="67" width="13.42578125" style="2" customWidth="1"/>
    <col min="68" max="68" width="13.5703125" style="2" customWidth="1"/>
    <col min="69" max="69" width="12.7109375" style="2" customWidth="1"/>
    <col min="70" max="70" width="30.42578125" style="2" customWidth="1"/>
    <col min="71" max="83" width="14.85546875" style="2" customWidth="1"/>
    <col min="84" max="16384" width="11.42578125" style="2"/>
  </cols>
  <sheetData>
    <row r="1" spans="1:70" ht="15" customHeight="1" x14ac:dyDescent="0.25">
      <c r="A1" s="2684" t="s">
        <v>0</v>
      </c>
      <c r="B1" s="2684"/>
      <c r="C1" s="2684"/>
      <c r="D1" s="2684"/>
      <c r="E1" s="2684"/>
      <c r="F1" s="2684"/>
      <c r="G1" s="2684"/>
      <c r="H1" s="2684"/>
      <c r="I1" s="2684"/>
      <c r="J1" s="2684"/>
      <c r="K1" s="2684"/>
      <c r="L1" s="2684"/>
      <c r="M1" s="2684"/>
      <c r="N1" s="2684"/>
      <c r="O1" s="2684"/>
      <c r="P1" s="2684"/>
      <c r="Q1" s="2684"/>
      <c r="R1" s="2684"/>
      <c r="S1" s="2684"/>
      <c r="T1" s="2684"/>
      <c r="U1" s="2684"/>
      <c r="V1" s="2684"/>
      <c r="W1" s="2684"/>
      <c r="X1" s="2684"/>
      <c r="Y1" s="2684"/>
      <c r="Z1" s="2684"/>
      <c r="AA1" s="2684"/>
      <c r="AB1" s="2684"/>
      <c r="AC1" s="2684"/>
      <c r="AD1" s="2684"/>
      <c r="AE1" s="2684"/>
      <c r="AF1" s="2684"/>
      <c r="AG1" s="2684"/>
      <c r="AH1" s="2684"/>
      <c r="AI1" s="2684"/>
      <c r="AJ1" s="2684"/>
      <c r="AK1" s="2684"/>
      <c r="AL1" s="2684"/>
      <c r="AM1" s="2684"/>
      <c r="AN1" s="2684"/>
      <c r="AO1" s="2684"/>
      <c r="AP1" s="2684"/>
      <c r="AQ1" s="2684"/>
      <c r="AR1" s="2684"/>
      <c r="AS1" s="2684"/>
      <c r="AT1" s="2684"/>
      <c r="AU1" s="2684"/>
      <c r="AV1" s="2684"/>
      <c r="AW1" s="2684"/>
      <c r="AX1" s="2684"/>
      <c r="AY1" s="2684"/>
      <c r="AZ1" s="2684"/>
      <c r="BA1" s="2684"/>
      <c r="BB1" s="2684"/>
      <c r="BC1" s="2684"/>
      <c r="BD1" s="2684"/>
      <c r="BE1" s="2684"/>
      <c r="BF1" s="2684"/>
      <c r="BG1" s="2684"/>
      <c r="BH1" s="2684"/>
      <c r="BI1" s="2684"/>
      <c r="BJ1" s="2684"/>
      <c r="BK1" s="2684"/>
      <c r="BL1" s="2684"/>
      <c r="BM1" s="2684"/>
      <c r="BN1" s="2684"/>
      <c r="BO1" s="1"/>
      <c r="BQ1" s="3" t="s">
        <v>1</v>
      </c>
      <c r="BR1" s="3" t="s">
        <v>2</v>
      </c>
    </row>
    <row r="2" spans="1:70" ht="15" x14ac:dyDescent="0.25">
      <c r="A2" s="2684"/>
      <c r="B2" s="2684"/>
      <c r="C2" s="2684"/>
      <c r="D2" s="2684"/>
      <c r="E2" s="2684"/>
      <c r="F2" s="2684"/>
      <c r="G2" s="2684"/>
      <c r="H2" s="2684"/>
      <c r="I2" s="2684"/>
      <c r="J2" s="2684"/>
      <c r="K2" s="2684"/>
      <c r="L2" s="2684"/>
      <c r="M2" s="2684"/>
      <c r="N2" s="2684"/>
      <c r="O2" s="2684"/>
      <c r="P2" s="2684"/>
      <c r="Q2" s="2684"/>
      <c r="R2" s="2684"/>
      <c r="S2" s="2684"/>
      <c r="T2" s="2684"/>
      <c r="U2" s="2684"/>
      <c r="V2" s="2684"/>
      <c r="W2" s="2684"/>
      <c r="X2" s="2684"/>
      <c r="Y2" s="2684"/>
      <c r="Z2" s="2684"/>
      <c r="AA2" s="2684"/>
      <c r="AB2" s="2684"/>
      <c r="AC2" s="2684"/>
      <c r="AD2" s="2684"/>
      <c r="AE2" s="2684"/>
      <c r="AF2" s="2684"/>
      <c r="AG2" s="2684"/>
      <c r="AH2" s="2684"/>
      <c r="AI2" s="2684"/>
      <c r="AJ2" s="2684"/>
      <c r="AK2" s="2684"/>
      <c r="AL2" s="2684"/>
      <c r="AM2" s="2684"/>
      <c r="AN2" s="2684"/>
      <c r="AO2" s="2684"/>
      <c r="AP2" s="2684"/>
      <c r="AQ2" s="2684"/>
      <c r="AR2" s="2684"/>
      <c r="AS2" s="2684"/>
      <c r="AT2" s="2684"/>
      <c r="AU2" s="2684"/>
      <c r="AV2" s="2684"/>
      <c r="AW2" s="2684"/>
      <c r="AX2" s="2684"/>
      <c r="AY2" s="2684"/>
      <c r="AZ2" s="2684"/>
      <c r="BA2" s="2684"/>
      <c r="BB2" s="2684"/>
      <c r="BC2" s="2684"/>
      <c r="BD2" s="2684"/>
      <c r="BE2" s="2684"/>
      <c r="BF2" s="2684"/>
      <c r="BG2" s="2684"/>
      <c r="BH2" s="2684"/>
      <c r="BI2" s="2684"/>
      <c r="BJ2" s="2684"/>
      <c r="BK2" s="2684"/>
      <c r="BL2" s="2684"/>
      <c r="BM2" s="2684"/>
      <c r="BN2" s="2684"/>
      <c r="BO2" s="1"/>
      <c r="BQ2" s="4" t="s">
        <v>3</v>
      </c>
      <c r="BR2" s="5">
        <v>6</v>
      </c>
    </row>
    <row r="3" spans="1:70" ht="15" x14ac:dyDescent="0.25">
      <c r="A3" s="2684"/>
      <c r="B3" s="2684"/>
      <c r="C3" s="2684"/>
      <c r="D3" s="2684"/>
      <c r="E3" s="2684"/>
      <c r="F3" s="2684"/>
      <c r="G3" s="2684"/>
      <c r="H3" s="2684"/>
      <c r="I3" s="2684"/>
      <c r="J3" s="2684"/>
      <c r="K3" s="2684"/>
      <c r="L3" s="2684"/>
      <c r="M3" s="2684"/>
      <c r="N3" s="2684"/>
      <c r="O3" s="2684"/>
      <c r="P3" s="2684"/>
      <c r="Q3" s="2684"/>
      <c r="R3" s="2684"/>
      <c r="S3" s="2684"/>
      <c r="T3" s="2684"/>
      <c r="U3" s="2684"/>
      <c r="V3" s="2684"/>
      <c r="W3" s="2684"/>
      <c r="X3" s="2684"/>
      <c r="Y3" s="2684"/>
      <c r="Z3" s="2684"/>
      <c r="AA3" s="2684"/>
      <c r="AB3" s="2684"/>
      <c r="AC3" s="2684"/>
      <c r="AD3" s="2684"/>
      <c r="AE3" s="2684"/>
      <c r="AF3" s="2684"/>
      <c r="AG3" s="2684"/>
      <c r="AH3" s="2684"/>
      <c r="AI3" s="2684"/>
      <c r="AJ3" s="2684"/>
      <c r="AK3" s="2684"/>
      <c r="AL3" s="2684"/>
      <c r="AM3" s="2684"/>
      <c r="AN3" s="2684"/>
      <c r="AO3" s="2684"/>
      <c r="AP3" s="2684"/>
      <c r="AQ3" s="2684"/>
      <c r="AR3" s="2684"/>
      <c r="AS3" s="2684"/>
      <c r="AT3" s="2684"/>
      <c r="AU3" s="2684"/>
      <c r="AV3" s="2684"/>
      <c r="AW3" s="2684"/>
      <c r="AX3" s="2684"/>
      <c r="AY3" s="2684"/>
      <c r="AZ3" s="2684"/>
      <c r="BA3" s="2684"/>
      <c r="BB3" s="2684"/>
      <c r="BC3" s="2684"/>
      <c r="BD3" s="2684"/>
      <c r="BE3" s="2684"/>
      <c r="BF3" s="2684"/>
      <c r="BG3" s="2684"/>
      <c r="BH3" s="2684"/>
      <c r="BI3" s="2684"/>
      <c r="BJ3" s="2684"/>
      <c r="BK3" s="2684"/>
      <c r="BL3" s="2684"/>
      <c r="BM3" s="2684"/>
      <c r="BN3" s="2684"/>
      <c r="BO3" s="1"/>
      <c r="BQ3" s="3" t="s">
        <v>4</v>
      </c>
      <c r="BR3" s="6" t="s">
        <v>5</v>
      </c>
    </row>
    <row r="4" spans="1:70" s="8" customFormat="1" ht="15" x14ac:dyDescent="0.2">
      <c r="A4" s="2685"/>
      <c r="B4" s="2685"/>
      <c r="C4" s="2685"/>
      <c r="D4" s="2685"/>
      <c r="E4" s="2685"/>
      <c r="F4" s="2685"/>
      <c r="G4" s="2685"/>
      <c r="H4" s="2685"/>
      <c r="I4" s="2685"/>
      <c r="J4" s="2685"/>
      <c r="K4" s="2685"/>
      <c r="L4" s="2685"/>
      <c r="M4" s="2685"/>
      <c r="N4" s="2685"/>
      <c r="O4" s="2685"/>
      <c r="P4" s="2685"/>
      <c r="Q4" s="2685"/>
      <c r="R4" s="2685"/>
      <c r="S4" s="2685"/>
      <c r="T4" s="2685"/>
      <c r="U4" s="2685"/>
      <c r="V4" s="2685"/>
      <c r="W4" s="2685"/>
      <c r="X4" s="2685"/>
      <c r="Y4" s="2685"/>
      <c r="Z4" s="2685"/>
      <c r="AA4" s="2685"/>
      <c r="AB4" s="2685"/>
      <c r="AC4" s="2685"/>
      <c r="AD4" s="2685"/>
      <c r="AE4" s="2685"/>
      <c r="AF4" s="2685"/>
      <c r="AG4" s="2685"/>
      <c r="AH4" s="2685"/>
      <c r="AI4" s="2685"/>
      <c r="AJ4" s="2685"/>
      <c r="AK4" s="2685"/>
      <c r="AL4" s="2685"/>
      <c r="AM4" s="2685"/>
      <c r="AN4" s="2685"/>
      <c r="AO4" s="2685"/>
      <c r="AP4" s="2685"/>
      <c r="AQ4" s="2685"/>
      <c r="AR4" s="2685"/>
      <c r="AS4" s="2685"/>
      <c r="AT4" s="2685"/>
      <c r="AU4" s="2685"/>
      <c r="AV4" s="2685"/>
      <c r="AW4" s="2685"/>
      <c r="AX4" s="2685"/>
      <c r="AY4" s="2685"/>
      <c r="AZ4" s="2685"/>
      <c r="BA4" s="2685"/>
      <c r="BB4" s="2685"/>
      <c r="BC4" s="2685"/>
      <c r="BD4" s="2685"/>
      <c r="BE4" s="2685"/>
      <c r="BF4" s="2685"/>
      <c r="BG4" s="2685"/>
      <c r="BH4" s="2685"/>
      <c r="BI4" s="2685"/>
      <c r="BJ4" s="2685"/>
      <c r="BK4" s="2685"/>
      <c r="BL4" s="2685"/>
      <c r="BM4" s="2685"/>
      <c r="BN4" s="2685"/>
      <c r="BO4" s="7"/>
      <c r="BQ4" s="9" t="s">
        <v>6</v>
      </c>
      <c r="BR4" s="10" t="s">
        <v>7</v>
      </c>
    </row>
    <row r="5" spans="1:70" ht="15" x14ac:dyDescent="0.2">
      <c r="A5" s="2686" t="s">
        <v>8</v>
      </c>
      <c r="B5" s="2686"/>
      <c r="C5" s="2686"/>
      <c r="D5" s="2686"/>
      <c r="E5" s="2686"/>
      <c r="F5" s="2686"/>
      <c r="G5" s="2686"/>
      <c r="H5" s="2686"/>
      <c r="I5" s="2686"/>
      <c r="J5" s="2686"/>
      <c r="K5" s="2686"/>
      <c r="L5" s="2686"/>
      <c r="M5" s="2686"/>
      <c r="N5" s="11"/>
      <c r="O5" s="12"/>
      <c r="P5" s="12"/>
      <c r="Q5" s="2687" t="s">
        <v>9</v>
      </c>
      <c r="R5" s="2687"/>
      <c r="S5" s="2687"/>
      <c r="T5" s="2687"/>
      <c r="U5" s="2687"/>
      <c r="V5" s="2687"/>
      <c r="W5" s="2687"/>
      <c r="X5" s="2687"/>
      <c r="Y5" s="2687"/>
      <c r="Z5" s="2687"/>
      <c r="AA5" s="2687"/>
      <c r="AB5" s="2687"/>
      <c r="AC5" s="2687"/>
      <c r="AD5" s="2687"/>
      <c r="AE5" s="2687"/>
      <c r="AF5" s="2687"/>
      <c r="AG5" s="2687"/>
      <c r="AH5" s="2687"/>
      <c r="AI5" s="2687"/>
      <c r="AJ5" s="2687"/>
      <c r="AK5" s="2687"/>
      <c r="AL5" s="2687"/>
      <c r="AM5" s="2687"/>
      <c r="AN5" s="2687"/>
      <c r="AO5" s="2687"/>
      <c r="AP5" s="2687"/>
      <c r="AQ5" s="2687"/>
      <c r="AR5" s="2687"/>
      <c r="AS5" s="2687"/>
      <c r="AT5" s="2687"/>
      <c r="AU5" s="2687"/>
      <c r="AV5" s="2687"/>
      <c r="AW5" s="2687"/>
      <c r="AX5" s="2687"/>
      <c r="AY5" s="2687"/>
      <c r="AZ5" s="2687"/>
      <c r="BA5" s="2687"/>
      <c r="BB5" s="2687"/>
      <c r="BC5" s="2687"/>
      <c r="BD5" s="2687"/>
      <c r="BE5" s="2687"/>
      <c r="BF5" s="2687"/>
      <c r="BG5" s="2687"/>
      <c r="BH5" s="2687"/>
      <c r="BI5" s="2687"/>
      <c r="BJ5" s="2687"/>
      <c r="BK5" s="2687"/>
      <c r="BL5" s="2687"/>
      <c r="BM5" s="2687"/>
      <c r="BN5" s="2687"/>
      <c r="BO5" s="2687"/>
      <c r="BP5" s="2687"/>
      <c r="BQ5" s="2687"/>
      <c r="BR5" s="2688"/>
    </row>
    <row r="6" spans="1:70" ht="15.75" thickBot="1" x14ac:dyDescent="0.25">
      <c r="A6" s="2686"/>
      <c r="B6" s="2686"/>
      <c r="C6" s="2686"/>
      <c r="D6" s="2686"/>
      <c r="E6" s="2686"/>
      <c r="F6" s="2686"/>
      <c r="G6" s="2686"/>
      <c r="H6" s="2686"/>
      <c r="I6" s="2686"/>
      <c r="J6" s="2686"/>
      <c r="K6" s="2686"/>
      <c r="L6" s="2686"/>
      <c r="M6" s="2686"/>
      <c r="N6" s="11"/>
      <c r="O6" s="12"/>
      <c r="P6" s="12"/>
      <c r="Q6" s="2687"/>
      <c r="R6" s="2687"/>
      <c r="S6" s="2687"/>
      <c r="T6" s="2687"/>
      <c r="U6" s="2687"/>
      <c r="V6" s="2687"/>
      <c r="W6" s="2687"/>
      <c r="X6" s="2687"/>
      <c r="Y6" s="2687"/>
      <c r="Z6" s="2687"/>
      <c r="AA6" s="2687"/>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2687"/>
      <c r="BO6" s="2687"/>
      <c r="BP6" s="2687"/>
      <c r="BQ6" s="2687"/>
      <c r="BR6" s="2688"/>
    </row>
    <row r="7" spans="1:70" s="13" customFormat="1" ht="12" customHeight="1" x14ac:dyDescent="0.2">
      <c r="A7" s="2676" t="s">
        <v>10</v>
      </c>
      <c r="B7" s="2676" t="s">
        <v>11</v>
      </c>
      <c r="C7" s="2676"/>
      <c r="D7" s="2677" t="s">
        <v>10</v>
      </c>
      <c r="E7" s="2676" t="s">
        <v>12</v>
      </c>
      <c r="F7" s="2676"/>
      <c r="G7" s="2676" t="s">
        <v>10</v>
      </c>
      <c r="H7" s="2676" t="s">
        <v>13</v>
      </c>
      <c r="I7" s="2676"/>
      <c r="J7" s="2677" t="s">
        <v>10</v>
      </c>
      <c r="K7" s="2676" t="s">
        <v>14</v>
      </c>
      <c r="L7" s="2676" t="s">
        <v>15</v>
      </c>
      <c r="M7" s="2680" t="s">
        <v>16</v>
      </c>
      <c r="N7" s="2681"/>
      <c r="O7" s="2676" t="s">
        <v>17</v>
      </c>
      <c r="P7" s="2694" t="s">
        <v>18</v>
      </c>
      <c r="Q7" s="2676" t="s">
        <v>9</v>
      </c>
      <c r="R7" s="2703" t="s">
        <v>19</v>
      </c>
      <c r="S7" s="2676" t="s">
        <v>20</v>
      </c>
      <c r="T7" s="2676" t="s">
        <v>21</v>
      </c>
      <c r="U7" s="2676" t="s">
        <v>22</v>
      </c>
      <c r="V7" s="2689" t="s">
        <v>23</v>
      </c>
      <c r="W7" s="2680" t="s">
        <v>20</v>
      </c>
      <c r="X7" s="2690"/>
      <c r="Y7" s="2681"/>
      <c r="Z7" s="2694" t="s">
        <v>10</v>
      </c>
      <c r="AA7" s="2676" t="s">
        <v>24</v>
      </c>
      <c r="AB7" s="2697" t="s">
        <v>25</v>
      </c>
      <c r="AC7" s="2698"/>
      <c r="AD7" s="2698"/>
      <c r="AE7" s="2699"/>
      <c r="AF7" s="2700" t="s">
        <v>26</v>
      </c>
      <c r="AG7" s="2701"/>
      <c r="AH7" s="2701"/>
      <c r="AI7" s="2701"/>
      <c r="AJ7" s="2701"/>
      <c r="AK7" s="2701"/>
      <c r="AL7" s="2701"/>
      <c r="AM7" s="2702"/>
      <c r="AN7" s="2704" t="s">
        <v>27</v>
      </c>
      <c r="AO7" s="2705"/>
      <c r="AP7" s="2705"/>
      <c r="AQ7" s="2705"/>
      <c r="AR7" s="2705"/>
      <c r="AS7" s="2705"/>
      <c r="AT7" s="2705"/>
      <c r="AU7" s="2705"/>
      <c r="AV7" s="2705"/>
      <c r="AW7" s="2705"/>
      <c r="AX7" s="2705"/>
      <c r="AY7" s="2706"/>
      <c r="AZ7" s="2700" t="s">
        <v>28</v>
      </c>
      <c r="BA7" s="2701"/>
      <c r="BB7" s="2701"/>
      <c r="BC7" s="2701"/>
      <c r="BD7" s="2701"/>
      <c r="BE7" s="2702"/>
      <c r="BF7" s="2707" t="s">
        <v>29</v>
      </c>
      <c r="BG7" s="2708"/>
      <c r="BH7" s="2711" t="s">
        <v>30</v>
      </c>
      <c r="BI7" s="2712"/>
      <c r="BJ7" s="2712"/>
      <c r="BK7" s="2712"/>
      <c r="BL7" s="2712"/>
      <c r="BM7" s="2713"/>
      <c r="BN7" s="2714" t="s">
        <v>31</v>
      </c>
      <c r="BO7" s="2715"/>
      <c r="BP7" s="2714" t="s">
        <v>32</v>
      </c>
      <c r="BQ7" s="2715"/>
      <c r="BR7" s="2736" t="s">
        <v>33</v>
      </c>
    </row>
    <row r="8" spans="1:70" s="13" customFormat="1" ht="90" customHeight="1" x14ac:dyDescent="0.2">
      <c r="A8" s="2676"/>
      <c r="B8" s="2676"/>
      <c r="C8" s="2676"/>
      <c r="D8" s="2678"/>
      <c r="E8" s="2676"/>
      <c r="F8" s="2676"/>
      <c r="G8" s="2676"/>
      <c r="H8" s="2676"/>
      <c r="I8" s="2676"/>
      <c r="J8" s="2678"/>
      <c r="K8" s="2676"/>
      <c r="L8" s="2676"/>
      <c r="M8" s="2682"/>
      <c r="N8" s="2683"/>
      <c r="O8" s="2676"/>
      <c r="P8" s="2695"/>
      <c r="Q8" s="2676"/>
      <c r="R8" s="2703"/>
      <c r="S8" s="2676"/>
      <c r="T8" s="2676"/>
      <c r="U8" s="2676"/>
      <c r="V8" s="2689"/>
      <c r="W8" s="2691"/>
      <c r="X8" s="2692"/>
      <c r="Y8" s="2693"/>
      <c r="Z8" s="2695"/>
      <c r="AA8" s="2676"/>
      <c r="AB8" s="2718" t="s">
        <v>34</v>
      </c>
      <c r="AC8" s="2718"/>
      <c r="AD8" s="2718" t="s">
        <v>35</v>
      </c>
      <c r="AE8" s="2718"/>
      <c r="AF8" s="2718" t="s">
        <v>36</v>
      </c>
      <c r="AG8" s="2718"/>
      <c r="AH8" s="2718" t="s">
        <v>37</v>
      </c>
      <c r="AI8" s="2718"/>
      <c r="AJ8" s="2718" t="s">
        <v>38</v>
      </c>
      <c r="AK8" s="2718"/>
      <c r="AL8" s="2718" t="s">
        <v>39</v>
      </c>
      <c r="AM8" s="2718"/>
      <c r="AN8" s="2718" t="s">
        <v>40</v>
      </c>
      <c r="AO8" s="2718"/>
      <c r="AP8" s="2718" t="s">
        <v>41</v>
      </c>
      <c r="AQ8" s="2718"/>
      <c r="AR8" s="2718" t="s">
        <v>42</v>
      </c>
      <c r="AS8" s="2718"/>
      <c r="AT8" s="2718" t="s">
        <v>43</v>
      </c>
      <c r="AU8" s="2718"/>
      <c r="AV8" s="2718" t="s">
        <v>44</v>
      </c>
      <c r="AW8" s="2718"/>
      <c r="AX8" s="2718" t="s">
        <v>45</v>
      </c>
      <c r="AY8" s="2718"/>
      <c r="AZ8" s="2718" t="s">
        <v>46</v>
      </c>
      <c r="BA8" s="2718"/>
      <c r="BB8" s="2718" t="s">
        <v>47</v>
      </c>
      <c r="BC8" s="2718"/>
      <c r="BD8" s="2718" t="s">
        <v>48</v>
      </c>
      <c r="BE8" s="2718"/>
      <c r="BF8" s="2709"/>
      <c r="BG8" s="2710"/>
      <c r="BH8" s="2719" t="s">
        <v>49</v>
      </c>
      <c r="BI8" s="2734" t="s">
        <v>50</v>
      </c>
      <c r="BJ8" s="2719" t="s">
        <v>51</v>
      </c>
      <c r="BK8" s="2735" t="s">
        <v>52</v>
      </c>
      <c r="BL8" s="2719" t="s">
        <v>53</v>
      </c>
      <c r="BM8" s="2720" t="s">
        <v>54</v>
      </c>
      <c r="BN8" s="2716"/>
      <c r="BO8" s="2717"/>
      <c r="BP8" s="2716"/>
      <c r="BQ8" s="2717"/>
      <c r="BR8" s="2736"/>
    </row>
    <row r="9" spans="1:70" s="16" customFormat="1" ht="12.75" x14ac:dyDescent="0.2">
      <c r="A9" s="2676"/>
      <c r="B9" s="2676"/>
      <c r="C9" s="2676"/>
      <c r="D9" s="2678"/>
      <c r="E9" s="2676"/>
      <c r="F9" s="2676"/>
      <c r="G9" s="2676"/>
      <c r="H9" s="2676"/>
      <c r="I9" s="2676"/>
      <c r="J9" s="2678"/>
      <c r="K9" s="2676"/>
      <c r="L9" s="2676"/>
      <c r="M9" s="14" t="s">
        <v>55</v>
      </c>
      <c r="N9" s="14" t="s">
        <v>56</v>
      </c>
      <c r="O9" s="2676"/>
      <c r="P9" s="2696"/>
      <c r="Q9" s="2676"/>
      <c r="R9" s="2703"/>
      <c r="S9" s="2676"/>
      <c r="T9" s="2676"/>
      <c r="U9" s="2676"/>
      <c r="V9" s="2689"/>
      <c r="W9" s="14" t="s">
        <v>57</v>
      </c>
      <c r="X9" s="14" t="s">
        <v>58</v>
      </c>
      <c r="Y9" s="14" t="s">
        <v>59</v>
      </c>
      <c r="Z9" s="2696"/>
      <c r="AA9" s="2676"/>
      <c r="AB9" s="14" t="s">
        <v>55</v>
      </c>
      <c r="AC9" s="14" t="s">
        <v>56</v>
      </c>
      <c r="AD9" s="14" t="s">
        <v>55</v>
      </c>
      <c r="AE9" s="14" t="s">
        <v>56</v>
      </c>
      <c r="AF9" s="14" t="s">
        <v>55</v>
      </c>
      <c r="AG9" s="14" t="s">
        <v>56</v>
      </c>
      <c r="AH9" s="14" t="s">
        <v>55</v>
      </c>
      <c r="AI9" s="14" t="s">
        <v>56</v>
      </c>
      <c r="AJ9" s="14" t="s">
        <v>55</v>
      </c>
      <c r="AK9" s="14" t="s">
        <v>56</v>
      </c>
      <c r="AL9" s="14" t="s">
        <v>55</v>
      </c>
      <c r="AM9" s="14" t="s">
        <v>56</v>
      </c>
      <c r="AN9" s="14" t="s">
        <v>55</v>
      </c>
      <c r="AO9" s="14" t="s">
        <v>56</v>
      </c>
      <c r="AP9" s="14" t="s">
        <v>55</v>
      </c>
      <c r="AQ9" s="14" t="s">
        <v>56</v>
      </c>
      <c r="AR9" s="14" t="s">
        <v>55</v>
      </c>
      <c r="AS9" s="14" t="s">
        <v>56</v>
      </c>
      <c r="AT9" s="14" t="s">
        <v>55</v>
      </c>
      <c r="AU9" s="14" t="s">
        <v>56</v>
      </c>
      <c r="AV9" s="14" t="s">
        <v>55</v>
      </c>
      <c r="AW9" s="14" t="s">
        <v>56</v>
      </c>
      <c r="AX9" s="14" t="s">
        <v>55</v>
      </c>
      <c r="AY9" s="14" t="s">
        <v>56</v>
      </c>
      <c r="AZ9" s="14" t="s">
        <v>55</v>
      </c>
      <c r="BA9" s="14" t="s">
        <v>56</v>
      </c>
      <c r="BB9" s="14" t="s">
        <v>55</v>
      </c>
      <c r="BC9" s="14" t="s">
        <v>56</v>
      </c>
      <c r="BD9" s="14" t="s">
        <v>55</v>
      </c>
      <c r="BE9" s="14" t="s">
        <v>56</v>
      </c>
      <c r="BF9" s="14" t="s">
        <v>55</v>
      </c>
      <c r="BG9" s="14" t="s">
        <v>56</v>
      </c>
      <c r="BH9" s="2719"/>
      <c r="BI9" s="2734"/>
      <c r="BJ9" s="2719"/>
      <c r="BK9" s="2735"/>
      <c r="BL9" s="2719"/>
      <c r="BM9" s="2721"/>
      <c r="BN9" s="15" t="s">
        <v>55</v>
      </c>
      <c r="BO9" s="15" t="s">
        <v>56</v>
      </c>
      <c r="BP9" s="15" t="s">
        <v>55</v>
      </c>
      <c r="BQ9" s="15" t="s">
        <v>56</v>
      </c>
      <c r="BR9" s="2736"/>
    </row>
    <row r="10" spans="1:70" ht="15" hidden="1" customHeight="1" x14ac:dyDescent="0.2">
      <c r="A10" s="2676"/>
      <c r="B10" s="2676"/>
      <c r="C10" s="2676"/>
      <c r="D10" s="2678"/>
      <c r="E10" s="2676"/>
      <c r="F10" s="2676"/>
      <c r="G10" s="2676"/>
      <c r="H10" s="2676"/>
      <c r="I10" s="2676"/>
      <c r="J10" s="2678"/>
      <c r="K10" s="2676"/>
      <c r="L10" s="2676"/>
      <c r="M10" s="17"/>
      <c r="N10" s="18"/>
      <c r="O10" s="2676"/>
      <c r="P10" s="19"/>
      <c r="Q10" s="2676"/>
      <c r="R10" s="2703"/>
      <c r="S10" s="2676"/>
      <c r="T10" s="2676"/>
      <c r="U10" s="2676"/>
      <c r="V10" s="2689"/>
      <c r="W10" s="20"/>
      <c r="X10" s="20"/>
      <c r="Y10" s="19"/>
      <c r="Z10" s="19"/>
      <c r="AA10" s="2676"/>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21"/>
      <c r="BI10" s="21"/>
      <c r="BJ10" s="21"/>
      <c r="BK10" s="21"/>
      <c r="BL10" s="21"/>
      <c r="BM10" s="21"/>
      <c r="BN10" s="22"/>
      <c r="BO10" s="21"/>
      <c r="BP10" s="22"/>
      <c r="BQ10" s="21"/>
      <c r="BR10" s="2736"/>
    </row>
    <row r="11" spans="1:70" ht="15" hidden="1" customHeight="1" x14ac:dyDescent="0.2">
      <c r="A11" s="2676"/>
      <c r="B11" s="2676"/>
      <c r="C11" s="2676"/>
      <c r="D11" s="2678"/>
      <c r="E11" s="2676"/>
      <c r="F11" s="2676"/>
      <c r="G11" s="2676"/>
      <c r="H11" s="2676"/>
      <c r="I11" s="2676"/>
      <c r="J11" s="2678"/>
      <c r="K11" s="2676"/>
      <c r="L11" s="2676"/>
      <c r="M11" s="17"/>
      <c r="N11" s="18"/>
      <c r="O11" s="2676"/>
      <c r="P11" s="19"/>
      <c r="Q11" s="2676"/>
      <c r="R11" s="2703"/>
      <c r="S11" s="2676"/>
      <c r="T11" s="2676"/>
      <c r="U11" s="2676"/>
      <c r="V11" s="2689"/>
      <c r="W11" s="20"/>
      <c r="X11" s="20"/>
      <c r="Y11" s="19"/>
      <c r="Z11" s="19"/>
      <c r="AA11" s="2676"/>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21"/>
      <c r="BI11" s="21"/>
      <c r="BJ11" s="21"/>
      <c r="BK11" s="21"/>
      <c r="BL11" s="21"/>
      <c r="BM11" s="21"/>
      <c r="BN11" s="22"/>
      <c r="BO11" s="21"/>
      <c r="BP11" s="22"/>
      <c r="BQ11" s="21"/>
      <c r="BR11" s="2736"/>
    </row>
    <row r="12" spans="1:70" ht="15" hidden="1" customHeight="1" x14ac:dyDescent="0.2">
      <c r="A12" s="2676"/>
      <c r="B12" s="2676"/>
      <c r="C12" s="2676"/>
      <c r="D12" s="2678"/>
      <c r="E12" s="2676"/>
      <c r="F12" s="2676"/>
      <c r="G12" s="2676"/>
      <c r="H12" s="2676"/>
      <c r="I12" s="2676"/>
      <c r="J12" s="2678"/>
      <c r="K12" s="2676"/>
      <c r="L12" s="2676"/>
      <c r="M12" s="17"/>
      <c r="N12" s="18"/>
      <c r="O12" s="2676"/>
      <c r="P12" s="19"/>
      <c r="Q12" s="2676"/>
      <c r="R12" s="2703"/>
      <c r="S12" s="2676"/>
      <c r="T12" s="2676"/>
      <c r="U12" s="2676"/>
      <c r="V12" s="2689"/>
      <c r="W12" s="20"/>
      <c r="X12" s="20"/>
      <c r="Y12" s="19"/>
      <c r="Z12" s="19"/>
      <c r="AA12" s="2676"/>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21"/>
      <c r="BI12" s="21"/>
      <c r="BJ12" s="21"/>
      <c r="BK12" s="21"/>
      <c r="BL12" s="21"/>
      <c r="BM12" s="21"/>
      <c r="BN12" s="22"/>
      <c r="BO12" s="21"/>
      <c r="BP12" s="22"/>
      <c r="BQ12" s="21"/>
      <c r="BR12" s="2736"/>
    </row>
    <row r="13" spans="1:70" ht="15" hidden="1" customHeight="1" x14ac:dyDescent="0.2">
      <c r="A13" s="2676"/>
      <c r="B13" s="2676"/>
      <c r="C13" s="2676"/>
      <c r="D13" s="2678"/>
      <c r="E13" s="2676"/>
      <c r="F13" s="2676"/>
      <c r="G13" s="2676"/>
      <c r="H13" s="2676"/>
      <c r="I13" s="2676"/>
      <c r="J13" s="2678"/>
      <c r="K13" s="2676"/>
      <c r="L13" s="2676"/>
      <c r="M13" s="17"/>
      <c r="N13" s="18"/>
      <c r="O13" s="2676"/>
      <c r="P13" s="19"/>
      <c r="Q13" s="2676"/>
      <c r="R13" s="2703"/>
      <c r="S13" s="2676"/>
      <c r="T13" s="2676"/>
      <c r="U13" s="2676"/>
      <c r="V13" s="2689"/>
      <c r="W13" s="20"/>
      <c r="X13" s="20"/>
      <c r="Y13" s="19"/>
      <c r="Z13" s="19"/>
      <c r="AA13" s="2676"/>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21"/>
      <c r="BI13" s="21"/>
      <c r="BJ13" s="21"/>
      <c r="BK13" s="21"/>
      <c r="BL13" s="21"/>
      <c r="BM13" s="21"/>
      <c r="BN13" s="22"/>
      <c r="BO13" s="21"/>
      <c r="BP13" s="22"/>
      <c r="BQ13" s="21"/>
      <c r="BR13" s="2736"/>
    </row>
    <row r="14" spans="1:70" ht="15" hidden="1" customHeight="1" x14ac:dyDescent="0.2">
      <c r="A14" s="2676"/>
      <c r="B14" s="2676"/>
      <c r="C14" s="2676"/>
      <c r="D14" s="2678"/>
      <c r="E14" s="2676"/>
      <c r="F14" s="2676"/>
      <c r="G14" s="2676"/>
      <c r="H14" s="2676"/>
      <c r="I14" s="2676"/>
      <c r="J14" s="2678"/>
      <c r="K14" s="2676"/>
      <c r="L14" s="2676"/>
      <c r="M14" s="17"/>
      <c r="N14" s="18"/>
      <c r="O14" s="2676"/>
      <c r="P14" s="19"/>
      <c r="Q14" s="2676"/>
      <c r="R14" s="2703"/>
      <c r="S14" s="2676"/>
      <c r="T14" s="2676"/>
      <c r="U14" s="2676"/>
      <c r="V14" s="2689"/>
      <c r="W14" s="20"/>
      <c r="X14" s="20"/>
      <c r="Y14" s="19"/>
      <c r="Z14" s="19"/>
      <c r="AA14" s="2676"/>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21"/>
      <c r="BI14" s="21"/>
      <c r="BJ14" s="21"/>
      <c r="BK14" s="21"/>
      <c r="BL14" s="21"/>
      <c r="BM14" s="21"/>
      <c r="BN14" s="22"/>
      <c r="BO14" s="21"/>
      <c r="BP14" s="22"/>
      <c r="BQ14" s="21"/>
      <c r="BR14" s="2736"/>
    </row>
    <row r="15" spans="1:70" ht="15" x14ac:dyDescent="0.2">
      <c r="A15" s="2676"/>
      <c r="B15" s="2676"/>
      <c r="C15" s="2676"/>
      <c r="D15" s="2679"/>
      <c r="E15" s="2676"/>
      <c r="F15" s="2676"/>
      <c r="G15" s="2676"/>
      <c r="H15" s="2676"/>
      <c r="I15" s="2676"/>
      <c r="J15" s="2679"/>
      <c r="K15" s="2676"/>
      <c r="L15" s="2676"/>
      <c r="M15" s="23"/>
      <c r="N15" s="24"/>
      <c r="O15" s="2676"/>
      <c r="P15" s="19"/>
      <c r="Q15" s="2676"/>
      <c r="R15" s="2703"/>
      <c r="S15" s="2676"/>
      <c r="T15" s="2676"/>
      <c r="U15" s="2676"/>
      <c r="V15" s="2689"/>
      <c r="W15" s="20"/>
      <c r="X15" s="20"/>
      <c r="Y15" s="19"/>
      <c r="Z15" s="19"/>
      <c r="AA15" s="2676"/>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21"/>
      <c r="BI15" s="21"/>
      <c r="BJ15" s="21"/>
      <c r="BK15" s="21"/>
      <c r="BL15" s="21"/>
      <c r="BM15" s="21"/>
      <c r="BN15" s="22"/>
      <c r="BO15" s="21"/>
      <c r="BP15" s="22"/>
      <c r="BQ15" s="21"/>
      <c r="BR15" s="2736"/>
    </row>
    <row r="16" spans="1:70" s="25" customFormat="1" ht="15.75" x14ac:dyDescent="0.2">
      <c r="A16" s="2722" t="s">
        <v>60</v>
      </c>
      <c r="B16" s="2723"/>
      <c r="C16" s="2723"/>
      <c r="D16" s="2723"/>
      <c r="E16" s="2723"/>
      <c r="F16" s="2723"/>
      <c r="G16" s="2723"/>
      <c r="H16" s="2723"/>
      <c r="I16" s="2723"/>
      <c r="J16" s="2723"/>
      <c r="K16" s="2723"/>
      <c r="L16" s="2723"/>
      <c r="M16" s="2723"/>
      <c r="N16" s="2723"/>
      <c r="O16" s="2723"/>
      <c r="P16" s="2723"/>
      <c r="Q16" s="2723"/>
      <c r="R16" s="2723"/>
      <c r="S16" s="2723"/>
      <c r="T16" s="2723"/>
      <c r="U16" s="2723"/>
      <c r="V16" s="2723"/>
      <c r="W16" s="2723"/>
      <c r="X16" s="2723"/>
      <c r="Y16" s="2723"/>
      <c r="Z16" s="2723"/>
      <c r="AA16" s="2723"/>
      <c r="AB16" s="2723"/>
      <c r="AC16" s="2723"/>
      <c r="AD16" s="2723"/>
      <c r="AE16" s="2723"/>
      <c r="AF16" s="2723"/>
      <c r="AG16" s="2723"/>
      <c r="AH16" s="2723"/>
      <c r="AI16" s="2723"/>
      <c r="AJ16" s="2723"/>
      <c r="AK16" s="2723"/>
      <c r="AL16" s="2723"/>
      <c r="AM16" s="2723"/>
      <c r="AN16" s="2723"/>
      <c r="AO16" s="2723"/>
      <c r="AP16" s="2723"/>
      <c r="AQ16" s="2723"/>
      <c r="AR16" s="2723"/>
      <c r="AS16" s="2723"/>
      <c r="AT16" s="2723"/>
      <c r="AU16" s="2723"/>
      <c r="AV16" s="2723"/>
      <c r="AW16" s="2723"/>
      <c r="AX16" s="2723"/>
      <c r="AY16" s="2723"/>
      <c r="AZ16" s="2723"/>
      <c r="BA16" s="2723"/>
      <c r="BB16" s="2723"/>
      <c r="BC16" s="2723"/>
      <c r="BD16" s="2723"/>
      <c r="BE16" s="2723"/>
      <c r="BF16" s="2723"/>
      <c r="BG16" s="2723"/>
      <c r="BH16" s="2723"/>
      <c r="BI16" s="2723"/>
      <c r="BJ16" s="2723"/>
      <c r="BK16" s="2723"/>
      <c r="BL16" s="2723"/>
      <c r="BM16" s="2723"/>
      <c r="BN16" s="2723"/>
      <c r="BO16" s="2723"/>
      <c r="BP16" s="2723"/>
      <c r="BQ16" s="2723"/>
      <c r="BR16" s="2723"/>
    </row>
    <row r="17" spans="1:70" s="25" customFormat="1" ht="15.75" x14ac:dyDescent="0.2">
      <c r="A17" s="2724"/>
      <c r="B17" s="2726"/>
      <c r="C17" s="2727"/>
      <c r="D17" s="2730" t="s">
        <v>61</v>
      </c>
      <c r="E17" s="2731"/>
      <c r="F17" s="2731"/>
      <c r="G17" s="2731"/>
      <c r="H17" s="2731"/>
      <c r="I17" s="2731"/>
      <c r="J17" s="2731"/>
      <c r="K17" s="2731"/>
      <c r="L17" s="2731"/>
      <c r="M17" s="2731"/>
      <c r="N17" s="2731"/>
      <c r="O17" s="2731"/>
      <c r="P17" s="2731"/>
      <c r="Q17" s="2731"/>
      <c r="R17" s="2731"/>
      <c r="S17" s="2731"/>
      <c r="T17" s="2731"/>
      <c r="U17" s="2731"/>
      <c r="V17" s="2731"/>
      <c r="W17" s="2731"/>
      <c r="X17" s="2731"/>
      <c r="Y17" s="2731"/>
      <c r="Z17" s="2731"/>
      <c r="AA17" s="2731"/>
      <c r="AB17" s="2731"/>
      <c r="AC17" s="2731"/>
      <c r="AD17" s="2731"/>
      <c r="AE17" s="2731"/>
      <c r="AF17" s="2731"/>
      <c r="AG17" s="2731"/>
      <c r="AH17" s="2731"/>
      <c r="AI17" s="2731"/>
      <c r="AJ17" s="2731"/>
      <c r="AK17" s="2731"/>
      <c r="AL17" s="2731"/>
      <c r="AM17" s="2731"/>
      <c r="AN17" s="2731"/>
      <c r="AO17" s="2731"/>
      <c r="AP17" s="2731"/>
      <c r="AQ17" s="2731"/>
      <c r="AR17" s="2731"/>
      <c r="AS17" s="2731"/>
      <c r="AT17" s="2731"/>
      <c r="AU17" s="2731"/>
      <c r="AV17" s="2731"/>
      <c r="AW17" s="2731"/>
      <c r="AX17" s="2731"/>
      <c r="AY17" s="2731"/>
      <c r="AZ17" s="2731"/>
      <c r="BA17" s="2731"/>
      <c r="BB17" s="2731"/>
      <c r="BC17" s="2731"/>
      <c r="BD17" s="2731"/>
      <c r="BE17" s="2731"/>
      <c r="BF17" s="2731"/>
      <c r="BG17" s="2731"/>
      <c r="BH17" s="2731"/>
      <c r="BI17" s="2731"/>
      <c r="BJ17" s="2731"/>
      <c r="BK17" s="2731"/>
      <c r="BL17" s="2731"/>
      <c r="BM17" s="2731"/>
      <c r="BN17" s="2731"/>
      <c r="BO17" s="2731"/>
      <c r="BP17" s="2731"/>
      <c r="BQ17" s="2731"/>
      <c r="BR17" s="2731"/>
    </row>
    <row r="18" spans="1:70" s="25" customFormat="1" ht="15.75" x14ac:dyDescent="0.2">
      <c r="A18" s="2725"/>
      <c r="B18" s="2728"/>
      <c r="C18" s="2729"/>
      <c r="D18" s="1284"/>
      <c r="E18" s="2726"/>
      <c r="F18" s="2727"/>
      <c r="G18" s="2732" t="s">
        <v>62</v>
      </c>
      <c r="H18" s="2733"/>
      <c r="I18" s="2733"/>
      <c r="J18" s="2733"/>
      <c r="K18" s="2733"/>
      <c r="L18" s="2733"/>
      <c r="M18" s="2733"/>
      <c r="N18" s="2733"/>
      <c r="O18" s="2733"/>
      <c r="P18" s="2733"/>
      <c r="Q18" s="2733"/>
      <c r="R18" s="2733"/>
      <c r="S18" s="2733"/>
      <c r="T18" s="2733"/>
      <c r="U18" s="2733"/>
      <c r="V18" s="2733"/>
      <c r="W18" s="2733"/>
      <c r="X18" s="2733"/>
      <c r="Y18" s="2733"/>
      <c r="Z18" s="2733"/>
      <c r="AA18" s="2733"/>
      <c r="AB18" s="2733"/>
      <c r="AC18" s="2733"/>
      <c r="AD18" s="2733"/>
      <c r="AE18" s="2733"/>
      <c r="AF18" s="2733"/>
      <c r="AG18" s="2733"/>
      <c r="AH18" s="2733"/>
      <c r="AI18" s="2733"/>
      <c r="AJ18" s="2733"/>
      <c r="AK18" s="2733"/>
      <c r="AL18" s="2733"/>
      <c r="AM18" s="2733"/>
      <c r="AN18" s="2733"/>
      <c r="AO18" s="2733"/>
      <c r="AP18" s="2733"/>
      <c r="AQ18" s="2733"/>
      <c r="AR18" s="2733"/>
      <c r="AS18" s="2733"/>
      <c r="AT18" s="2733"/>
      <c r="AU18" s="2733"/>
      <c r="AV18" s="2733"/>
      <c r="AW18" s="2733"/>
      <c r="AX18" s="2733"/>
      <c r="AY18" s="2733"/>
      <c r="AZ18" s="2733"/>
      <c r="BA18" s="2733"/>
      <c r="BB18" s="2733"/>
      <c r="BC18" s="2733"/>
      <c r="BD18" s="2733"/>
      <c r="BE18" s="2733"/>
      <c r="BF18" s="2733"/>
      <c r="BG18" s="2733"/>
      <c r="BH18" s="2733"/>
      <c r="BI18" s="2733"/>
      <c r="BJ18" s="2733"/>
      <c r="BK18" s="2733"/>
      <c r="BL18" s="2733"/>
      <c r="BM18" s="2733"/>
      <c r="BN18" s="2733"/>
      <c r="BO18" s="2733"/>
      <c r="BP18" s="2733"/>
      <c r="BQ18" s="2733"/>
      <c r="BR18" s="2733"/>
    </row>
    <row r="19" spans="1:70" ht="50.25" customHeight="1" x14ac:dyDescent="0.2">
      <c r="A19" s="2635"/>
      <c r="B19" s="2325"/>
      <c r="C19" s="2636"/>
      <c r="D19" s="2635"/>
      <c r="E19" s="2325"/>
      <c r="F19" s="2636"/>
      <c r="G19" s="2632"/>
      <c r="H19" s="2633"/>
      <c r="I19" s="2634"/>
      <c r="J19" s="2744">
        <v>282</v>
      </c>
      <c r="K19" s="2746" t="s">
        <v>63</v>
      </c>
      <c r="L19" s="2738" t="s">
        <v>64</v>
      </c>
      <c r="M19" s="2748">
        <v>2</v>
      </c>
      <c r="N19" s="2748">
        <v>0</v>
      </c>
      <c r="O19" s="2748" t="s">
        <v>65</v>
      </c>
      <c r="P19" s="2737" t="s">
        <v>66</v>
      </c>
      <c r="Q19" s="2738" t="s">
        <v>67</v>
      </c>
      <c r="R19" s="2739">
        <f>+(W19+W20)/S19</f>
        <v>1</v>
      </c>
      <c r="S19" s="2740">
        <v>79500000</v>
      </c>
      <c r="T19" s="2742" t="s">
        <v>68</v>
      </c>
      <c r="U19" s="2743" t="s">
        <v>69</v>
      </c>
      <c r="V19" s="26" t="s">
        <v>70</v>
      </c>
      <c r="W19" s="27">
        <v>79500000</v>
      </c>
      <c r="X19" s="27">
        <v>79103800</v>
      </c>
      <c r="Y19" s="28">
        <v>0</v>
      </c>
      <c r="Z19" s="29">
        <v>20</v>
      </c>
      <c r="AA19" s="30" t="s">
        <v>71</v>
      </c>
      <c r="AB19" s="2749">
        <v>294321</v>
      </c>
      <c r="AC19" s="2749">
        <v>294321</v>
      </c>
      <c r="AD19" s="2749">
        <v>283947</v>
      </c>
      <c r="AE19" s="2749">
        <v>283947</v>
      </c>
      <c r="AF19" s="2749">
        <v>135754</v>
      </c>
      <c r="AG19" s="2749">
        <v>135754</v>
      </c>
      <c r="AH19" s="2749">
        <v>44640</v>
      </c>
      <c r="AI19" s="2749">
        <v>44640</v>
      </c>
      <c r="AJ19" s="2749">
        <v>308178</v>
      </c>
      <c r="AK19" s="2749">
        <v>308178</v>
      </c>
      <c r="AL19" s="2749">
        <v>89696</v>
      </c>
      <c r="AM19" s="2749">
        <v>89696</v>
      </c>
      <c r="AN19" s="2749">
        <v>2145</v>
      </c>
      <c r="AO19" s="2749">
        <v>2145</v>
      </c>
      <c r="AP19" s="2749">
        <v>12718</v>
      </c>
      <c r="AQ19" s="2749">
        <v>12718</v>
      </c>
      <c r="AR19" s="2749">
        <v>26</v>
      </c>
      <c r="AS19" s="2749">
        <v>26</v>
      </c>
      <c r="AT19" s="2749">
        <v>0</v>
      </c>
      <c r="AU19" s="2749">
        <v>0</v>
      </c>
      <c r="AV19" s="2749">
        <v>37</v>
      </c>
      <c r="AW19" s="2749">
        <v>37</v>
      </c>
      <c r="AX19" s="2749">
        <v>0</v>
      </c>
      <c r="AY19" s="2749">
        <v>0</v>
      </c>
      <c r="AZ19" s="2749">
        <v>44350</v>
      </c>
      <c r="BA19" s="2749">
        <v>44350</v>
      </c>
      <c r="BB19" s="2749">
        <v>21431</v>
      </c>
      <c r="BC19" s="2749">
        <v>21431</v>
      </c>
      <c r="BD19" s="2749">
        <v>71395</v>
      </c>
      <c r="BE19" s="2749">
        <v>71395</v>
      </c>
      <c r="BF19" s="2749">
        <v>578268</v>
      </c>
      <c r="BG19" s="2749">
        <v>578268</v>
      </c>
      <c r="BH19" s="2751">
        <v>1</v>
      </c>
      <c r="BI19" s="2753">
        <v>79103800</v>
      </c>
      <c r="BJ19" s="2754">
        <v>0</v>
      </c>
      <c r="BK19" s="2755">
        <f>+BJ19/BI19</f>
        <v>0</v>
      </c>
      <c r="BL19" s="2751" t="s">
        <v>71</v>
      </c>
      <c r="BM19" s="2751" t="s">
        <v>72</v>
      </c>
      <c r="BN19" s="2764">
        <v>43467</v>
      </c>
      <c r="BO19" s="2764">
        <v>43511</v>
      </c>
      <c r="BP19" s="2764">
        <v>43830</v>
      </c>
      <c r="BQ19" s="2764">
        <v>43660</v>
      </c>
      <c r="BR19" s="2761" t="s">
        <v>73</v>
      </c>
    </row>
    <row r="20" spans="1:70" ht="90.75" customHeight="1" x14ac:dyDescent="0.2">
      <c r="A20" s="2635"/>
      <c r="B20" s="2325"/>
      <c r="C20" s="2636"/>
      <c r="D20" s="2635"/>
      <c r="E20" s="2325"/>
      <c r="F20" s="2636"/>
      <c r="G20" s="2635"/>
      <c r="H20" s="2325"/>
      <c r="I20" s="2636"/>
      <c r="J20" s="2745"/>
      <c r="K20" s="2747"/>
      <c r="L20" s="2738"/>
      <c r="M20" s="2748"/>
      <c r="N20" s="2748"/>
      <c r="O20" s="2748"/>
      <c r="P20" s="2737"/>
      <c r="Q20" s="2738"/>
      <c r="R20" s="2739"/>
      <c r="S20" s="2741"/>
      <c r="T20" s="2742"/>
      <c r="U20" s="2743"/>
      <c r="V20" s="26" t="s">
        <v>74</v>
      </c>
      <c r="W20" s="27">
        <v>0</v>
      </c>
      <c r="X20" s="31"/>
      <c r="Y20" s="31"/>
      <c r="Z20" s="32"/>
      <c r="AA20" s="30"/>
      <c r="AB20" s="2750"/>
      <c r="AC20" s="2750">
        <v>294321</v>
      </c>
      <c r="AD20" s="2750">
        <v>283947</v>
      </c>
      <c r="AE20" s="2750">
        <v>283947</v>
      </c>
      <c r="AF20" s="2750">
        <v>135754</v>
      </c>
      <c r="AG20" s="2750">
        <v>135754</v>
      </c>
      <c r="AH20" s="2750">
        <v>44640</v>
      </c>
      <c r="AI20" s="2750">
        <v>44640</v>
      </c>
      <c r="AJ20" s="2750">
        <v>308178</v>
      </c>
      <c r="AK20" s="2750">
        <v>308178</v>
      </c>
      <c r="AL20" s="2750">
        <v>89696</v>
      </c>
      <c r="AM20" s="2750">
        <v>89696</v>
      </c>
      <c r="AN20" s="2750">
        <v>2145</v>
      </c>
      <c r="AO20" s="2750">
        <v>2145</v>
      </c>
      <c r="AP20" s="2750">
        <v>12718</v>
      </c>
      <c r="AQ20" s="2750">
        <v>12718</v>
      </c>
      <c r="AR20" s="2750">
        <v>26</v>
      </c>
      <c r="AS20" s="2750">
        <v>26</v>
      </c>
      <c r="AT20" s="2750">
        <v>0</v>
      </c>
      <c r="AU20" s="2750">
        <v>0</v>
      </c>
      <c r="AV20" s="2750">
        <v>37</v>
      </c>
      <c r="AW20" s="2750">
        <v>37</v>
      </c>
      <c r="AX20" s="2750">
        <v>0</v>
      </c>
      <c r="AY20" s="2750">
        <v>0</v>
      </c>
      <c r="AZ20" s="2750">
        <v>44350</v>
      </c>
      <c r="BA20" s="2750">
        <v>44350</v>
      </c>
      <c r="BB20" s="2750">
        <v>21431</v>
      </c>
      <c r="BC20" s="2750">
        <v>21431</v>
      </c>
      <c r="BD20" s="2750">
        <v>71395</v>
      </c>
      <c r="BE20" s="2750">
        <v>71395</v>
      </c>
      <c r="BF20" s="2750">
        <v>578268</v>
      </c>
      <c r="BG20" s="2750">
        <v>578268</v>
      </c>
      <c r="BH20" s="2752"/>
      <c r="BI20" s="2753"/>
      <c r="BJ20" s="2754"/>
      <c r="BK20" s="2756"/>
      <c r="BL20" s="2752"/>
      <c r="BM20" s="2752"/>
      <c r="BN20" s="2764"/>
      <c r="BO20" s="2764"/>
      <c r="BP20" s="2754"/>
      <c r="BQ20" s="2764"/>
      <c r="BR20" s="2761"/>
    </row>
    <row r="21" spans="1:70" ht="106.5" customHeight="1" x14ac:dyDescent="0.2">
      <c r="A21" s="2635"/>
      <c r="B21" s="2325"/>
      <c r="C21" s="2636"/>
      <c r="D21" s="2635"/>
      <c r="E21" s="2325"/>
      <c r="F21" s="2636"/>
      <c r="G21" s="2635"/>
      <c r="H21" s="2325"/>
      <c r="I21" s="2636"/>
      <c r="J21" s="30">
        <v>283</v>
      </c>
      <c r="K21" s="26" t="s">
        <v>75</v>
      </c>
      <c r="L21" s="26" t="s">
        <v>76</v>
      </c>
      <c r="M21" s="30">
        <v>1</v>
      </c>
      <c r="N21" s="33">
        <v>0.3</v>
      </c>
      <c r="O21" s="26" t="s">
        <v>77</v>
      </c>
      <c r="P21" s="34" t="s">
        <v>78</v>
      </c>
      <c r="Q21" s="26" t="s">
        <v>79</v>
      </c>
      <c r="R21" s="35">
        <f>W21/S21</f>
        <v>1</v>
      </c>
      <c r="S21" s="36">
        <v>39300000</v>
      </c>
      <c r="T21" s="26" t="s">
        <v>80</v>
      </c>
      <c r="U21" s="37" t="s">
        <v>81</v>
      </c>
      <c r="V21" s="26" t="s">
        <v>82</v>
      </c>
      <c r="W21" s="38">
        <f>30550000+8750000</f>
        <v>39300000</v>
      </c>
      <c r="X21" s="38">
        <v>21835000</v>
      </c>
      <c r="Y21" s="38">
        <v>8734000</v>
      </c>
      <c r="Z21" s="39">
        <v>20</v>
      </c>
      <c r="AA21" s="40" t="s">
        <v>71</v>
      </c>
      <c r="AB21" s="41">
        <v>850</v>
      </c>
      <c r="AC21" s="41">
        <v>850</v>
      </c>
      <c r="AD21" s="41">
        <v>550</v>
      </c>
      <c r="AE21" s="41">
        <v>550</v>
      </c>
      <c r="AF21" s="41">
        <v>400</v>
      </c>
      <c r="AG21" s="41">
        <v>400</v>
      </c>
      <c r="AH21" s="41">
        <v>0</v>
      </c>
      <c r="AI21" s="41">
        <v>0</v>
      </c>
      <c r="AJ21" s="41">
        <v>950</v>
      </c>
      <c r="AK21" s="41">
        <v>950</v>
      </c>
      <c r="AL21" s="41">
        <v>50</v>
      </c>
      <c r="AM21" s="41">
        <v>50</v>
      </c>
      <c r="AN21" s="41">
        <v>0</v>
      </c>
      <c r="AO21" s="41">
        <v>0</v>
      </c>
      <c r="AP21" s="41">
        <v>30</v>
      </c>
      <c r="AQ21" s="41">
        <v>30</v>
      </c>
      <c r="AR21" s="41">
        <v>0</v>
      </c>
      <c r="AS21" s="41">
        <v>0</v>
      </c>
      <c r="AT21" s="41">
        <v>0</v>
      </c>
      <c r="AU21" s="41">
        <v>0</v>
      </c>
      <c r="AV21" s="41">
        <v>0</v>
      </c>
      <c r="AW21" s="42"/>
      <c r="AX21" s="41">
        <v>0</v>
      </c>
      <c r="AY21" s="42"/>
      <c r="AZ21" s="41">
        <v>0</v>
      </c>
      <c r="BA21" s="41">
        <v>0</v>
      </c>
      <c r="BB21" s="41">
        <v>0</v>
      </c>
      <c r="BC21" s="41">
        <v>0</v>
      </c>
      <c r="BD21" s="41">
        <v>0</v>
      </c>
      <c r="BE21" s="41">
        <v>0</v>
      </c>
      <c r="BF21" s="41">
        <f>SUM(AB21:BE21)</f>
        <v>5660</v>
      </c>
      <c r="BG21" s="41">
        <v>5660</v>
      </c>
      <c r="BH21" s="43">
        <v>2</v>
      </c>
      <c r="BI21" s="44">
        <v>21835000</v>
      </c>
      <c r="BJ21" s="44">
        <v>8734000</v>
      </c>
      <c r="BK21" s="45">
        <f>+BJ21/BI21</f>
        <v>0.4</v>
      </c>
      <c r="BL21" s="43" t="s">
        <v>71</v>
      </c>
      <c r="BM21" s="43" t="s">
        <v>83</v>
      </c>
      <c r="BN21" s="46">
        <v>43467</v>
      </c>
      <c r="BO21" s="46">
        <v>43485</v>
      </c>
      <c r="BP21" s="46">
        <v>43830</v>
      </c>
      <c r="BQ21" s="46">
        <v>43635</v>
      </c>
      <c r="BR21" s="47" t="s">
        <v>84</v>
      </c>
    </row>
    <row r="22" spans="1:70" ht="55.7" customHeight="1" x14ac:dyDescent="0.2">
      <c r="A22" s="2635"/>
      <c r="B22" s="2325"/>
      <c r="C22" s="2636"/>
      <c r="D22" s="2635"/>
      <c r="E22" s="2325"/>
      <c r="F22" s="2636"/>
      <c r="G22" s="2635"/>
      <c r="H22" s="2325"/>
      <c r="I22" s="2636"/>
      <c r="J22" s="2748">
        <v>284</v>
      </c>
      <c r="K22" s="2738" t="s">
        <v>85</v>
      </c>
      <c r="L22" s="2738" t="s">
        <v>86</v>
      </c>
      <c r="M22" s="2748">
        <v>1</v>
      </c>
      <c r="N22" s="2762">
        <v>0</v>
      </c>
      <c r="O22" s="2738" t="s">
        <v>87</v>
      </c>
      <c r="P22" s="2748" t="s">
        <v>88</v>
      </c>
      <c r="Q22" s="2738" t="s">
        <v>89</v>
      </c>
      <c r="R22" s="2739">
        <f>+(W22+W23)/S22</f>
        <v>1</v>
      </c>
      <c r="S22" s="2757">
        <v>102500000</v>
      </c>
      <c r="T22" s="2738" t="s">
        <v>90</v>
      </c>
      <c r="U22" s="48" t="s">
        <v>68</v>
      </c>
      <c r="V22" s="26" t="s">
        <v>91</v>
      </c>
      <c r="W22" s="49">
        <v>92500000</v>
      </c>
      <c r="X22" s="28">
        <v>0</v>
      </c>
      <c r="Y22" s="28">
        <v>0</v>
      </c>
      <c r="Z22" s="50">
        <v>20</v>
      </c>
      <c r="AA22" s="30" t="s">
        <v>71</v>
      </c>
      <c r="AB22" s="2749">
        <v>294321</v>
      </c>
      <c r="AC22" s="2759">
        <v>294321</v>
      </c>
      <c r="AD22" s="2759">
        <v>283947</v>
      </c>
      <c r="AE22" s="2759">
        <v>283947</v>
      </c>
      <c r="AF22" s="2749">
        <v>135754</v>
      </c>
      <c r="AG22" s="2749">
        <v>135754</v>
      </c>
      <c r="AH22" s="2749">
        <v>44640</v>
      </c>
      <c r="AI22" s="2749">
        <v>44640</v>
      </c>
      <c r="AJ22" s="2749">
        <v>308178</v>
      </c>
      <c r="AK22" s="2749">
        <v>308178</v>
      </c>
      <c r="AL22" s="2749">
        <v>89696</v>
      </c>
      <c r="AM22" s="2749">
        <v>89696</v>
      </c>
      <c r="AN22" s="2749">
        <v>2145</v>
      </c>
      <c r="AO22" s="2749">
        <v>2145</v>
      </c>
      <c r="AP22" s="2749">
        <v>12718</v>
      </c>
      <c r="AQ22" s="2749">
        <v>12718</v>
      </c>
      <c r="AR22" s="2749">
        <v>26</v>
      </c>
      <c r="AS22" s="2749">
        <v>26</v>
      </c>
      <c r="AT22" s="2749">
        <v>0</v>
      </c>
      <c r="AU22" s="2749">
        <v>0</v>
      </c>
      <c r="AV22" s="2749">
        <v>37</v>
      </c>
      <c r="AW22" s="2749">
        <v>37</v>
      </c>
      <c r="AX22" s="2749">
        <v>0</v>
      </c>
      <c r="AY22" s="2749">
        <v>0</v>
      </c>
      <c r="AZ22" s="2749">
        <v>44350</v>
      </c>
      <c r="BA22" s="2749">
        <v>44350</v>
      </c>
      <c r="BB22" s="2749">
        <v>21431</v>
      </c>
      <c r="BC22" s="2749">
        <v>21431</v>
      </c>
      <c r="BD22" s="2749">
        <v>71395</v>
      </c>
      <c r="BE22" s="2749">
        <v>71395</v>
      </c>
      <c r="BF22" s="2749">
        <v>578268</v>
      </c>
      <c r="BG22" s="2749">
        <v>578268</v>
      </c>
      <c r="BH22" s="2751">
        <v>0</v>
      </c>
      <c r="BI22" s="2780">
        <v>0</v>
      </c>
      <c r="BJ22" s="2780">
        <v>0</v>
      </c>
      <c r="BK22" s="2755" t="e">
        <f>+BJ22/BI22</f>
        <v>#DIV/0!</v>
      </c>
      <c r="BL22" s="2751" t="s">
        <v>71</v>
      </c>
      <c r="BM22" s="2751" t="s">
        <v>72</v>
      </c>
      <c r="BN22" s="2765">
        <v>43467</v>
      </c>
      <c r="BO22" s="2767"/>
      <c r="BP22" s="2765">
        <v>43830</v>
      </c>
      <c r="BQ22" s="2767"/>
      <c r="BR22" s="2754" t="s">
        <v>92</v>
      </c>
    </row>
    <row r="23" spans="1:70" ht="103.5" customHeight="1" x14ac:dyDescent="0.2">
      <c r="A23" s="2635"/>
      <c r="B23" s="2325"/>
      <c r="C23" s="2636"/>
      <c r="D23" s="2635"/>
      <c r="E23" s="2325"/>
      <c r="F23" s="2636"/>
      <c r="G23" s="2635"/>
      <c r="H23" s="2325"/>
      <c r="I23" s="2636"/>
      <c r="J23" s="2748"/>
      <c r="K23" s="2738"/>
      <c r="L23" s="2738"/>
      <c r="M23" s="2748"/>
      <c r="N23" s="2763"/>
      <c r="O23" s="2738"/>
      <c r="P23" s="2748"/>
      <c r="Q23" s="2738"/>
      <c r="R23" s="2739"/>
      <c r="S23" s="2758"/>
      <c r="T23" s="2738"/>
      <c r="U23" s="51" t="s">
        <v>93</v>
      </c>
      <c r="V23" s="26" t="s">
        <v>94</v>
      </c>
      <c r="W23" s="27">
        <v>10000000</v>
      </c>
      <c r="X23" s="28">
        <v>0</v>
      </c>
      <c r="Y23" s="28">
        <v>0</v>
      </c>
      <c r="Z23" s="50">
        <v>20</v>
      </c>
      <c r="AA23" s="30" t="s">
        <v>71</v>
      </c>
      <c r="AB23" s="2750"/>
      <c r="AC23" s="2760">
        <v>294321</v>
      </c>
      <c r="AD23" s="2760">
        <v>283947</v>
      </c>
      <c r="AE23" s="2760"/>
      <c r="AF23" s="2750">
        <v>135754</v>
      </c>
      <c r="AG23" s="2750">
        <v>135754</v>
      </c>
      <c r="AH23" s="2750">
        <v>44640</v>
      </c>
      <c r="AI23" s="2750">
        <v>44640</v>
      </c>
      <c r="AJ23" s="2750">
        <v>308178</v>
      </c>
      <c r="AK23" s="2750">
        <v>308178</v>
      </c>
      <c r="AL23" s="2750">
        <v>89696</v>
      </c>
      <c r="AM23" s="2750">
        <v>89696</v>
      </c>
      <c r="AN23" s="2750">
        <v>2145</v>
      </c>
      <c r="AO23" s="2750">
        <v>2145</v>
      </c>
      <c r="AP23" s="2750">
        <v>12718</v>
      </c>
      <c r="AQ23" s="2750">
        <v>12718</v>
      </c>
      <c r="AR23" s="2750">
        <v>26</v>
      </c>
      <c r="AS23" s="2750">
        <v>26</v>
      </c>
      <c r="AT23" s="2750">
        <v>0</v>
      </c>
      <c r="AU23" s="2750">
        <v>0</v>
      </c>
      <c r="AV23" s="2750">
        <v>37</v>
      </c>
      <c r="AW23" s="2750">
        <v>37</v>
      </c>
      <c r="AX23" s="2750">
        <v>0</v>
      </c>
      <c r="AY23" s="2750">
        <v>0</v>
      </c>
      <c r="AZ23" s="2750">
        <v>44350</v>
      </c>
      <c r="BA23" s="2750">
        <v>44350</v>
      </c>
      <c r="BB23" s="2750">
        <v>21431</v>
      </c>
      <c r="BC23" s="2750">
        <v>21431</v>
      </c>
      <c r="BD23" s="2750">
        <v>71395</v>
      </c>
      <c r="BE23" s="2750">
        <v>71395</v>
      </c>
      <c r="BF23" s="2750">
        <v>578268</v>
      </c>
      <c r="BG23" s="2750">
        <v>578268</v>
      </c>
      <c r="BH23" s="2752"/>
      <c r="BI23" s="2781"/>
      <c r="BJ23" s="2781"/>
      <c r="BK23" s="2756"/>
      <c r="BL23" s="2752"/>
      <c r="BM23" s="2752"/>
      <c r="BN23" s="2766"/>
      <c r="BO23" s="2767"/>
      <c r="BP23" s="2766"/>
      <c r="BQ23" s="2767"/>
      <c r="BR23" s="2754"/>
    </row>
    <row r="24" spans="1:70" ht="105" x14ac:dyDescent="0.2">
      <c r="A24" s="2635"/>
      <c r="B24" s="2325"/>
      <c r="C24" s="2636"/>
      <c r="D24" s="2635"/>
      <c r="E24" s="2325"/>
      <c r="F24" s="2636"/>
      <c r="G24" s="2635"/>
      <c r="H24" s="2325"/>
      <c r="I24" s="2636"/>
      <c r="J24" s="30">
        <v>285</v>
      </c>
      <c r="K24" s="26" t="s">
        <v>95</v>
      </c>
      <c r="L24" s="26" t="s">
        <v>96</v>
      </c>
      <c r="M24" s="30">
        <v>1</v>
      </c>
      <c r="N24" s="52">
        <v>0.3</v>
      </c>
      <c r="O24" s="26" t="s">
        <v>97</v>
      </c>
      <c r="P24" s="30" t="s">
        <v>98</v>
      </c>
      <c r="Q24" s="26" t="s">
        <v>99</v>
      </c>
      <c r="R24" s="35">
        <f>+W24/S24</f>
        <v>1</v>
      </c>
      <c r="S24" s="27">
        <v>89600000</v>
      </c>
      <c r="T24" s="26" t="s">
        <v>100</v>
      </c>
      <c r="U24" s="51" t="s">
        <v>101</v>
      </c>
      <c r="V24" s="26" t="s">
        <v>102</v>
      </c>
      <c r="W24" s="53">
        <v>89600000</v>
      </c>
      <c r="X24" s="53">
        <v>78604667</v>
      </c>
      <c r="Y24" s="53">
        <v>31997000</v>
      </c>
      <c r="Z24" s="54">
        <v>20</v>
      </c>
      <c r="AA24" s="55" t="s">
        <v>71</v>
      </c>
      <c r="AB24" s="56">
        <v>294321</v>
      </c>
      <c r="AC24" s="56">
        <v>294321</v>
      </c>
      <c r="AD24" s="56">
        <v>283947</v>
      </c>
      <c r="AE24" s="56">
        <v>283947</v>
      </c>
      <c r="AF24" s="56">
        <v>135754</v>
      </c>
      <c r="AG24" s="56">
        <v>135754</v>
      </c>
      <c r="AH24" s="56">
        <v>44640</v>
      </c>
      <c r="AI24" s="56">
        <v>44640</v>
      </c>
      <c r="AJ24" s="56">
        <v>308178</v>
      </c>
      <c r="AK24" s="56">
        <v>308178</v>
      </c>
      <c r="AL24" s="56">
        <v>89696</v>
      </c>
      <c r="AM24" s="56">
        <v>89696</v>
      </c>
      <c r="AN24" s="56">
        <v>2145</v>
      </c>
      <c r="AO24" s="56">
        <v>2145</v>
      </c>
      <c r="AP24" s="56">
        <v>12718</v>
      </c>
      <c r="AQ24" s="56">
        <v>12718</v>
      </c>
      <c r="AR24" s="56">
        <v>26</v>
      </c>
      <c r="AS24" s="56">
        <v>26</v>
      </c>
      <c r="AT24" s="56">
        <v>0</v>
      </c>
      <c r="AU24" s="56">
        <v>0</v>
      </c>
      <c r="AV24" s="56">
        <v>37</v>
      </c>
      <c r="AW24" s="56">
        <v>37</v>
      </c>
      <c r="AX24" s="56">
        <v>0</v>
      </c>
      <c r="AY24" s="56">
        <v>0</v>
      </c>
      <c r="AZ24" s="56">
        <v>44350</v>
      </c>
      <c r="BA24" s="56">
        <v>44350</v>
      </c>
      <c r="BB24" s="56">
        <v>21431</v>
      </c>
      <c r="BC24" s="56">
        <v>21431</v>
      </c>
      <c r="BD24" s="56">
        <v>71395</v>
      </c>
      <c r="BE24" s="56">
        <v>71395</v>
      </c>
      <c r="BF24" s="57">
        <v>578268</v>
      </c>
      <c r="BG24" s="57">
        <v>578268</v>
      </c>
      <c r="BH24" s="58">
        <v>7</v>
      </c>
      <c r="BI24" s="44">
        <v>78604667</v>
      </c>
      <c r="BJ24" s="44">
        <v>31997000</v>
      </c>
      <c r="BK24" s="59">
        <f>+BJ24/BI24</f>
        <v>0.40706234402087094</v>
      </c>
      <c r="BL24" s="43" t="s">
        <v>71</v>
      </c>
      <c r="BM24" s="58" t="s">
        <v>72</v>
      </c>
      <c r="BN24" s="60">
        <v>43467</v>
      </c>
      <c r="BO24" s="60">
        <v>43480</v>
      </c>
      <c r="BP24" s="60">
        <v>43830</v>
      </c>
      <c r="BQ24" s="60">
        <v>43630</v>
      </c>
      <c r="BR24" s="28" t="s">
        <v>103</v>
      </c>
    </row>
    <row r="25" spans="1:70" ht="90" x14ac:dyDescent="0.2">
      <c r="A25" s="2635"/>
      <c r="B25" s="2325"/>
      <c r="C25" s="2636"/>
      <c r="D25" s="2635"/>
      <c r="E25" s="2325"/>
      <c r="F25" s="2636"/>
      <c r="G25" s="2635"/>
      <c r="H25" s="2325"/>
      <c r="I25" s="2636"/>
      <c r="J25" s="30">
        <v>280</v>
      </c>
      <c r="K25" s="26" t="s">
        <v>104</v>
      </c>
      <c r="L25" s="26" t="s">
        <v>105</v>
      </c>
      <c r="M25" s="30">
        <v>1</v>
      </c>
      <c r="N25" s="28">
        <v>0</v>
      </c>
      <c r="O25" s="61"/>
      <c r="P25" s="2768" t="s">
        <v>106</v>
      </c>
      <c r="Q25" s="2770" t="s">
        <v>107</v>
      </c>
      <c r="R25" s="62">
        <f>W25/S25</f>
        <v>4.7634108705444855E-3</v>
      </c>
      <c r="S25" s="2772">
        <v>5216850000</v>
      </c>
      <c r="T25" s="2770" t="s">
        <v>108</v>
      </c>
      <c r="U25" s="51" t="s">
        <v>109</v>
      </c>
      <c r="V25" s="26" t="s">
        <v>110</v>
      </c>
      <c r="W25" s="53">
        <v>24850000</v>
      </c>
      <c r="X25" s="28">
        <v>0</v>
      </c>
      <c r="Y25" s="28">
        <v>0</v>
      </c>
      <c r="Z25" s="63">
        <v>20</v>
      </c>
      <c r="AA25" s="64" t="s">
        <v>71</v>
      </c>
      <c r="AB25" s="65">
        <v>294321</v>
      </c>
      <c r="AC25" s="65">
        <v>294321</v>
      </c>
      <c r="AD25" s="65">
        <v>283947</v>
      </c>
      <c r="AE25" s="65">
        <v>283947</v>
      </c>
      <c r="AF25" s="65">
        <v>135754</v>
      </c>
      <c r="AG25" s="65">
        <v>135754</v>
      </c>
      <c r="AH25" s="65">
        <v>44640</v>
      </c>
      <c r="AI25" s="65">
        <v>44640</v>
      </c>
      <c r="AJ25" s="65">
        <v>308178</v>
      </c>
      <c r="AK25" s="65">
        <v>308178</v>
      </c>
      <c r="AL25" s="65">
        <v>89696</v>
      </c>
      <c r="AM25" s="65">
        <v>89696</v>
      </c>
      <c r="AN25" s="65">
        <v>2145</v>
      </c>
      <c r="AO25" s="65">
        <v>2145</v>
      </c>
      <c r="AP25" s="65">
        <v>12718</v>
      </c>
      <c r="AQ25" s="65">
        <v>12718</v>
      </c>
      <c r="AR25" s="65">
        <v>26</v>
      </c>
      <c r="AS25" s="65">
        <v>26</v>
      </c>
      <c r="AT25" s="65">
        <v>0</v>
      </c>
      <c r="AU25" s="65">
        <v>0</v>
      </c>
      <c r="AV25" s="65">
        <v>37</v>
      </c>
      <c r="AW25" s="65">
        <v>37</v>
      </c>
      <c r="AX25" s="65">
        <v>0</v>
      </c>
      <c r="AY25" s="65">
        <v>0</v>
      </c>
      <c r="AZ25" s="65">
        <v>44350</v>
      </c>
      <c r="BA25" s="65">
        <v>44350</v>
      </c>
      <c r="BB25" s="65">
        <v>21431</v>
      </c>
      <c r="BC25" s="65">
        <v>21431</v>
      </c>
      <c r="BD25" s="65">
        <v>71395</v>
      </c>
      <c r="BE25" s="65">
        <v>71395</v>
      </c>
      <c r="BF25" s="65">
        <v>578268</v>
      </c>
      <c r="BG25" s="65">
        <v>578268</v>
      </c>
      <c r="BH25" s="2751">
        <v>5</v>
      </c>
      <c r="BI25" s="2777">
        <v>67145000</v>
      </c>
      <c r="BJ25" s="2777">
        <v>18358000</v>
      </c>
      <c r="BK25" s="2755">
        <f>+BJ25/BI25</f>
        <v>0.27340829547993151</v>
      </c>
      <c r="BL25" s="2751" t="s">
        <v>71</v>
      </c>
      <c r="BM25" s="2751" t="s">
        <v>111</v>
      </c>
      <c r="BN25" s="2765">
        <v>43101</v>
      </c>
      <c r="BO25" s="2765">
        <v>43486</v>
      </c>
      <c r="BP25" s="2765">
        <v>43830</v>
      </c>
      <c r="BQ25" s="2765">
        <v>43636</v>
      </c>
      <c r="BR25" s="2759" t="s">
        <v>112</v>
      </c>
    </row>
    <row r="26" spans="1:70" ht="99.75" customHeight="1" x14ac:dyDescent="0.2">
      <c r="A26" s="2635"/>
      <c r="B26" s="2325"/>
      <c r="C26" s="2636"/>
      <c r="D26" s="2635"/>
      <c r="E26" s="2325"/>
      <c r="F26" s="2636"/>
      <c r="G26" s="2635"/>
      <c r="H26" s="2325"/>
      <c r="I26" s="2636"/>
      <c r="J26" s="30">
        <v>281</v>
      </c>
      <c r="K26" s="26" t="s">
        <v>2578</v>
      </c>
      <c r="L26" s="26" t="s">
        <v>116</v>
      </c>
      <c r="M26" s="30">
        <v>1</v>
      </c>
      <c r="N26" s="28">
        <v>0</v>
      </c>
      <c r="O26" s="66"/>
      <c r="P26" s="2768"/>
      <c r="Q26" s="2770"/>
      <c r="R26" s="62">
        <f>W26/S25</f>
        <v>1.6005827271246057E-2</v>
      </c>
      <c r="S26" s="2773"/>
      <c r="T26" s="2770"/>
      <c r="U26" s="67" t="s">
        <v>113</v>
      </c>
      <c r="V26" s="68" t="s">
        <v>114</v>
      </c>
      <c r="W26" s="69">
        <f>0+83500000</f>
        <v>83500000</v>
      </c>
      <c r="X26" s="28">
        <v>0</v>
      </c>
      <c r="Y26" s="28">
        <v>0</v>
      </c>
      <c r="Z26" s="63"/>
      <c r="AA26" s="64"/>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2775"/>
      <c r="BI26" s="2778"/>
      <c r="BJ26" s="2778"/>
      <c r="BK26" s="2787"/>
      <c r="BL26" s="2775"/>
      <c r="BM26" s="2775"/>
      <c r="BN26" s="2782"/>
      <c r="BO26" s="2782"/>
      <c r="BP26" s="2782"/>
      <c r="BQ26" s="2782"/>
      <c r="BR26" s="2784"/>
    </row>
    <row r="27" spans="1:70" ht="60" x14ac:dyDescent="0.2">
      <c r="A27" s="2635"/>
      <c r="B27" s="2325"/>
      <c r="C27" s="2636"/>
      <c r="D27" s="2635"/>
      <c r="E27" s="2325"/>
      <c r="F27" s="2636"/>
      <c r="G27" s="2635"/>
      <c r="H27" s="2325"/>
      <c r="I27" s="2636"/>
      <c r="J27" s="30">
        <v>287</v>
      </c>
      <c r="K27" s="26" t="s">
        <v>115</v>
      </c>
      <c r="L27" s="26" t="s">
        <v>116</v>
      </c>
      <c r="M27" s="30">
        <v>1</v>
      </c>
      <c r="N27" s="28">
        <v>0.15</v>
      </c>
      <c r="O27" s="66" t="s">
        <v>117</v>
      </c>
      <c r="P27" s="2768"/>
      <c r="Q27" s="2770"/>
      <c r="R27" s="62">
        <f>W27/S25</f>
        <v>2.0797991124912544E-2</v>
      </c>
      <c r="S27" s="2773"/>
      <c r="T27" s="2770"/>
      <c r="U27" s="51" t="s">
        <v>118</v>
      </c>
      <c r="V27" s="26" t="s">
        <v>119</v>
      </c>
      <c r="W27" s="53">
        <v>108500000</v>
      </c>
      <c r="X27" s="53">
        <v>67145000</v>
      </c>
      <c r="Y27" s="53">
        <v>18358000</v>
      </c>
      <c r="Z27" s="63">
        <v>20</v>
      </c>
      <c r="AA27" s="64" t="s">
        <v>120</v>
      </c>
      <c r="AB27" s="2749">
        <v>294321</v>
      </c>
      <c r="AC27" s="2749">
        <v>294321</v>
      </c>
      <c r="AD27" s="2749">
        <v>283947</v>
      </c>
      <c r="AE27" s="2749">
        <v>283947</v>
      </c>
      <c r="AF27" s="2749">
        <v>135754</v>
      </c>
      <c r="AG27" s="2749">
        <v>135754</v>
      </c>
      <c r="AH27" s="2749">
        <v>44640</v>
      </c>
      <c r="AI27" s="2749">
        <v>44640</v>
      </c>
      <c r="AJ27" s="2749">
        <v>308178</v>
      </c>
      <c r="AK27" s="2749">
        <v>308178</v>
      </c>
      <c r="AL27" s="2749">
        <v>89696</v>
      </c>
      <c r="AM27" s="2749">
        <v>89696</v>
      </c>
      <c r="AN27" s="2749">
        <v>2145</v>
      </c>
      <c r="AO27" s="2749">
        <v>2145</v>
      </c>
      <c r="AP27" s="2749">
        <v>12718</v>
      </c>
      <c r="AQ27" s="2749">
        <v>12718</v>
      </c>
      <c r="AR27" s="2749">
        <v>26</v>
      </c>
      <c r="AS27" s="2749">
        <v>26</v>
      </c>
      <c r="AT27" s="2749">
        <v>0</v>
      </c>
      <c r="AU27" s="2749">
        <v>0</v>
      </c>
      <c r="AV27" s="2749">
        <v>37</v>
      </c>
      <c r="AW27" s="2749">
        <v>37</v>
      </c>
      <c r="AX27" s="2749">
        <v>0</v>
      </c>
      <c r="AY27" s="2749">
        <v>0</v>
      </c>
      <c r="AZ27" s="2749">
        <v>44350</v>
      </c>
      <c r="BA27" s="2749">
        <v>44350</v>
      </c>
      <c r="BB27" s="2749">
        <v>21431</v>
      </c>
      <c r="BC27" s="2749">
        <v>21431</v>
      </c>
      <c r="BD27" s="2749">
        <v>71395</v>
      </c>
      <c r="BE27" s="2749">
        <v>71395</v>
      </c>
      <c r="BF27" s="2749">
        <v>578268</v>
      </c>
      <c r="BG27" s="2749">
        <v>578268</v>
      </c>
      <c r="BH27" s="2775"/>
      <c r="BI27" s="2778"/>
      <c r="BJ27" s="2778"/>
      <c r="BK27" s="2787"/>
      <c r="BL27" s="2775"/>
      <c r="BM27" s="2775"/>
      <c r="BN27" s="2782"/>
      <c r="BO27" s="2782"/>
      <c r="BP27" s="2782"/>
      <c r="BQ27" s="2782"/>
      <c r="BR27" s="2784"/>
    </row>
    <row r="28" spans="1:70" ht="120.75" thickBot="1" x14ac:dyDescent="0.25">
      <c r="A28" s="2637"/>
      <c r="B28" s="2638"/>
      <c r="C28" s="2639"/>
      <c r="D28" s="2637"/>
      <c r="E28" s="2638"/>
      <c r="F28" s="2639"/>
      <c r="G28" s="2637"/>
      <c r="H28" s="2638"/>
      <c r="I28" s="2639"/>
      <c r="J28" s="70">
        <v>289</v>
      </c>
      <c r="K28" s="71" t="s">
        <v>121</v>
      </c>
      <c r="L28" s="71" t="s">
        <v>122</v>
      </c>
      <c r="M28" s="70">
        <v>1</v>
      </c>
      <c r="N28" s="72">
        <v>0.5</v>
      </c>
      <c r="O28" s="73"/>
      <c r="P28" s="2769"/>
      <c r="Q28" s="2771"/>
      <c r="R28" s="74">
        <f>W28/S25</f>
        <v>0.95843277073329691</v>
      </c>
      <c r="S28" s="2774"/>
      <c r="T28" s="2771"/>
      <c r="U28" s="75" t="s">
        <v>123</v>
      </c>
      <c r="V28" s="71" t="s">
        <v>124</v>
      </c>
      <c r="W28" s="76">
        <v>5000000000</v>
      </c>
      <c r="X28" s="72">
        <v>0</v>
      </c>
      <c r="Y28" s="72">
        <v>0</v>
      </c>
      <c r="Z28" s="77">
        <v>46</v>
      </c>
      <c r="AA28" s="78" t="s">
        <v>125</v>
      </c>
      <c r="AB28" s="2786"/>
      <c r="AC28" s="2786">
        <v>294321</v>
      </c>
      <c r="AD28" s="2786">
        <v>283947</v>
      </c>
      <c r="AE28" s="2786">
        <v>283947</v>
      </c>
      <c r="AF28" s="2786">
        <v>135754</v>
      </c>
      <c r="AG28" s="2786">
        <v>135754</v>
      </c>
      <c r="AH28" s="2786">
        <v>44640</v>
      </c>
      <c r="AI28" s="2786">
        <v>44640</v>
      </c>
      <c r="AJ28" s="2786">
        <v>308178</v>
      </c>
      <c r="AK28" s="2786">
        <v>308178</v>
      </c>
      <c r="AL28" s="2786">
        <v>89696</v>
      </c>
      <c r="AM28" s="2786">
        <v>89696</v>
      </c>
      <c r="AN28" s="2786">
        <v>2145</v>
      </c>
      <c r="AO28" s="2786">
        <v>2145</v>
      </c>
      <c r="AP28" s="2786">
        <v>12718</v>
      </c>
      <c r="AQ28" s="2786">
        <v>12718</v>
      </c>
      <c r="AR28" s="2786">
        <v>26</v>
      </c>
      <c r="AS28" s="2786">
        <v>26</v>
      </c>
      <c r="AT28" s="2786">
        <v>0</v>
      </c>
      <c r="AU28" s="2786">
        <v>0</v>
      </c>
      <c r="AV28" s="2786">
        <v>37</v>
      </c>
      <c r="AW28" s="2786">
        <v>37</v>
      </c>
      <c r="AX28" s="2786">
        <v>0</v>
      </c>
      <c r="AY28" s="2786">
        <v>0</v>
      </c>
      <c r="AZ28" s="2786">
        <v>44350</v>
      </c>
      <c r="BA28" s="2786">
        <v>44350</v>
      </c>
      <c r="BB28" s="2786">
        <v>21431</v>
      </c>
      <c r="BC28" s="2786">
        <v>21431</v>
      </c>
      <c r="BD28" s="2786">
        <v>71395</v>
      </c>
      <c r="BE28" s="2786">
        <v>71395</v>
      </c>
      <c r="BF28" s="2786">
        <v>578268</v>
      </c>
      <c r="BG28" s="2786">
        <v>578268</v>
      </c>
      <c r="BH28" s="2776"/>
      <c r="BI28" s="2779"/>
      <c r="BJ28" s="2779"/>
      <c r="BK28" s="2787"/>
      <c r="BL28" s="2775"/>
      <c r="BM28" s="2776"/>
      <c r="BN28" s="2783"/>
      <c r="BO28" s="2783"/>
      <c r="BP28" s="2783"/>
      <c r="BQ28" s="2783"/>
      <c r="BR28" s="2785"/>
    </row>
    <row r="29" spans="1:70" ht="16.5" thickBot="1" x14ac:dyDescent="0.3">
      <c r="A29" s="2640"/>
      <c r="B29" s="2631"/>
      <c r="C29" s="2631"/>
      <c r="D29" s="2631"/>
      <c r="E29" s="2631"/>
      <c r="F29" s="2631"/>
      <c r="G29" s="2631"/>
      <c r="H29" s="2631"/>
      <c r="I29" s="2631"/>
      <c r="J29" s="80"/>
      <c r="K29" s="79"/>
      <c r="L29" s="79"/>
      <c r="M29" s="81"/>
      <c r="N29" s="82"/>
      <c r="O29" s="83"/>
      <c r="P29" s="84"/>
      <c r="Q29" s="84"/>
      <c r="R29" s="85"/>
      <c r="S29" s="86">
        <f>SUM(S19:S28)</f>
        <v>5527750000</v>
      </c>
      <c r="T29" s="87"/>
      <c r="U29" s="87"/>
      <c r="V29" s="88"/>
      <c r="W29" s="86">
        <f>SUM(W19:W28)</f>
        <v>5527750000</v>
      </c>
      <c r="X29" s="86">
        <f>SUM(X19:X28)</f>
        <v>246688467</v>
      </c>
      <c r="Y29" s="86">
        <f>SUM(Y19:Y28)</f>
        <v>59089000</v>
      </c>
      <c r="Z29" s="89"/>
      <c r="AA29" s="90"/>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91"/>
      <c r="BI29" s="92">
        <f>SUM(BI19:BI28)</f>
        <v>246688467</v>
      </c>
      <c r="BJ29" s="93">
        <f>SUM(BJ19:BJ28)</f>
        <v>59089000</v>
      </c>
      <c r="BK29" s="94"/>
      <c r="BL29" s="95"/>
      <c r="BM29" s="96"/>
      <c r="BN29" s="82"/>
      <c r="BO29" s="82"/>
      <c r="BP29" s="82"/>
      <c r="BQ29" s="82"/>
      <c r="BR29" s="95"/>
    </row>
  </sheetData>
  <sheetProtection password="F3F4" sheet="1" objects="1" scenarios="1"/>
  <mergeCells count="218">
    <mergeCell ref="BG27:BG28"/>
    <mergeCell ref="AV27:AV28"/>
    <mergeCell ref="AW27:AW28"/>
    <mergeCell ref="AX27:AX28"/>
    <mergeCell ref="AY27:AY28"/>
    <mergeCell ref="AZ27:AZ28"/>
    <mergeCell ref="BA27:BA28"/>
    <mergeCell ref="AL27:AL28"/>
    <mergeCell ref="AM27:AM28"/>
    <mergeCell ref="AN27:AN28"/>
    <mergeCell ref="AO27:AO28"/>
    <mergeCell ref="BB27:BB28"/>
    <mergeCell ref="BC27:BC28"/>
    <mergeCell ref="BD27:BD28"/>
    <mergeCell ref="BE27:BE28"/>
    <mergeCell ref="BF27:BF28"/>
    <mergeCell ref="BQ25:BQ28"/>
    <mergeCell ref="BR25:BR28"/>
    <mergeCell ref="AB27:AB28"/>
    <mergeCell ref="AC27:AC28"/>
    <mergeCell ref="AD27:AD28"/>
    <mergeCell ref="AE27:AE28"/>
    <mergeCell ref="AF27:AF28"/>
    <mergeCell ref="AG27:AG28"/>
    <mergeCell ref="AH27:AH28"/>
    <mergeCell ref="AI27:AI28"/>
    <mergeCell ref="BK25:BK28"/>
    <mergeCell ref="BL25:BL28"/>
    <mergeCell ref="BM25:BM28"/>
    <mergeCell ref="BN25:BN28"/>
    <mergeCell ref="BO25:BO28"/>
    <mergeCell ref="BP25:BP28"/>
    <mergeCell ref="AP27:AP28"/>
    <mergeCell ref="AQ27:AQ28"/>
    <mergeCell ref="AR27:AR28"/>
    <mergeCell ref="AS27:AS28"/>
    <mergeCell ref="AT27:AT28"/>
    <mergeCell ref="AU27:AU28"/>
    <mergeCell ref="AJ27:AJ28"/>
    <mergeCell ref="AK27:AK28"/>
    <mergeCell ref="BP22:BP23"/>
    <mergeCell ref="BQ22:BQ23"/>
    <mergeCell ref="BR22:BR23"/>
    <mergeCell ref="P25:P28"/>
    <mergeCell ref="Q25:Q28"/>
    <mergeCell ref="S25:S28"/>
    <mergeCell ref="T25:T28"/>
    <mergeCell ref="BH25:BH28"/>
    <mergeCell ref="BI25:BI28"/>
    <mergeCell ref="BJ25:BJ28"/>
    <mergeCell ref="BJ22:BJ23"/>
    <mergeCell ref="BK22:BK23"/>
    <mergeCell ref="BL22:BL23"/>
    <mergeCell ref="BM22:BM23"/>
    <mergeCell ref="BN22:BN23"/>
    <mergeCell ref="BO22:BO23"/>
    <mergeCell ref="BD22:BD23"/>
    <mergeCell ref="BE22:BE23"/>
    <mergeCell ref="BF22:BF23"/>
    <mergeCell ref="BG22:BG23"/>
    <mergeCell ref="BH22:BH23"/>
    <mergeCell ref="BI22:BI23"/>
    <mergeCell ref="AX22:AX23"/>
    <mergeCell ref="AY22:AY23"/>
    <mergeCell ref="AZ22:AZ23"/>
    <mergeCell ref="BA22:BA23"/>
    <mergeCell ref="BB22:BB23"/>
    <mergeCell ref="BC22:BC23"/>
    <mergeCell ref="AR22:AR23"/>
    <mergeCell ref="AS22:AS23"/>
    <mergeCell ref="AT22:AT23"/>
    <mergeCell ref="AU22:AU23"/>
    <mergeCell ref="AV22:AV23"/>
    <mergeCell ref="AW22:AW23"/>
    <mergeCell ref="AL22:AL23"/>
    <mergeCell ref="AM22:AM23"/>
    <mergeCell ref="AN22:AN23"/>
    <mergeCell ref="AO22:AO23"/>
    <mergeCell ref="AP22:AP23"/>
    <mergeCell ref="AQ22:AQ23"/>
    <mergeCell ref="AF22:AF23"/>
    <mergeCell ref="AG22:AG23"/>
    <mergeCell ref="AH22:AH23"/>
    <mergeCell ref="AI22:AI23"/>
    <mergeCell ref="AJ22:AJ23"/>
    <mergeCell ref="AK22:AK23"/>
    <mergeCell ref="S22:S23"/>
    <mergeCell ref="T22:T23"/>
    <mergeCell ref="AB22:AB23"/>
    <mergeCell ref="AC22:AC23"/>
    <mergeCell ref="AD22:AD23"/>
    <mergeCell ref="AE22:AE23"/>
    <mergeCell ref="BR19:BR20"/>
    <mergeCell ref="J22:J23"/>
    <mergeCell ref="K22:K23"/>
    <mergeCell ref="L22:L23"/>
    <mergeCell ref="M22:M23"/>
    <mergeCell ref="N22:N23"/>
    <mergeCell ref="O22:O23"/>
    <mergeCell ref="P22:P23"/>
    <mergeCell ref="Q22:Q23"/>
    <mergeCell ref="R22:R23"/>
    <mergeCell ref="BL19:BL20"/>
    <mergeCell ref="BM19:BM20"/>
    <mergeCell ref="BN19:BN20"/>
    <mergeCell ref="BO19:BO20"/>
    <mergeCell ref="BP19:BP20"/>
    <mergeCell ref="BQ19:BQ20"/>
    <mergeCell ref="BF19:BF20"/>
    <mergeCell ref="BG19:BG20"/>
    <mergeCell ref="BH19:BH20"/>
    <mergeCell ref="BI19:BI20"/>
    <mergeCell ref="BJ19:BJ20"/>
    <mergeCell ref="BK19:BK20"/>
    <mergeCell ref="AZ19:AZ20"/>
    <mergeCell ref="BA19:BA20"/>
    <mergeCell ref="BB19:BB20"/>
    <mergeCell ref="BC19:BC20"/>
    <mergeCell ref="BD19:BD20"/>
    <mergeCell ref="BE19:BE20"/>
    <mergeCell ref="AT19:AT20"/>
    <mergeCell ref="AU19:AU20"/>
    <mergeCell ref="AV19:AV20"/>
    <mergeCell ref="AW19:AW20"/>
    <mergeCell ref="AX19:AX20"/>
    <mergeCell ref="AY19:AY20"/>
    <mergeCell ref="AN19:AN20"/>
    <mergeCell ref="AO19:AO20"/>
    <mergeCell ref="AP19:AP20"/>
    <mergeCell ref="AQ19:AQ20"/>
    <mergeCell ref="AR19:AR20"/>
    <mergeCell ref="AS19:AS20"/>
    <mergeCell ref="AH19:AH20"/>
    <mergeCell ref="AI19:AI20"/>
    <mergeCell ref="AJ19:AJ20"/>
    <mergeCell ref="AK19:AK20"/>
    <mergeCell ref="AL19:AL20"/>
    <mergeCell ref="AM19:AM20"/>
    <mergeCell ref="AB19:AB20"/>
    <mergeCell ref="AC19:AC20"/>
    <mergeCell ref="AD19:AD20"/>
    <mergeCell ref="AE19:AE20"/>
    <mergeCell ref="AF19:AF20"/>
    <mergeCell ref="AG19:AG20"/>
    <mergeCell ref="P19:P20"/>
    <mergeCell ref="Q19:Q20"/>
    <mergeCell ref="R19:R20"/>
    <mergeCell ref="S19:S20"/>
    <mergeCell ref="T19:T20"/>
    <mergeCell ref="U19:U20"/>
    <mergeCell ref="J19:J20"/>
    <mergeCell ref="K19:K20"/>
    <mergeCell ref="L19:L20"/>
    <mergeCell ref="M19:M20"/>
    <mergeCell ref="N19:N20"/>
    <mergeCell ref="O19:O20"/>
    <mergeCell ref="BP7:BQ8"/>
    <mergeCell ref="AT8:AU8"/>
    <mergeCell ref="AV8:AW8"/>
    <mergeCell ref="AX8:AY8"/>
    <mergeCell ref="AZ8:BA8"/>
    <mergeCell ref="BL8:BL9"/>
    <mergeCell ref="BM8:BM9"/>
    <mergeCell ref="A16:BR16"/>
    <mergeCell ref="A17:A18"/>
    <mergeCell ref="B17:C18"/>
    <mergeCell ref="D17:BR17"/>
    <mergeCell ref="E18:F18"/>
    <mergeCell ref="G18:BR18"/>
    <mergeCell ref="BB8:BC8"/>
    <mergeCell ref="BD8:BE8"/>
    <mergeCell ref="BH8:BH9"/>
    <mergeCell ref="BI8:BI9"/>
    <mergeCell ref="BJ8:BJ9"/>
    <mergeCell ref="BK8:BK9"/>
    <mergeCell ref="BR7:BR15"/>
    <mergeCell ref="AB8:AC8"/>
    <mergeCell ref="AD8:AE8"/>
    <mergeCell ref="AF8:AG8"/>
    <mergeCell ref="AH8:AI8"/>
    <mergeCell ref="R7:R15"/>
    <mergeCell ref="S7:S15"/>
    <mergeCell ref="T7:T15"/>
    <mergeCell ref="U7:U15"/>
    <mergeCell ref="AN7:AY7"/>
    <mergeCell ref="AZ7:BE7"/>
    <mergeCell ref="BF7:BG8"/>
    <mergeCell ref="BH7:BM7"/>
    <mergeCell ref="BN7:BO8"/>
    <mergeCell ref="AJ8:AK8"/>
    <mergeCell ref="AL8:AM8"/>
    <mergeCell ref="AN8:AO8"/>
    <mergeCell ref="AP8:AQ8"/>
    <mergeCell ref="AR8:AS8"/>
    <mergeCell ref="H7:I15"/>
    <mergeCell ref="J7:J15"/>
    <mergeCell ref="K7:K15"/>
    <mergeCell ref="L7:L15"/>
    <mergeCell ref="M7:N8"/>
    <mergeCell ref="O7:O15"/>
    <mergeCell ref="A1:BN4"/>
    <mergeCell ref="A5:M6"/>
    <mergeCell ref="Q5:BR5"/>
    <mergeCell ref="Q6:AA6"/>
    <mergeCell ref="BN6:BR6"/>
    <mergeCell ref="A7:A15"/>
    <mergeCell ref="B7:C15"/>
    <mergeCell ref="D7:D15"/>
    <mergeCell ref="E7:F15"/>
    <mergeCell ref="G7:G15"/>
    <mergeCell ref="V7:V15"/>
    <mergeCell ref="W7:Y8"/>
    <mergeCell ref="Z7:Z9"/>
    <mergeCell ref="AA7:AA15"/>
    <mergeCell ref="AB7:AE7"/>
    <mergeCell ref="AF7:AM7"/>
    <mergeCell ref="P7:P9"/>
    <mergeCell ref="Q7:Q1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31"/>
  <sheetViews>
    <sheetView showGridLines="0" topLeftCell="O1" zoomScale="60" zoomScaleNormal="60" workbookViewId="0">
      <selection activeCell="U17" sqref="U17:U20"/>
    </sheetView>
  </sheetViews>
  <sheetFormatPr baseColWidth="10" defaultColWidth="11.42578125" defaultRowHeight="15" x14ac:dyDescent="0.2"/>
  <cols>
    <col min="1" max="1" width="12.7109375" style="25" customWidth="1"/>
    <col min="2" max="2" width="22.28515625" style="25" customWidth="1"/>
    <col min="3" max="3" width="3" style="25" customWidth="1"/>
    <col min="4" max="4" width="17.28515625" style="25" customWidth="1"/>
    <col min="5" max="5" width="8.140625" style="25" customWidth="1"/>
    <col min="6" max="6" width="11.7109375" style="25" customWidth="1"/>
    <col min="7" max="7" width="15.28515625" style="25" customWidth="1"/>
    <col min="8" max="8" width="7.5703125" style="25" customWidth="1"/>
    <col min="9" max="9" width="15.85546875" style="25" customWidth="1"/>
    <col min="10" max="10" width="15.140625" style="25" customWidth="1"/>
    <col min="11" max="11" width="39" style="25" customWidth="1"/>
    <col min="12" max="12" width="28.140625" style="25" customWidth="1"/>
    <col min="13" max="13" width="12.140625" style="25" customWidth="1"/>
    <col min="14" max="14" width="20.42578125" style="25" customWidth="1"/>
    <col min="15" max="15" width="36.7109375" style="911" customWidth="1"/>
    <col min="16" max="16" width="27.140625" style="25" customWidth="1"/>
    <col min="17" max="17" width="22" style="25" customWidth="1"/>
    <col min="18" max="18" width="13" style="25" customWidth="1"/>
    <col min="19" max="19" width="30.140625" style="25" customWidth="1"/>
    <col min="20" max="20" width="28.85546875" style="25" customWidth="1"/>
    <col min="21" max="21" width="39" style="25" customWidth="1"/>
    <col min="22" max="22" width="37.85546875" style="25" customWidth="1"/>
    <col min="23" max="23" width="30.42578125" style="25" bestFit="1" customWidth="1"/>
    <col min="24" max="25" width="30.42578125" style="25" customWidth="1"/>
    <col min="26" max="26" width="16.140625" style="911" customWidth="1"/>
    <col min="27" max="27" width="24.140625" style="25" customWidth="1"/>
    <col min="28" max="28" width="11.5703125" style="25" customWidth="1"/>
    <col min="29" max="29" width="9" style="25" customWidth="1"/>
    <col min="30" max="30" width="9" style="25" bestFit="1" customWidth="1"/>
    <col min="31" max="31" width="9" style="25" customWidth="1"/>
    <col min="32" max="33" width="13.42578125" style="25" customWidth="1"/>
    <col min="34" max="39" width="8.140625" style="25" customWidth="1"/>
    <col min="40" max="43" width="8" style="25" customWidth="1"/>
    <col min="44" max="51" width="7.42578125" style="25" customWidth="1"/>
    <col min="52" max="52" width="7.5703125" style="25" bestFit="1" customWidth="1"/>
    <col min="53" max="55" width="7.5703125" style="25" customWidth="1"/>
    <col min="56" max="56" width="7.5703125" style="25" bestFit="1" customWidth="1"/>
    <col min="57" max="57" width="7.5703125" style="25" customWidth="1"/>
    <col min="58" max="58" width="9" style="25" bestFit="1" customWidth="1"/>
    <col min="59" max="59" width="9" style="25" customWidth="1"/>
    <col min="60" max="60" width="21.28515625" style="25" customWidth="1"/>
    <col min="61" max="61" width="28.42578125" style="25" customWidth="1"/>
    <col min="62" max="62" width="31.85546875" style="25" customWidth="1"/>
    <col min="63" max="63" width="21.28515625" style="25" customWidth="1"/>
    <col min="64" max="64" width="27.28515625" style="25" customWidth="1"/>
    <col min="65" max="65" width="23.5703125" style="25" customWidth="1"/>
    <col min="66" max="66" width="15" style="25" customWidth="1"/>
    <col min="67" max="67" width="14.7109375" style="25" customWidth="1"/>
    <col min="68" max="69" width="20.28515625" style="25" customWidth="1"/>
    <col min="70" max="70" width="24.42578125" style="25" customWidth="1"/>
    <col min="71" max="83" width="14.85546875" style="25" customWidth="1"/>
    <col min="84" max="16384" width="11.42578125" style="25"/>
  </cols>
  <sheetData>
    <row r="1" spans="1:90" ht="25.5" customHeight="1" x14ac:dyDescent="0.25">
      <c r="A1" s="3051" t="s">
        <v>445</v>
      </c>
      <c r="B1" s="3051"/>
      <c r="C1" s="3051"/>
      <c r="D1" s="3051"/>
      <c r="E1" s="3051"/>
      <c r="F1" s="3051"/>
      <c r="G1" s="3051"/>
      <c r="H1" s="3051"/>
      <c r="I1" s="3051"/>
      <c r="J1" s="3051"/>
      <c r="K1" s="3051"/>
      <c r="L1" s="3051"/>
      <c r="M1" s="3051"/>
      <c r="N1" s="3051"/>
      <c r="O1" s="3051"/>
      <c r="P1" s="3051"/>
      <c r="Q1" s="3051"/>
      <c r="R1" s="3051"/>
      <c r="S1" s="3051"/>
      <c r="T1" s="3051"/>
      <c r="U1" s="3051"/>
      <c r="V1" s="3051"/>
      <c r="W1" s="3051"/>
      <c r="X1" s="3051"/>
      <c r="Y1" s="3051"/>
      <c r="Z1" s="3051"/>
      <c r="AA1" s="3051"/>
      <c r="AB1" s="3051"/>
      <c r="AC1" s="3051"/>
      <c r="AD1" s="3051"/>
      <c r="AE1" s="3051"/>
      <c r="AF1" s="3051"/>
      <c r="AG1" s="3051"/>
      <c r="AH1" s="3051"/>
      <c r="AI1" s="3051"/>
      <c r="AJ1" s="3051"/>
      <c r="AK1" s="3051"/>
      <c r="AL1" s="3051"/>
      <c r="AM1" s="3051"/>
      <c r="AN1" s="3051"/>
      <c r="AO1" s="3051"/>
      <c r="AP1" s="3051"/>
      <c r="AQ1" s="3051"/>
      <c r="AR1" s="3051"/>
      <c r="AS1" s="3051"/>
      <c r="AT1" s="3051"/>
      <c r="AU1" s="3051"/>
      <c r="AV1" s="3051"/>
      <c r="AW1" s="3051"/>
      <c r="AX1" s="3051"/>
      <c r="AY1" s="3051"/>
      <c r="AZ1" s="3051"/>
      <c r="BA1" s="3051"/>
      <c r="BB1" s="3051"/>
      <c r="BC1" s="3051"/>
      <c r="BD1" s="3051"/>
      <c r="BE1" s="3051"/>
      <c r="BF1" s="3051"/>
      <c r="BG1" s="3051"/>
      <c r="BH1" s="3051"/>
      <c r="BI1" s="3051"/>
      <c r="BJ1" s="3051"/>
      <c r="BK1" s="3051"/>
      <c r="BL1" s="3051"/>
      <c r="BM1" s="3051"/>
      <c r="BN1" s="3051"/>
      <c r="BO1" s="3051"/>
      <c r="BP1" s="4098"/>
      <c r="BQ1" s="3" t="s">
        <v>1</v>
      </c>
      <c r="BR1" s="3" t="s">
        <v>2</v>
      </c>
    </row>
    <row r="2" spans="1:90" ht="22.5" customHeight="1" x14ac:dyDescent="0.25">
      <c r="A2" s="3051"/>
      <c r="B2" s="3051"/>
      <c r="C2" s="3051"/>
      <c r="D2" s="3051"/>
      <c r="E2" s="3051"/>
      <c r="F2" s="3051"/>
      <c r="G2" s="3051"/>
      <c r="H2" s="3051"/>
      <c r="I2" s="3051"/>
      <c r="J2" s="3051"/>
      <c r="K2" s="3051"/>
      <c r="L2" s="3051"/>
      <c r="M2" s="3051"/>
      <c r="N2" s="3051"/>
      <c r="O2" s="3051"/>
      <c r="P2" s="3051"/>
      <c r="Q2" s="3051"/>
      <c r="R2" s="3051"/>
      <c r="S2" s="3051"/>
      <c r="T2" s="3051"/>
      <c r="U2" s="3051"/>
      <c r="V2" s="3051"/>
      <c r="W2" s="3051"/>
      <c r="X2" s="3051"/>
      <c r="Y2" s="3051"/>
      <c r="Z2" s="3051"/>
      <c r="AA2" s="3051"/>
      <c r="AB2" s="3051"/>
      <c r="AC2" s="3051"/>
      <c r="AD2" s="3051"/>
      <c r="AE2" s="3051"/>
      <c r="AF2" s="3051"/>
      <c r="AG2" s="3051"/>
      <c r="AH2" s="3051"/>
      <c r="AI2" s="3051"/>
      <c r="AJ2" s="3051"/>
      <c r="AK2" s="3051"/>
      <c r="AL2" s="3051"/>
      <c r="AM2" s="3051"/>
      <c r="AN2" s="3051"/>
      <c r="AO2" s="3051"/>
      <c r="AP2" s="3051"/>
      <c r="AQ2" s="3051"/>
      <c r="AR2" s="3051"/>
      <c r="AS2" s="3051"/>
      <c r="AT2" s="3051"/>
      <c r="AU2" s="3051"/>
      <c r="AV2" s="3051"/>
      <c r="AW2" s="3051"/>
      <c r="AX2" s="3051"/>
      <c r="AY2" s="3051"/>
      <c r="AZ2" s="3051"/>
      <c r="BA2" s="3051"/>
      <c r="BB2" s="3051"/>
      <c r="BC2" s="3051"/>
      <c r="BD2" s="3051"/>
      <c r="BE2" s="3051"/>
      <c r="BF2" s="3051"/>
      <c r="BG2" s="3051"/>
      <c r="BH2" s="3051"/>
      <c r="BI2" s="3051"/>
      <c r="BJ2" s="3051"/>
      <c r="BK2" s="3051"/>
      <c r="BL2" s="3051"/>
      <c r="BM2" s="3051"/>
      <c r="BN2" s="3051"/>
      <c r="BO2" s="3051"/>
      <c r="BP2" s="4098"/>
      <c r="BQ2" s="4" t="s">
        <v>3</v>
      </c>
      <c r="BR2" s="5">
        <v>6</v>
      </c>
    </row>
    <row r="3" spans="1:90" ht="16.5" customHeight="1" x14ac:dyDescent="0.25">
      <c r="A3" s="3051"/>
      <c r="B3" s="3051"/>
      <c r="C3" s="3051"/>
      <c r="D3" s="3051"/>
      <c r="E3" s="3051"/>
      <c r="F3" s="3051"/>
      <c r="G3" s="3051"/>
      <c r="H3" s="3051"/>
      <c r="I3" s="3051"/>
      <c r="J3" s="3051"/>
      <c r="K3" s="3051"/>
      <c r="L3" s="3051"/>
      <c r="M3" s="3051"/>
      <c r="N3" s="3051"/>
      <c r="O3" s="3051"/>
      <c r="P3" s="3051"/>
      <c r="Q3" s="3051"/>
      <c r="R3" s="3051"/>
      <c r="S3" s="3051"/>
      <c r="T3" s="3051"/>
      <c r="U3" s="3051"/>
      <c r="V3" s="3051"/>
      <c r="W3" s="3051"/>
      <c r="X3" s="3051"/>
      <c r="Y3" s="3051"/>
      <c r="Z3" s="3051"/>
      <c r="AA3" s="3051"/>
      <c r="AB3" s="3051"/>
      <c r="AC3" s="3051"/>
      <c r="AD3" s="3051"/>
      <c r="AE3" s="3051"/>
      <c r="AF3" s="3051"/>
      <c r="AG3" s="3051"/>
      <c r="AH3" s="3051"/>
      <c r="AI3" s="3051"/>
      <c r="AJ3" s="3051"/>
      <c r="AK3" s="3051"/>
      <c r="AL3" s="3051"/>
      <c r="AM3" s="3051"/>
      <c r="AN3" s="3051"/>
      <c r="AO3" s="3051"/>
      <c r="AP3" s="3051"/>
      <c r="AQ3" s="3051"/>
      <c r="AR3" s="3051"/>
      <c r="AS3" s="3051"/>
      <c r="AT3" s="3051"/>
      <c r="AU3" s="3051"/>
      <c r="AV3" s="3051"/>
      <c r="AW3" s="3051"/>
      <c r="AX3" s="3051"/>
      <c r="AY3" s="3051"/>
      <c r="AZ3" s="3051"/>
      <c r="BA3" s="3051"/>
      <c r="BB3" s="3051"/>
      <c r="BC3" s="3051"/>
      <c r="BD3" s="3051"/>
      <c r="BE3" s="3051"/>
      <c r="BF3" s="3051"/>
      <c r="BG3" s="3051"/>
      <c r="BH3" s="3051"/>
      <c r="BI3" s="3051"/>
      <c r="BJ3" s="3051"/>
      <c r="BK3" s="3051"/>
      <c r="BL3" s="3051"/>
      <c r="BM3" s="3051"/>
      <c r="BN3" s="3051"/>
      <c r="BO3" s="3051"/>
      <c r="BP3" s="4098"/>
      <c r="BQ3" s="3" t="s">
        <v>4</v>
      </c>
      <c r="BR3" s="6" t="s">
        <v>5</v>
      </c>
    </row>
    <row r="4" spans="1:90" s="574" customFormat="1" ht="30" customHeight="1" x14ac:dyDescent="0.2">
      <c r="A4" s="3053"/>
      <c r="B4" s="3053"/>
      <c r="C4" s="3053"/>
      <c r="D4" s="3053"/>
      <c r="E4" s="3053"/>
      <c r="F4" s="3053"/>
      <c r="G4" s="3053"/>
      <c r="H4" s="3053"/>
      <c r="I4" s="3053"/>
      <c r="J4" s="3053"/>
      <c r="K4" s="3053"/>
      <c r="L4" s="3053"/>
      <c r="M4" s="3053"/>
      <c r="N4" s="3053"/>
      <c r="O4" s="3053"/>
      <c r="P4" s="3053"/>
      <c r="Q4" s="3053"/>
      <c r="R4" s="3053"/>
      <c r="S4" s="3053"/>
      <c r="T4" s="3053"/>
      <c r="U4" s="3053"/>
      <c r="V4" s="3053"/>
      <c r="W4" s="3053"/>
      <c r="X4" s="3053"/>
      <c r="Y4" s="3053"/>
      <c r="Z4" s="3053"/>
      <c r="AA4" s="3053"/>
      <c r="AB4" s="3053"/>
      <c r="AC4" s="3053"/>
      <c r="AD4" s="3053"/>
      <c r="AE4" s="3053"/>
      <c r="AF4" s="3053"/>
      <c r="AG4" s="3053"/>
      <c r="AH4" s="3053"/>
      <c r="AI4" s="3053"/>
      <c r="AJ4" s="3053"/>
      <c r="AK4" s="3053"/>
      <c r="AL4" s="3053"/>
      <c r="AM4" s="3053"/>
      <c r="AN4" s="3053"/>
      <c r="AO4" s="3053"/>
      <c r="AP4" s="3053"/>
      <c r="AQ4" s="3053"/>
      <c r="AR4" s="3053"/>
      <c r="AS4" s="3053"/>
      <c r="AT4" s="3053"/>
      <c r="AU4" s="3053"/>
      <c r="AV4" s="3053"/>
      <c r="AW4" s="3053"/>
      <c r="AX4" s="3053"/>
      <c r="AY4" s="3053"/>
      <c r="AZ4" s="3053"/>
      <c r="BA4" s="3053"/>
      <c r="BB4" s="3053"/>
      <c r="BC4" s="3053"/>
      <c r="BD4" s="3053"/>
      <c r="BE4" s="3053"/>
      <c r="BF4" s="3053"/>
      <c r="BG4" s="3053"/>
      <c r="BH4" s="3053"/>
      <c r="BI4" s="3053"/>
      <c r="BJ4" s="3053"/>
      <c r="BK4" s="3053"/>
      <c r="BL4" s="3053"/>
      <c r="BM4" s="3053"/>
      <c r="BN4" s="3053"/>
      <c r="BO4" s="3053"/>
      <c r="BP4" s="4099"/>
      <c r="BQ4" s="9" t="s">
        <v>6</v>
      </c>
      <c r="BR4" s="10" t="s">
        <v>7</v>
      </c>
    </row>
    <row r="5" spans="1:90" ht="16.5" customHeight="1" x14ac:dyDescent="0.2">
      <c r="A5" s="3058" t="s">
        <v>8</v>
      </c>
      <c r="B5" s="3058"/>
      <c r="C5" s="3058"/>
      <c r="D5" s="3058"/>
      <c r="E5" s="3058"/>
      <c r="F5" s="3058"/>
      <c r="G5" s="3058"/>
      <c r="H5" s="3058"/>
      <c r="I5" s="3058"/>
      <c r="J5" s="3058"/>
      <c r="K5" s="3058"/>
      <c r="L5" s="3058"/>
      <c r="M5" s="3058"/>
      <c r="N5" s="575"/>
      <c r="O5" s="575"/>
      <c r="P5" s="575"/>
      <c r="Q5" s="3058" t="s">
        <v>9</v>
      </c>
      <c r="R5" s="3058"/>
      <c r="S5" s="3058"/>
      <c r="T5" s="3058"/>
      <c r="U5" s="3058"/>
      <c r="V5" s="3058"/>
      <c r="W5" s="3058"/>
      <c r="X5" s="3058"/>
      <c r="Y5" s="3058"/>
      <c r="Z5" s="3058"/>
      <c r="AA5" s="3058"/>
      <c r="AB5" s="3058"/>
      <c r="AC5" s="3058"/>
      <c r="AD5" s="3058"/>
      <c r="AE5" s="3058"/>
      <c r="AF5" s="3058"/>
      <c r="AG5" s="3058"/>
      <c r="AH5" s="3058"/>
      <c r="AI5" s="3058"/>
      <c r="AJ5" s="3058"/>
      <c r="AK5" s="3058"/>
      <c r="AL5" s="3058"/>
      <c r="AM5" s="3058"/>
      <c r="AN5" s="3058"/>
      <c r="AO5" s="3058"/>
      <c r="AP5" s="3058"/>
      <c r="AQ5" s="3058"/>
      <c r="AR5" s="3058"/>
      <c r="AS5" s="3058"/>
      <c r="AT5" s="3058"/>
      <c r="AU5" s="3058"/>
      <c r="AV5" s="3058"/>
      <c r="AW5" s="3058"/>
      <c r="AX5" s="3058"/>
      <c r="AY5" s="3058"/>
      <c r="AZ5" s="3058"/>
      <c r="BA5" s="3058"/>
      <c r="BB5" s="3058"/>
      <c r="BC5" s="3058"/>
      <c r="BD5" s="3058"/>
      <c r="BE5" s="3058"/>
      <c r="BF5" s="3058"/>
      <c r="BG5" s="3058"/>
      <c r="BH5" s="3058"/>
      <c r="BI5" s="3058"/>
      <c r="BJ5" s="3058"/>
      <c r="BK5" s="3058"/>
      <c r="BL5" s="3058"/>
      <c r="BM5" s="3058"/>
      <c r="BN5" s="3058"/>
      <c r="BO5" s="3058"/>
      <c r="BP5" s="3058"/>
      <c r="BQ5" s="3058"/>
      <c r="BR5" s="3058"/>
    </row>
    <row r="6" spans="1:90" ht="34.5" customHeight="1" x14ac:dyDescent="0.2">
      <c r="A6" s="3063" t="s">
        <v>10</v>
      </c>
      <c r="B6" s="3064" t="s">
        <v>11</v>
      </c>
      <c r="C6" s="3064"/>
      <c r="D6" s="3064" t="s">
        <v>10</v>
      </c>
      <c r="E6" s="3064" t="s">
        <v>12</v>
      </c>
      <c r="F6" s="3064"/>
      <c r="G6" s="3064" t="s">
        <v>10</v>
      </c>
      <c r="H6" s="3064" t="s">
        <v>13</v>
      </c>
      <c r="I6" s="3064"/>
      <c r="J6" s="3064" t="s">
        <v>10</v>
      </c>
      <c r="K6" s="3064" t="s">
        <v>14</v>
      </c>
      <c r="L6" s="3064" t="s">
        <v>15</v>
      </c>
      <c r="M6" s="4103" t="s">
        <v>16</v>
      </c>
      <c r="N6" s="4104"/>
      <c r="O6" s="3064" t="s">
        <v>17</v>
      </c>
      <c r="P6" s="3064" t="s">
        <v>130</v>
      </c>
      <c r="Q6" s="3064" t="s">
        <v>9</v>
      </c>
      <c r="R6" s="3065" t="s">
        <v>19</v>
      </c>
      <c r="S6" s="3065" t="s">
        <v>20</v>
      </c>
      <c r="T6" s="3065" t="s">
        <v>21</v>
      </c>
      <c r="U6" s="3065" t="s">
        <v>22</v>
      </c>
      <c r="V6" s="3065" t="s">
        <v>23</v>
      </c>
      <c r="W6" s="4100" t="s">
        <v>20</v>
      </c>
      <c r="X6" s="4101"/>
      <c r="Y6" s="4102"/>
      <c r="Z6" s="3063" t="s">
        <v>10</v>
      </c>
      <c r="AA6" s="3064" t="s">
        <v>24</v>
      </c>
      <c r="AB6" s="4117" t="s">
        <v>25</v>
      </c>
      <c r="AC6" s="4117"/>
      <c r="AD6" s="4117"/>
      <c r="AE6" s="576"/>
      <c r="AF6" s="4118" t="s">
        <v>26</v>
      </c>
      <c r="AG6" s="4119"/>
      <c r="AH6" s="4119"/>
      <c r="AI6" s="4119"/>
      <c r="AJ6" s="4119"/>
      <c r="AK6" s="4119"/>
      <c r="AL6" s="4119"/>
      <c r="AM6" s="577"/>
      <c r="AN6" s="4120" t="s">
        <v>27</v>
      </c>
      <c r="AO6" s="4121"/>
      <c r="AP6" s="4121"/>
      <c r="AQ6" s="4121"/>
      <c r="AR6" s="4121"/>
      <c r="AS6" s="4121"/>
      <c r="AT6" s="4121"/>
      <c r="AU6" s="4121"/>
      <c r="AV6" s="4121"/>
      <c r="AW6" s="4121"/>
      <c r="AX6" s="4121"/>
      <c r="AY6" s="578"/>
      <c r="AZ6" s="4122" t="s">
        <v>28</v>
      </c>
      <c r="BA6" s="4122"/>
      <c r="BB6" s="4122"/>
      <c r="BC6" s="4122"/>
      <c r="BD6" s="4122"/>
      <c r="BE6" s="4122"/>
      <c r="BF6" s="4124" t="s">
        <v>29</v>
      </c>
      <c r="BG6" s="4125"/>
      <c r="BH6" s="4120" t="s">
        <v>30</v>
      </c>
      <c r="BI6" s="4121"/>
      <c r="BJ6" s="4121"/>
      <c r="BK6" s="4121"/>
      <c r="BL6" s="4121"/>
      <c r="BM6" s="4140"/>
      <c r="BN6" s="4107" t="s">
        <v>31</v>
      </c>
      <c r="BO6" s="4108"/>
      <c r="BP6" s="4107" t="s">
        <v>32</v>
      </c>
      <c r="BQ6" s="4108"/>
      <c r="BR6" s="4111" t="s">
        <v>33</v>
      </c>
      <c r="BS6" s="579"/>
      <c r="BT6" s="579"/>
      <c r="BU6" s="579"/>
      <c r="BV6" s="579"/>
      <c r="BW6" s="579"/>
      <c r="BX6" s="579"/>
      <c r="BY6" s="579"/>
      <c r="BZ6" s="579"/>
      <c r="CA6" s="579"/>
      <c r="CB6" s="579"/>
      <c r="CC6" s="579"/>
      <c r="CD6" s="579"/>
      <c r="CE6" s="579"/>
      <c r="CF6" s="579"/>
      <c r="CG6" s="579"/>
      <c r="CH6" s="579"/>
      <c r="CI6" s="579"/>
      <c r="CJ6" s="579"/>
      <c r="CK6" s="579"/>
      <c r="CL6" s="579"/>
    </row>
    <row r="7" spans="1:90" ht="110.25" customHeight="1" x14ac:dyDescent="0.2">
      <c r="A7" s="3063"/>
      <c r="B7" s="3064"/>
      <c r="C7" s="3064"/>
      <c r="D7" s="3064"/>
      <c r="E7" s="3064"/>
      <c r="F7" s="3064"/>
      <c r="G7" s="3064"/>
      <c r="H7" s="3064"/>
      <c r="I7" s="3064"/>
      <c r="J7" s="3064"/>
      <c r="K7" s="3064"/>
      <c r="L7" s="3064"/>
      <c r="M7" s="4105"/>
      <c r="N7" s="4106"/>
      <c r="O7" s="3064"/>
      <c r="P7" s="3064"/>
      <c r="Q7" s="3064"/>
      <c r="R7" s="3065"/>
      <c r="S7" s="3065"/>
      <c r="T7" s="3065"/>
      <c r="U7" s="3065"/>
      <c r="V7" s="3065"/>
      <c r="W7" s="3065" t="s">
        <v>57</v>
      </c>
      <c r="X7" s="3065" t="s">
        <v>446</v>
      </c>
      <c r="Y7" s="3065" t="s">
        <v>447</v>
      </c>
      <c r="Z7" s="3063"/>
      <c r="AA7" s="3064"/>
      <c r="AB7" s="4113" t="s">
        <v>34</v>
      </c>
      <c r="AC7" s="4114"/>
      <c r="AD7" s="4115" t="s">
        <v>35</v>
      </c>
      <c r="AE7" s="4116"/>
      <c r="AF7" s="4113" t="s">
        <v>36</v>
      </c>
      <c r="AG7" s="4114"/>
      <c r="AH7" s="4113" t="s">
        <v>37</v>
      </c>
      <c r="AI7" s="4114"/>
      <c r="AJ7" s="4113" t="s">
        <v>448</v>
      </c>
      <c r="AK7" s="4114"/>
      <c r="AL7" s="4113" t="s">
        <v>39</v>
      </c>
      <c r="AM7" s="4114"/>
      <c r="AN7" s="4113" t="s">
        <v>40</v>
      </c>
      <c r="AO7" s="4114"/>
      <c r="AP7" s="4113" t="s">
        <v>41</v>
      </c>
      <c r="AQ7" s="4114"/>
      <c r="AR7" s="4113" t="s">
        <v>42</v>
      </c>
      <c r="AS7" s="4114"/>
      <c r="AT7" s="4113" t="s">
        <v>43</v>
      </c>
      <c r="AU7" s="4114"/>
      <c r="AV7" s="4113" t="s">
        <v>44</v>
      </c>
      <c r="AW7" s="4114"/>
      <c r="AX7" s="4113" t="s">
        <v>45</v>
      </c>
      <c r="AY7" s="4114"/>
      <c r="AZ7" s="4113" t="s">
        <v>46</v>
      </c>
      <c r="BA7" s="4114"/>
      <c r="BB7" s="4113" t="s">
        <v>47</v>
      </c>
      <c r="BC7" s="4114"/>
      <c r="BD7" s="4113" t="s">
        <v>48</v>
      </c>
      <c r="BE7" s="4114"/>
      <c r="BF7" s="4126"/>
      <c r="BG7" s="4127"/>
      <c r="BH7" s="4123" t="s">
        <v>449</v>
      </c>
      <c r="BI7" s="4123" t="s">
        <v>50</v>
      </c>
      <c r="BJ7" s="4123" t="s">
        <v>51</v>
      </c>
      <c r="BK7" s="4123" t="s">
        <v>450</v>
      </c>
      <c r="BL7" s="4123" t="s">
        <v>451</v>
      </c>
      <c r="BM7" s="4123" t="s">
        <v>54</v>
      </c>
      <c r="BN7" s="4109"/>
      <c r="BO7" s="4110"/>
      <c r="BP7" s="4109"/>
      <c r="BQ7" s="4110"/>
      <c r="BR7" s="4112"/>
      <c r="BS7" s="579"/>
      <c r="BT7" s="579"/>
      <c r="BU7" s="579"/>
      <c r="BV7" s="579"/>
      <c r="BW7" s="579"/>
      <c r="BX7" s="579"/>
      <c r="BY7" s="579"/>
      <c r="BZ7" s="579"/>
      <c r="CA7" s="579"/>
      <c r="CB7" s="579"/>
      <c r="CC7" s="579"/>
      <c r="CD7" s="579"/>
      <c r="CE7" s="579"/>
      <c r="CF7" s="579"/>
      <c r="CG7" s="579"/>
      <c r="CH7" s="579"/>
      <c r="CI7" s="579"/>
      <c r="CJ7" s="579"/>
      <c r="CK7" s="579"/>
      <c r="CL7" s="579"/>
    </row>
    <row r="8" spans="1:90" ht="27" customHeight="1" x14ac:dyDescent="0.2">
      <c r="A8" s="3063"/>
      <c r="B8" s="3064"/>
      <c r="C8" s="3064"/>
      <c r="D8" s="3064"/>
      <c r="E8" s="3064"/>
      <c r="F8" s="3064"/>
      <c r="G8" s="3064"/>
      <c r="H8" s="3064"/>
      <c r="I8" s="3064"/>
      <c r="J8" s="3064"/>
      <c r="K8" s="3064"/>
      <c r="L8" s="3064"/>
      <c r="M8" s="580" t="s">
        <v>55</v>
      </c>
      <c r="N8" s="580" t="s">
        <v>56</v>
      </c>
      <c r="O8" s="3064"/>
      <c r="P8" s="3064"/>
      <c r="Q8" s="3064"/>
      <c r="R8" s="3065"/>
      <c r="S8" s="3065"/>
      <c r="T8" s="3065"/>
      <c r="U8" s="3065"/>
      <c r="V8" s="3065"/>
      <c r="W8" s="3065"/>
      <c r="X8" s="3065"/>
      <c r="Y8" s="3065"/>
      <c r="Z8" s="3063"/>
      <c r="AA8" s="3064"/>
      <c r="AB8" s="581" t="s">
        <v>55</v>
      </c>
      <c r="AC8" s="581" t="s">
        <v>56</v>
      </c>
      <c r="AD8" s="582" t="s">
        <v>55</v>
      </c>
      <c r="AE8" s="582" t="s">
        <v>56</v>
      </c>
      <c r="AF8" s="581" t="s">
        <v>55</v>
      </c>
      <c r="AG8" s="581" t="s">
        <v>56</v>
      </c>
      <c r="AH8" s="581" t="s">
        <v>55</v>
      </c>
      <c r="AI8" s="581" t="s">
        <v>56</v>
      </c>
      <c r="AJ8" s="581" t="s">
        <v>55</v>
      </c>
      <c r="AK8" s="581" t="s">
        <v>56</v>
      </c>
      <c r="AL8" s="581" t="s">
        <v>55</v>
      </c>
      <c r="AM8" s="581" t="s">
        <v>56</v>
      </c>
      <c r="AN8" s="581" t="s">
        <v>55</v>
      </c>
      <c r="AO8" s="581" t="s">
        <v>56</v>
      </c>
      <c r="AP8" s="581" t="s">
        <v>55</v>
      </c>
      <c r="AQ8" s="581" t="s">
        <v>56</v>
      </c>
      <c r="AR8" s="581" t="s">
        <v>55</v>
      </c>
      <c r="AS8" s="581" t="s">
        <v>56</v>
      </c>
      <c r="AT8" s="581" t="s">
        <v>55</v>
      </c>
      <c r="AU8" s="581" t="s">
        <v>56</v>
      </c>
      <c r="AV8" s="581" t="s">
        <v>55</v>
      </c>
      <c r="AW8" s="581" t="s">
        <v>56</v>
      </c>
      <c r="AX8" s="581" t="s">
        <v>55</v>
      </c>
      <c r="AY8" s="581" t="s">
        <v>56</v>
      </c>
      <c r="AZ8" s="581" t="s">
        <v>55</v>
      </c>
      <c r="BA8" s="581" t="s">
        <v>56</v>
      </c>
      <c r="BB8" s="581" t="s">
        <v>55</v>
      </c>
      <c r="BC8" s="581" t="s">
        <v>56</v>
      </c>
      <c r="BD8" s="581" t="s">
        <v>55</v>
      </c>
      <c r="BE8" s="581" t="s">
        <v>56</v>
      </c>
      <c r="BF8" s="581" t="s">
        <v>55</v>
      </c>
      <c r="BG8" s="581" t="s">
        <v>56</v>
      </c>
      <c r="BH8" s="4123"/>
      <c r="BI8" s="4123"/>
      <c r="BJ8" s="4123"/>
      <c r="BK8" s="4123"/>
      <c r="BL8" s="4123"/>
      <c r="BM8" s="4123"/>
      <c r="BN8" s="580" t="s">
        <v>55</v>
      </c>
      <c r="BO8" s="580" t="s">
        <v>56</v>
      </c>
      <c r="BP8" s="580" t="s">
        <v>55</v>
      </c>
      <c r="BQ8" s="580" t="s">
        <v>56</v>
      </c>
      <c r="BR8" s="583"/>
      <c r="BS8" s="579"/>
      <c r="BT8" s="579"/>
      <c r="BU8" s="579"/>
      <c r="BV8" s="579"/>
      <c r="BW8" s="579"/>
      <c r="BX8" s="579"/>
      <c r="BY8" s="579"/>
      <c r="BZ8" s="579"/>
      <c r="CA8" s="579"/>
      <c r="CB8" s="579"/>
      <c r="CC8" s="579"/>
      <c r="CD8" s="579"/>
      <c r="CE8" s="579"/>
      <c r="CF8" s="579"/>
      <c r="CG8" s="579"/>
      <c r="CH8" s="579"/>
      <c r="CI8" s="579"/>
      <c r="CJ8" s="579"/>
      <c r="CK8" s="579"/>
      <c r="CL8" s="579"/>
    </row>
    <row r="9" spans="1:90" s="593" customFormat="1" ht="15.75" x14ac:dyDescent="0.25">
      <c r="A9" s="584">
        <v>3</v>
      </c>
      <c r="B9" s="585"/>
      <c r="C9" s="585" t="s">
        <v>308</v>
      </c>
      <c r="D9" s="585"/>
      <c r="E9" s="585"/>
      <c r="F9" s="585"/>
      <c r="G9" s="585"/>
      <c r="H9" s="585"/>
      <c r="I9" s="585"/>
      <c r="J9" s="585"/>
      <c r="K9" s="586"/>
      <c r="L9" s="586"/>
      <c r="M9" s="585"/>
      <c r="N9" s="585"/>
      <c r="O9" s="587"/>
      <c r="P9" s="585"/>
      <c r="Q9" s="586"/>
      <c r="R9" s="588"/>
      <c r="S9" s="589"/>
      <c r="T9" s="586"/>
      <c r="U9" s="586"/>
      <c r="V9" s="586"/>
      <c r="W9" s="586"/>
      <c r="X9" s="586"/>
      <c r="Y9" s="586"/>
      <c r="Z9" s="587"/>
      <c r="AA9" s="585"/>
      <c r="AB9" s="585"/>
      <c r="AC9" s="585"/>
      <c r="AD9" s="585"/>
      <c r="AE9" s="585"/>
      <c r="AF9" s="585"/>
      <c r="AG9" s="585"/>
      <c r="AH9" s="585"/>
      <c r="AI9" s="585"/>
      <c r="AJ9" s="585"/>
      <c r="AK9" s="585"/>
      <c r="AL9" s="585"/>
      <c r="AM9" s="585"/>
      <c r="AN9" s="585"/>
      <c r="AO9" s="585"/>
      <c r="AP9" s="585"/>
      <c r="AQ9" s="585"/>
      <c r="AR9" s="585"/>
      <c r="AS9" s="585"/>
      <c r="AT9" s="590"/>
      <c r="AU9" s="590"/>
      <c r="AV9" s="586"/>
      <c r="AW9" s="586"/>
      <c r="AX9" s="591"/>
      <c r="AY9" s="591"/>
      <c r="AZ9" s="591"/>
      <c r="BA9" s="591"/>
      <c r="BB9" s="591"/>
      <c r="BC9" s="591"/>
      <c r="BD9" s="591"/>
      <c r="BE9" s="591"/>
      <c r="BF9" s="591"/>
      <c r="BG9" s="591"/>
      <c r="BH9" s="591"/>
      <c r="BI9" s="591"/>
      <c r="BJ9" s="591"/>
      <c r="BK9" s="591"/>
      <c r="BL9" s="591"/>
      <c r="BM9" s="591"/>
      <c r="BN9" s="591"/>
      <c r="BO9" s="591"/>
      <c r="BP9" s="591"/>
      <c r="BQ9" s="591"/>
      <c r="BR9" s="592"/>
    </row>
    <row r="10" spans="1:90" s="593" customFormat="1" ht="15.75" x14ac:dyDescent="0.25">
      <c r="A10" s="594"/>
      <c r="B10" s="595"/>
      <c r="C10" s="596"/>
      <c r="D10" s="597">
        <v>5</v>
      </c>
      <c r="E10" s="598" t="s">
        <v>452</v>
      </c>
      <c r="F10" s="598"/>
      <c r="G10" s="598"/>
      <c r="H10" s="598"/>
      <c r="I10" s="598"/>
      <c r="J10" s="598"/>
      <c r="K10" s="599"/>
      <c r="L10" s="599"/>
      <c r="M10" s="598"/>
      <c r="N10" s="598"/>
      <c r="O10" s="600"/>
      <c r="P10" s="598"/>
      <c r="Q10" s="599"/>
      <c r="R10" s="601"/>
      <c r="S10" s="602"/>
      <c r="T10" s="599"/>
      <c r="U10" s="599"/>
      <c r="V10" s="599"/>
      <c r="W10" s="599"/>
      <c r="X10" s="599"/>
      <c r="Y10" s="599"/>
      <c r="Z10" s="600"/>
      <c r="AA10" s="598"/>
      <c r="AB10" s="598"/>
      <c r="AC10" s="598"/>
      <c r="AD10" s="598"/>
      <c r="AE10" s="598"/>
      <c r="AF10" s="598"/>
      <c r="AG10" s="598"/>
      <c r="AH10" s="598"/>
      <c r="AI10" s="598"/>
      <c r="AJ10" s="598"/>
      <c r="AK10" s="598"/>
      <c r="AL10" s="598"/>
      <c r="AM10" s="598"/>
      <c r="AN10" s="598"/>
      <c r="AO10" s="598"/>
      <c r="AP10" s="598"/>
      <c r="AQ10" s="598"/>
      <c r="AR10" s="598"/>
      <c r="AS10" s="598"/>
      <c r="AT10" s="603"/>
      <c r="AU10" s="603"/>
      <c r="AV10" s="599"/>
      <c r="AW10" s="599"/>
      <c r="AX10" s="604"/>
      <c r="AY10" s="604"/>
      <c r="AZ10" s="604"/>
      <c r="BA10" s="604"/>
      <c r="BB10" s="604"/>
      <c r="BC10" s="604"/>
      <c r="BD10" s="604"/>
      <c r="BE10" s="604"/>
      <c r="BF10" s="604"/>
      <c r="BG10" s="604"/>
      <c r="BH10" s="604"/>
      <c r="BI10" s="604"/>
      <c r="BJ10" s="604"/>
      <c r="BK10" s="604"/>
      <c r="BL10" s="604"/>
      <c r="BM10" s="604"/>
      <c r="BN10" s="604"/>
      <c r="BO10" s="604"/>
      <c r="BP10" s="604"/>
      <c r="BQ10" s="604"/>
      <c r="BR10" s="605"/>
    </row>
    <row r="11" spans="1:90" s="593" customFormat="1" ht="15.75" x14ac:dyDescent="0.25">
      <c r="A11" s="606"/>
      <c r="B11" s="607"/>
      <c r="C11" s="607"/>
      <c r="D11" s="608"/>
      <c r="E11" s="609"/>
      <c r="F11" s="610"/>
      <c r="G11" s="611">
        <v>16</v>
      </c>
      <c r="H11" s="612" t="s">
        <v>453</v>
      </c>
      <c r="I11" s="612"/>
      <c r="J11" s="612"/>
      <c r="K11" s="613"/>
      <c r="L11" s="613"/>
      <c r="M11" s="612"/>
      <c r="N11" s="614"/>
      <c r="O11" s="615"/>
      <c r="P11" s="612"/>
      <c r="Q11" s="613"/>
      <c r="R11" s="616"/>
      <c r="S11" s="617"/>
      <c r="T11" s="613"/>
      <c r="U11" s="618"/>
      <c r="V11" s="618"/>
      <c r="W11" s="618"/>
      <c r="X11" s="618"/>
      <c r="Y11" s="618"/>
      <c r="Z11" s="619"/>
      <c r="AA11" s="620"/>
      <c r="AB11" s="612"/>
      <c r="AC11" s="612"/>
      <c r="AD11" s="612"/>
      <c r="AE11" s="612"/>
      <c r="AF11" s="612"/>
      <c r="AG11" s="612"/>
      <c r="AH11" s="612"/>
      <c r="AI11" s="612"/>
      <c r="AJ11" s="612"/>
      <c r="AK11" s="612"/>
      <c r="AL11" s="612"/>
      <c r="AM11" s="612"/>
      <c r="AN11" s="621"/>
      <c r="AO11" s="621"/>
      <c r="AP11" s="612"/>
      <c r="AQ11" s="612"/>
      <c r="AR11" s="612"/>
      <c r="AS11" s="612"/>
      <c r="AT11" s="622"/>
      <c r="AU11" s="622"/>
      <c r="AV11" s="613"/>
      <c r="AW11" s="613"/>
      <c r="AX11" s="623"/>
      <c r="AY11" s="623"/>
      <c r="AZ11" s="623"/>
      <c r="BA11" s="623"/>
      <c r="BB11" s="623"/>
      <c r="BC11" s="623"/>
      <c r="BD11" s="623"/>
      <c r="BE11" s="623"/>
      <c r="BF11" s="623"/>
      <c r="BG11" s="623"/>
      <c r="BH11" s="623"/>
      <c r="BI11" s="623"/>
      <c r="BJ11" s="623"/>
      <c r="BK11" s="623"/>
      <c r="BL11" s="623"/>
      <c r="BM11" s="623"/>
      <c r="BN11" s="623"/>
      <c r="BO11" s="623"/>
      <c r="BP11" s="623"/>
      <c r="BQ11" s="623"/>
      <c r="BR11" s="624"/>
    </row>
    <row r="12" spans="1:90" s="593" customFormat="1" ht="15.75" customHeight="1" x14ac:dyDescent="0.25">
      <c r="A12" s="606"/>
      <c r="B12" s="607"/>
      <c r="C12" s="607"/>
      <c r="D12" s="625"/>
      <c r="E12" s="626"/>
      <c r="F12" s="627"/>
      <c r="G12" s="628"/>
      <c r="H12" s="628"/>
      <c r="I12" s="629"/>
      <c r="J12" s="3088">
        <v>65</v>
      </c>
      <c r="K12" s="4128" t="s">
        <v>454</v>
      </c>
      <c r="L12" s="4128" t="s">
        <v>455</v>
      </c>
      <c r="M12" s="4130">
        <v>1</v>
      </c>
      <c r="N12" s="4130">
        <v>0.3</v>
      </c>
      <c r="O12" s="4132" t="s">
        <v>456</v>
      </c>
      <c r="P12" s="4133" t="s">
        <v>457</v>
      </c>
      <c r="Q12" s="4141" t="s">
        <v>458</v>
      </c>
      <c r="R12" s="4144">
        <f>SUM(W12:W16)/$S$12</f>
        <v>0.34333822549207033</v>
      </c>
      <c r="S12" s="4146">
        <f>SUM(W12:W24)</f>
        <v>18750985512.239998</v>
      </c>
      <c r="T12" s="4147" t="s">
        <v>459</v>
      </c>
      <c r="U12" s="4148" t="s">
        <v>460</v>
      </c>
      <c r="V12" s="4148" t="s">
        <v>461</v>
      </c>
      <c r="W12" s="4151">
        <v>2166498979</v>
      </c>
      <c r="X12" s="4152">
        <v>2116228777</v>
      </c>
      <c r="Y12" s="4152">
        <v>199742308</v>
      </c>
      <c r="Z12" s="4154">
        <v>35</v>
      </c>
      <c r="AA12" s="4156" t="s">
        <v>462</v>
      </c>
      <c r="AB12" s="4157">
        <v>20555</v>
      </c>
      <c r="AC12" s="2744"/>
      <c r="AD12" s="4135">
        <v>21361</v>
      </c>
      <c r="AE12" s="4134"/>
      <c r="AF12" s="4135">
        <v>30460</v>
      </c>
      <c r="AG12" s="4134"/>
      <c r="AH12" s="4135">
        <v>9593</v>
      </c>
      <c r="AI12" s="4134"/>
      <c r="AJ12" s="4135">
        <v>1762</v>
      </c>
      <c r="AK12" s="4134"/>
      <c r="AL12" s="4135">
        <v>101</v>
      </c>
      <c r="AM12" s="4134"/>
      <c r="AN12" s="4135">
        <v>308</v>
      </c>
      <c r="AO12" s="4134"/>
      <c r="AP12" s="4135">
        <v>277</v>
      </c>
      <c r="AQ12" s="4134"/>
      <c r="AR12" s="4135">
        <v>0</v>
      </c>
      <c r="AS12" s="4134"/>
      <c r="AT12" s="4135">
        <v>0</v>
      </c>
      <c r="AU12" s="4134"/>
      <c r="AV12" s="4135">
        <v>0</v>
      </c>
      <c r="AW12" s="4134"/>
      <c r="AX12" s="4135">
        <v>0</v>
      </c>
      <c r="AY12" s="4134"/>
      <c r="AZ12" s="4135">
        <v>2907</v>
      </c>
      <c r="BA12" s="4134"/>
      <c r="BB12" s="4135">
        <v>2589</v>
      </c>
      <c r="BC12" s="4134"/>
      <c r="BD12" s="4135">
        <v>2954</v>
      </c>
      <c r="BE12" s="4134"/>
      <c r="BF12" s="4135">
        <f>+AB12+AD12</f>
        <v>41916</v>
      </c>
      <c r="BG12" s="4134"/>
      <c r="BH12" s="4134">
        <v>7</v>
      </c>
      <c r="BI12" s="4161">
        <f>SUM(X12:X24)</f>
        <v>10664966795</v>
      </c>
      <c r="BJ12" s="4161">
        <f>SUM(Y12:Y24)</f>
        <v>291290655</v>
      </c>
      <c r="BK12" s="3101">
        <f>BJ12/BI12</f>
        <v>2.7312851563360167E-2</v>
      </c>
      <c r="BL12" s="2744" t="s">
        <v>463</v>
      </c>
      <c r="BM12" s="3080" t="s">
        <v>464</v>
      </c>
      <c r="BN12" s="4158">
        <v>43497</v>
      </c>
      <c r="BO12" s="4158">
        <v>43497</v>
      </c>
      <c r="BP12" s="4158">
        <v>43829</v>
      </c>
      <c r="BQ12" s="4158">
        <v>43829</v>
      </c>
      <c r="BR12" s="3088" t="s">
        <v>465</v>
      </c>
    </row>
    <row r="13" spans="1:90" s="593" customFormat="1" ht="22.5" customHeight="1" x14ac:dyDescent="0.25">
      <c r="A13" s="606"/>
      <c r="B13" s="607"/>
      <c r="C13" s="607"/>
      <c r="D13" s="625"/>
      <c r="E13" s="626"/>
      <c r="F13" s="627"/>
      <c r="G13" s="628"/>
      <c r="H13" s="628"/>
      <c r="I13" s="629"/>
      <c r="J13" s="3088"/>
      <c r="K13" s="4128"/>
      <c r="L13" s="4128"/>
      <c r="M13" s="4130"/>
      <c r="N13" s="4130"/>
      <c r="O13" s="4130"/>
      <c r="P13" s="4133"/>
      <c r="Q13" s="4142"/>
      <c r="R13" s="4144"/>
      <c r="S13" s="4146"/>
      <c r="T13" s="4147"/>
      <c r="U13" s="4148"/>
      <c r="V13" s="4148"/>
      <c r="W13" s="4151"/>
      <c r="X13" s="4153"/>
      <c r="Y13" s="4153"/>
      <c r="Z13" s="4155"/>
      <c r="AA13" s="4156"/>
      <c r="AB13" s="4157"/>
      <c r="AC13" s="3088"/>
      <c r="AD13" s="4135"/>
      <c r="AE13" s="4135"/>
      <c r="AF13" s="4135"/>
      <c r="AG13" s="4135"/>
      <c r="AH13" s="4135"/>
      <c r="AI13" s="4135"/>
      <c r="AJ13" s="4135"/>
      <c r="AK13" s="4135"/>
      <c r="AL13" s="4135"/>
      <c r="AM13" s="4135"/>
      <c r="AN13" s="4135"/>
      <c r="AO13" s="4135"/>
      <c r="AP13" s="4135"/>
      <c r="AQ13" s="4135"/>
      <c r="AR13" s="4135"/>
      <c r="AS13" s="4135"/>
      <c r="AT13" s="4135"/>
      <c r="AU13" s="4135"/>
      <c r="AV13" s="4135"/>
      <c r="AW13" s="4135"/>
      <c r="AX13" s="4135"/>
      <c r="AY13" s="4135"/>
      <c r="AZ13" s="4135"/>
      <c r="BA13" s="4135"/>
      <c r="BB13" s="4135"/>
      <c r="BC13" s="4135"/>
      <c r="BD13" s="4135"/>
      <c r="BE13" s="4135"/>
      <c r="BF13" s="4135"/>
      <c r="BG13" s="4135"/>
      <c r="BH13" s="4135"/>
      <c r="BI13" s="4135"/>
      <c r="BJ13" s="4135"/>
      <c r="BK13" s="3102"/>
      <c r="BL13" s="4135"/>
      <c r="BM13" s="4164"/>
      <c r="BN13" s="4159"/>
      <c r="BO13" s="4159"/>
      <c r="BP13" s="4159"/>
      <c r="BQ13" s="4159"/>
      <c r="BR13" s="3088"/>
    </row>
    <row r="14" spans="1:90" s="593" customFormat="1" ht="28.5" customHeight="1" x14ac:dyDescent="0.25">
      <c r="A14" s="606"/>
      <c r="B14" s="607"/>
      <c r="C14" s="607"/>
      <c r="D14" s="625"/>
      <c r="E14" s="626"/>
      <c r="F14" s="627"/>
      <c r="G14" s="628"/>
      <c r="H14" s="628"/>
      <c r="I14" s="629"/>
      <c r="J14" s="3088"/>
      <c r="K14" s="4128"/>
      <c r="L14" s="4128"/>
      <c r="M14" s="4130"/>
      <c r="N14" s="4130"/>
      <c r="O14" s="4130"/>
      <c r="P14" s="4133"/>
      <c r="Q14" s="4142"/>
      <c r="R14" s="4144"/>
      <c r="S14" s="4146"/>
      <c r="T14" s="4147"/>
      <c r="U14" s="4148"/>
      <c r="V14" s="4148"/>
      <c r="W14" s="630">
        <f>1142155795+241355304</f>
        <v>1383511099</v>
      </c>
      <c r="X14" s="631">
        <v>574287228</v>
      </c>
      <c r="Y14" s="631"/>
      <c r="Z14" s="632">
        <v>20</v>
      </c>
      <c r="AA14" s="633" t="s">
        <v>71</v>
      </c>
      <c r="AB14" s="4157"/>
      <c r="AC14" s="3088"/>
      <c r="AD14" s="4135"/>
      <c r="AE14" s="4135"/>
      <c r="AF14" s="4135"/>
      <c r="AG14" s="4135"/>
      <c r="AH14" s="4135"/>
      <c r="AI14" s="4135"/>
      <c r="AJ14" s="4135"/>
      <c r="AK14" s="4135"/>
      <c r="AL14" s="4135"/>
      <c r="AM14" s="4135"/>
      <c r="AN14" s="4135"/>
      <c r="AO14" s="4135"/>
      <c r="AP14" s="4135"/>
      <c r="AQ14" s="4135"/>
      <c r="AR14" s="4135"/>
      <c r="AS14" s="4135"/>
      <c r="AT14" s="4135"/>
      <c r="AU14" s="4135"/>
      <c r="AV14" s="4135"/>
      <c r="AW14" s="4135"/>
      <c r="AX14" s="4135"/>
      <c r="AY14" s="4135"/>
      <c r="AZ14" s="4135"/>
      <c r="BA14" s="4135"/>
      <c r="BB14" s="4135"/>
      <c r="BC14" s="4135"/>
      <c r="BD14" s="4135"/>
      <c r="BE14" s="4135"/>
      <c r="BF14" s="4135"/>
      <c r="BG14" s="4135"/>
      <c r="BH14" s="4135"/>
      <c r="BI14" s="4135"/>
      <c r="BJ14" s="4135"/>
      <c r="BK14" s="3102"/>
      <c r="BL14" s="4135"/>
      <c r="BM14" s="4164"/>
      <c r="BN14" s="4159"/>
      <c r="BO14" s="4159"/>
      <c r="BP14" s="4159"/>
      <c r="BQ14" s="4159"/>
      <c r="BR14" s="3088"/>
    </row>
    <row r="15" spans="1:90" s="593" customFormat="1" ht="28.5" customHeight="1" x14ac:dyDescent="0.25">
      <c r="A15" s="606"/>
      <c r="B15" s="607"/>
      <c r="C15" s="607"/>
      <c r="D15" s="625"/>
      <c r="E15" s="626"/>
      <c r="F15" s="627"/>
      <c r="G15" s="628"/>
      <c r="H15" s="628"/>
      <c r="I15" s="629"/>
      <c r="J15" s="3088"/>
      <c r="K15" s="4128"/>
      <c r="L15" s="4128"/>
      <c r="M15" s="4130"/>
      <c r="N15" s="4130"/>
      <c r="O15" s="4130"/>
      <c r="P15" s="4133"/>
      <c r="Q15" s="4142"/>
      <c r="R15" s="4144"/>
      <c r="S15" s="4146"/>
      <c r="T15" s="4147"/>
      <c r="U15" s="4148"/>
      <c r="V15" s="4148"/>
      <c r="W15" s="630">
        <v>43958033</v>
      </c>
      <c r="X15" s="631"/>
      <c r="Y15" s="631"/>
      <c r="Z15" s="632">
        <v>91</v>
      </c>
      <c r="AA15" s="633" t="s">
        <v>466</v>
      </c>
      <c r="AB15" s="4157"/>
      <c r="AC15" s="3088"/>
      <c r="AD15" s="4135"/>
      <c r="AE15" s="4135"/>
      <c r="AF15" s="4135"/>
      <c r="AG15" s="4135"/>
      <c r="AH15" s="4135"/>
      <c r="AI15" s="4135"/>
      <c r="AJ15" s="4135"/>
      <c r="AK15" s="4135"/>
      <c r="AL15" s="4135"/>
      <c r="AM15" s="4135"/>
      <c r="AN15" s="4135"/>
      <c r="AO15" s="4135"/>
      <c r="AP15" s="4135"/>
      <c r="AQ15" s="4135"/>
      <c r="AR15" s="4135"/>
      <c r="AS15" s="4135"/>
      <c r="AT15" s="4135"/>
      <c r="AU15" s="4135"/>
      <c r="AV15" s="4135"/>
      <c r="AW15" s="4135"/>
      <c r="AX15" s="4135"/>
      <c r="AY15" s="4135"/>
      <c r="AZ15" s="4135"/>
      <c r="BA15" s="4135"/>
      <c r="BB15" s="4135"/>
      <c r="BC15" s="4135"/>
      <c r="BD15" s="4135"/>
      <c r="BE15" s="4135"/>
      <c r="BF15" s="4135"/>
      <c r="BG15" s="4135"/>
      <c r="BH15" s="4135"/>
      <c r="BI15" s="4135"/>
      <c r="BJ15" s="4135"/>
      <c r="BK15" s="3102"/>
      <c r="BL15" s="4135"/>
      <c r="BM15" s="4164"/>
      <c r="BN15" s="4159"/>
      <c r="BO15" s="4159"/>
      <c r="BP15" s="4159"/>
      <c r="BQ15" s="4159"/>
      <c r="BR15" s="3088"/>
    </row>
    <row r="16" spans="1:90" s="593" customFormat="1" ht="31.5" customHeight="1" x14ac:dyDescent="0.25">
      <c r="A16" s="606"/>
      <c r="B16" s="607"/>
      <c r="C16" s="607"/>
      <c r="D16" s="625"/>
      <c r="E16" s="626"/>
      <c r="F16" s="627"/>
      <c r="G16" s="628"/>
      <c r="H16" s="628"/>
      <c r="I16" s="629"/>
      <c r="J16" s="2745"/>
      <c r="K16" s="4129"/>
      <c r="L16" s="4129"/>
      <c r="M16" s="4131"/>
      <c r="N16" s="4131"/>
      <c r="O16" s="4130"/>
      <c r="P16" s="4133"/>
      <c r="Q16" s="4142"/>
      <c r="R16" s="4145"/>
      <c r="S16" s="4146"/>
      <c r="T16" s="4147"/>
      <c r="U16" s="4148"/>
      <c r="V16" s="4148"/>
      <c r="W16" s="634">
        <f>2321723335+522238646</f>
        <v>2843961981</v>
      </c>
      <c r="X16" s="635"/>
      <c r="Y16" s="635"/>
      <c r="Z16" s="632">
        <v>88</v>
      </c>
      <c r="AA16" s="636" t="s">
        <v>467</v>
      </c>
      <c r="AB16" s="4157"/>
      <c r="AC16" s="3088"/>
      <c r="AD16" s="4135"/>
      <c r="AE16" s="4135"/>
      <c r="AF16" s="4135"/>
      <c r="AG16" s="4135"/>
      <c r="AH16" s="4135"/>
      <c r="AI16" s="4135"/>
      <c r="AJ16" s="4135"/>
      <c r="AK16" s="4135"/>
      <c r="AL16" s="4135"/>
      <c r="AM16" s="4135"/>
      <c r="AN16" s="4135"/>
      <c r="AO16" s="4135"/>
      <c r="AP16" s="4135"/>
      <c r="AQ16" s="4135"/>
      <c r="AR16" s="4135"/>
      <c r="AS16" s="4135"/>
      <c r="AT16" s="4135"/>
      <c r="AU16" s="4135"/>
      <c r="AV16" s="4135"/>
      <c r="AW16" s="4135"/>
      <c r="AX16" s="4135"/>
      <c r="AY16" s="4135"/>
      <c r="AZ16" s="4135"/>
      <c r="BA16" s="4135"/>
      <c r="BB16" s="4135"/>
      <c r="BC16" s="4135"/>
      <c r="BD16" s="4135"/>
      <c r="BE16" s="4135"/>
      <c r="BF16" s="4135"/>
      <c r="BG16" s="4135"/>
      <c r="BH16" s="4135"/>
      <c r="BI16" s="4135"/>
      <c r="BJ16" s="4135"/>
      <c r="BK16" s="3102"/>
      <c r="BL16" s="4135"/>
      <c r="BM16" s="4164"/>
      <c r="BN16" s="4159"/>
      <c r="BO16" s="4159"/>
      <c r="BP16" s="4159"/>
      <c r="BQ16" s="4159"/>
      <c r="BR16" s="3088"/>
    </row>
    <row r="17" spans="1:70" s="593" customFormat="1" ht="48" customHeight="1" x14ac:dyDescent="0.25">
      <c r="A17" s="606"/>
      <c r="B17" s="607"/>
      <c r="C17" s="607"/>
      <c r="D17" s="625"/>
      <c r="E17" s="626"/>
      <c r="F17" s="627"/>
      <c r="G17" s="628"/>
      <c r="H17" s="628"/>
      <c r="I17" s="629"/>
      <c r="J17" s="2744">
        <v>66</v>
      </c>
      <c r="K17" s="4162" t="s">
        <v>468</v>
      </c>
      <c r="L17" s="4162" t="s">
        <v>469</v>
      </c>
      <c r="M17" s="4132">
        <v>1</v>
      </c>
      <c r="N17" s="2737">
        <v>0.25</v>
      </c>
      <c r="O17" s="4130"/>
      <c r="P17" s="4133"/>
      <c r="Q17" s="4142"/>
      <c r="R17" s="4163">
        <f>SUM(W17+W19+W20)/$S$12</f>
        <v>0.57933250565144812</v>
      </c>
      <c r="S17" s="4146"/>
      <c r="T17" s="4147"/>
      <c r="U17" s="4149" t="s">
        <v>470</v>
      </c>
      <c r="V17" s="4150" t="s">
        <v>471</v>
      </c>
      <c r="W17" s="637">
        <v>9000000000</v>
      </c>
      <c r="X17" s="637">
        <v>7836582313</v>
      </c>
      <c r="Y17" s="637">
        <v>31809716</v>
      </c>
      <c r="Z17" s="632">
        <v>81</v>
      </c>
      <c r="AA17" s="638" t="s">
        <v>472</v>
      </c>
      <c r="AB17" s="4157"/>
      <c r="AC17" s="3088"/>
      <c r="AD17" s="4135"/>
      <c r="AE17" s="4135"/>
      <c r="AF17" s="4135"/>
      <c r="AG17" s="4135"/>
      <c r="AH17" s="4135"/>
      <c r="AI17" s="4135"/>
      <c r="AJ17" s="4135"/>
      <c r="AK17" s="4135"/>
      <c r="AL17" s="4135"/>
      <c r="AM17" s="4135"/>
      <c r="AN17" s="4135"/>
      <c r="AO17" s="4135"/>
      <c r="AP17" s="4135"/>
      <c r="AQ17" s="4135"/>
      <c r="AR17" s="4135"/>
      <c r="AS17" s="4135"/>
      <c r="AT17" s="4135"/>
      <c r="AU17" s="4135"/>
      <c r="AV17" s="4135"/>
      <c r="AW17" s="4135"/>
      <c r="AX17" s="4135"/>
      <c r="AY17" s="4135"/>
      <c r="AZ17" s="4135"/>
      <c r="BA17" s="4135"/>
      <c r="BB17" s="4135"/>
      <c r="BC17" s="4135"/>
      <c r="BD17" s="4135"/>
      <c r="BE17" s="4135"/>
      <c r="BF17" s="4135"/>
      <c r="BG17" s="4135"/>
      <c r="BH17" s="4135"/>
      <c r="BI17" s="4135"/>
      <c r="BJ17" s="4135"/>
      <c r="BK17" s="3102"/>
      <c r="BL17" s="4135"/>
      <c r="BM17" s="4164"/>
      <c r="BN17" s="4159"/>
      <c r="BO17" s="4159"/>
      <c r="BP17" s="4159"/>
      <c r="BQ17" s="4159"/>
      <c r="BR17" s="3088"/>
    </row>
    <row r="18" spans="1:70" s="593" customFormat="1" ht="48" customHeight="1" x14ac:dyDescent="0.25">
      <c r="A18" s="606"/>
      <c r="B18" s="607"/>
      <c r="C18" s="607"/>
      <c r="D18" s="625"/>
      <c r="E18" s="626"/>
      <c r="F18" s="627"/>
      <c r="G18" s="628"/>
      <c r="H18" s="628"/>
      <c r="I18" s="629"/>
      <c r="J18" s="3088"/>
      <c r="K18" s="4128"/>
      <c r="L18" s="4128"/>
      <c r="M18" s="4130"/>
      <c r="N18" s="2737"/>
      <c r="O18" s="4130"/>
      <c r="P18" s="4133"/>
      <c r="Q18" s="4142"/>
      <c r="R18" s="4144"/>
      <c r="S18" s="4146"/>
      <c r="T18" s="4147"/>
      <c r="U18" s="4149"/>
      <c r="V18" s="4150"/>
      <c r="W18" s="637">
        <v>150000000</v>
      </c>
      <c r="X18" s="637">
        <v>0</v>
      </c>
      <c r="Y18" s="637">
        <v>0</v>
      </c>
      <c r="Z18" s="632">
        <v>81</v>
      </c>
      <c r="AA18" s="638" t="s">
        <v>473</v>
      </c>
      <c r="AB18" s="4157"/>
      <c r="AC18" s="3088"/>
      <c r="AD18" s="4135"/>
      <c r="AE18" s="4135"/>
      <c r="AF18" s="4135"/>
      <c r="AG18" s="4135"/>
      <c r="AH18" s="4135"/>
      <c r="AI18" s="4135"/>
      <c r="AJ18" s="4135"/>
      <c r="AK18" s="4135"/>
      <c r="AL18" s="4135"/>
      <c r="AM18" s="4135"/>
      <c r="AN18" s="4135"/>
      <c r="AO18" s="4135"/>
      <c r="AP18" s="4135"/>
      <c r="AQ18" s="4135"/>
      <c r="AR18" s="4135"/>
      <c r="AS18" s="4135"/>
      <c r="AT18" s="4135"/>
      <c r="AU18" s="4135"/>
      <c r="AV18" s="4135"/>
      <c r="AW18" s="4135"/>
      <c r="AX18" s="4135"/>
      <c r="AY18" s="4135"/>
      <c r="AZ18" s="4135"/>
      <c r="BA18" s="4135"/>
      <c r="BB18" s="4135"/>
      <c r="BC18" s="4135"/>
      <c r="BD18" s="4135"/>
      <c r="BE18" s="4135"/>
      <c r="BF18" s="4135"/>
      <c r="BG18" s="4135"/>
      <c r="BH18" s="4135"/>
      <c r="BI18" s="4135"/>
      <c r="BJ18" s="4135"/>
      <c r="BK18" s="3102"/>
      <c r="BL18" s="4135"/>
      <c r="BM18" s="4164"/>
      <c r="BN18" s="4159"/>
      <c r="BO18" s="4159"/>
      <c r="BP18" s="4159"/>
      <c r="BQ18" s="4159"/>
      <c r="BR18" s="3088"/>
    </row>
    <row r="19" spans="1:70" s="593" customFormat="1" ht="43.5" customHeight="1" x14ac:dyDescent="0.25">
      <c r="A19" s="606"/>
      <c r="B19" s="607"/>
      <c r="C19" s="607"/>
      <c r="D19" s="625"/>
      <c r="E19" s="626"/>
      <c r="F19" s="627"/>
      <c r="G19" s="628"/>
      <c r="H19" s="628"/>
      <c r="I19" s="629"/>
      <c r="J19" s="3088"/>
      <c r="K19" s="4128"/>
      <c r="L19" s="4128"/>
      <c r="M19" s="4130"/>
      <c r="N19" s="2737"/>
      <c r="O19" s="4130"/>
      <c r="P19" s="4133"/>
      <c r="Q19" s="4142"/>
      <c r="R19" s="4144"/>
      <c r="S19" s="4146"/>
      <c r="T19" s="4147"/>
      <c r="U19" s="4149"/>
      <c r="V19" s="4150"/>
      <c r="W19" s="637">
        <v>1577857420.24</v>
      </c>
      <c r="X19" s="637"/>
      <c r="Y19" s="637"/>
      <c r="Z19" s="632">
        <v>137</v>
      </c>
      <c r="AA19" s="638" t="s">
        <v>474</v>
      </c>
      <c r="AB19" s="4157"/>
      <c r="AC19" s="3088"/>
      <c r="AD19" s="4135"/>
      <c r="AE19" s="4135"/>
      <c r="AF19" s="4135"/>
      <c r="AG19" s="4135"/>
      <c r="AH19" s="4135"/>
      <c r="AI19" s="4135"/>
      <c r="AJ19" s="4135"/>
      <c r="AK19" s="4135"/>
      <c r="AL19" s="4135"/>
      <c r="AM19" s="4135"/>
      <c r="AN19" s="4135"/>
      <c r="AO19" s="4135"/>
      <c r="AP19" s="4135"/>
      <c r="AQ19" s="4135"/>
      <c r="AR19" s="4135"/>
      <c r="AS19" s="4135"/>
      <c r="AT19" s="4135"/>
      <c r="AU19" s="4135"/>
      <c r="AV19" s="4135"/>
      <c r="AW19" s="4135"/>
      <c r="AX19" s="4135"/>
      <c r="AY19" s="4135"/>
      <c r="AZ19" s="4135"/>
      <c r="BA19" s="4135"/>
      <c r="BB19" s="4135"/>
      <c r="BC19" s="4135"/>
      <c r="BD19" s="4135"/>
      <c r="BE19" s="4135"/>
      <c r="BF19" s="4135"/>
      <c r="BG19" s="4135"/>
      <c r="BH19" s="4135"/>
      <c r="BI19" s="4135"/>
      <c r="BJ19" s="4135"/>
      <c r="BK19" s="3102"/>
      <c r="BL19" s="4135"/>
      <c r="BM19" s="4164"/>
      <c r="BN19" s="4159"/>
      <c r="BO19" s="4159"/>
      <c r="BP19" s="4159"/>
      <c r="BQ19" s="4159"/>
      <c r="BR19" s="3088"/>
    </row>
    <row r="20" spans="1:70" s="593" customFormat="1" ht="70.5" customHeight="1" x14ac:dyDescent="0.25">
      <c r="A20" s="606"/>
      <c r="B20" s="607"/>
      <c r="C20" s="607"/>
      <c r="D20" s="625"/>
      <c r="E20" s="626"/>
      <c r="F20" s="627"/>
      <c r="G20" s="628"/>
      <c r="H20" s="628"/>
      <c r="I20" s="629"/>
      <c r="J20" s="2745"/>
      <c r="K20" s="4129"/>
      <c r="L20" s="4129"/>
      <c r="M20" s="4131"/>
      <c r="N20" s="2737"/>
      <c r="O20" s="4130"/>
      <c r="P20" s="4133"/>
      <c r="Q20" s="4142"/>
      <c r="R20" s="4145"/>
      <c r="S20" s="4146"/>
      <c r="T20" s="4147"/>
      <c r="U20" s="4149"/>
      <c r="V20" s="639" t="s">
        <v>475</v>
      </c>
      <c r="W20" s="640">
        <v>285198000</v>
      </c>
      <c r="X20" s="637">
        <v>137868477</v>
      </c>
      <c r="Y20" s="637">
        <v>59738631</v>
      </c>
      <c r="Z20" s="632">
        <v>20</v>
      </c>
      <c r="AA20" s="638" t="s">
        <v>71</v>
      </c>
      <c r="AB20" s="4157"/>
      <c r="AC20" s="3088"/>
      <c r="AD20" s="4135"/>
      <c r="AE20" s="4135"/>
      <c r="AF20" s="4135"/>
      <c r="AG20" s="4135"/>
      <c r="AH20" s="4135"/>
      <c r="AI20" s="4135"/>
      <c r="AJ20" s="4135"/>
      <c r="AK20" s="4135"/>
      <c r="AL20" s="4135"/>
      <c r="AM20" s="4135"/>
      <c r="AN20" s="4135"/>
      <c r="AO20" s="4135"/>
      <c r="AP20" s="4135"/>
      <c r="AQ20" s="4135"/>
      <c r="AR20" s="4135"/>
      <c r="AS20" s="4135"/>
      <c r="AT20" s="4135"/>
      <c r="AU20" s="4135"/>
      <c r="AV20" s="4135"/>
      <c r="AW20" s="4135"/>
      <c r="AX20" s="4135"/>
      <c r="AY20" s="4135"/>
      <c r="AZ20" s="4135"/>
      <c r="BA20" s="4135"/>
      <c r="BB20" s="4135"/>
      <c r="BC20" s="4135"/>
      <c r="BD20" s="4135"/>
      <c r="BE20" s="4135"/>
      <c r="BF20" s="4135"/>
      <c r="BG20" s="4135"/>
      <c r="BH20" s="4135"/>
      <c r="BI20" s="4135"/>
      <c r="BJ20" s="4135"/>
      <c r="BK20" s="3102"/>
      <c r="BL20" s="4135"/>
      <c r="BM20" s="4164"/>
      <c r="BN20" s="4159"/>
      <c r="BO20" s="4159"/>
      <c r="BP20" s="4159"/>
      <c r="BQ20" s="4159"/>
      <c r="BR20" s="3088"/>
    </row>
    <row r="21" spans="1:70" s="644" customFormat="1" ht="48.75" customHeight="1" x14ac:dyDescent="0.25">
      <c r="A21" s="606"/>
      <c r="B21" s="607"/>
      <c r="C21" s="607"/>
      <c r="D21" s="625"/>
      <c r="E21" s="626"/>
      <c r="F21" s="627"/>
      <c r="G21" s="628"/>
      <c r="H21" s="628"/>
      <c r="I21" s="629"/>
      <c r="J21" s="2744">
        <v>67</v>
      </c>
      <c r="K21" s="4162" t="s">
        <v>476</v>
      </c>
      <c r="L21" s="4162" t="s">
        <v>477</v>
      </c>
      <c r="M21" s="4132">
        <v>1</v>
      </c>
      <c r="N21" s="4132">
        <v>0</v>
      </c>
      <c r="O21" s="4130"/>
      <c r="P21" s="4133"/>
      <c r="Q21" s="4142"/>
      <c r="R21" s="4137">
        <f>SUM(W21:W24)/$S$12</f>
        <v>6.9329689319604287E-2</v>
      </c>
      <c r="S21" s="4146"/>
      <c r="T21" s="4147"/>
      <c r="U21" s="4149" t="s">
        <v>478</v>
      </c>
      <c r="V21" s="4149" t="s">
        <v>479</v>
      </c>
      <c r="W21" s="641">
        <f>860000000-241355304</f>
        <v>618644696</v>
      </c>
      <c r="X21" s="642"/>
      <c r="Y21" s="642"/>
      <c r="Z21" s="632">
        <v>20</v>
      </c>
      <c r="AA21" s="643" t="s">
        <v>71</v>
      </c>
      <c r="AB21" s="4157"/>
      <c r="AC21" s="3088"/>
      <c r="AD21" s="4135"/>
      <c r="AE21" s="4135"/>
      <c r="AF21" s="4135"/>
      <c r="AG21" s="4135"/>
      <c r="AH21" s="4135"/>
      <c r="AI21" s="4135"/>
      <c r="AJ21" s="4135"/>
      <c r="AK21" s="4135"/>
      <c r="AL21" s="4135"/>
      <c r="AM21" s="4135"/>
      <c r="AN21" s="4135"/>
      <c r="AO21" s="4135"/>
      <c r="AP21" s="4135"/>
      <c r="AQ21" s="4135"/>
      <c r="AR21" s="4135"/>
      <c r="AS21" s="4135"/>
      <c r="AT21" s="4135"/>
      <c r="AU21" s="4135"/>
      <c r="AV21" s="4135"/>
      <c r="AW21" s="4135"/>
      <c r="AX21" s="4135"/>
      <c r="AY21" s="4135"/>
      <c r="AZ21" s="4135"/>
      <c r="BA21" s="4135"/>
      <c r="BB21" s="4135"/>
      <c r="BC21" s="4135"/>
      <c r="BD21" s="4135"/>
      <c r="BE21" s="4135"/>
      <c r="BF21" s="4135"/>
      <c r="BG21" s="4135"/>
      <c r="BH21" s="4135"/>
      <c r="BI21" s="4135"/>
      <c r="BJ21" s="4135"/>
      <c r="BK21" s="3102"/>
      <c r="BL21" s="4135"/>
      <c r="BM21" s="4164"/>
      <c r="BN21" s="4159"/>
      <c r="BO21" s="4159"/>
      <c r="BP21" s="4159"/>
      <c r="BQ21" s="4159"/>
      <c r="BR21" s="3088"/>
    </row>
    <row r="22" spans="1:70" s="644" customFormat="1" ht="48.75" customHeight="1" x14ac:dyDescent="0.25">
      <c r="A22" s="606"/>
      <c r="B22" s="607"/>
      <c r="C22" s="607"/>
      <c r="D22" s="625"/>
      <c r="E22" s="626"/>
      <c r="F22" s="627"/>
      <c r="G22" s="628"/>
      <c r="H22" s="628"/>
      <c r="I22" s="629"/>
      <c r="J22" s="3088"/>
      <c r="K22" s="4128"/>
      <c r="L22" s="4128"/>
      <c r="M22" s="4130"/>
      <c r="N22" s="4130"/>
      <c r="O22" s="4130"/>
      <c r="P22" s="4133"/>
      <c r="Q22" s="4142"/>
      <c r="R22" s="4138"/>
      <c r="S22" s="4146"/>
      <c r="T22" s="4147"/>
      <c r="U22" s="4149"/>
      <c r="V22" s="4149"/>
      <c r="W22" s="641">
        <v>241355304</v>
      </c>
      <c r="X22" s="642"/>
      <c r="Y22" s="642"/>
      <c r="Z22" s="632">
        <v>91</v>
      </c>
      <c r="AA22" s="643" t="s">
        <v>466</v>
      </c>
      <c r="AB22" s="4157"/>
      <c r="AC22" s="3088"/>
      <c r="AD22" s="4135"/>
      <c r="AE22" s="4135"/>
      <c r="AF22" s="4135"/>
      <c r="AG22" s="4135"/>
      <c r="AH22" s="4135"/>
      <c r="AI22" s="4135"/>
      <c r="AJ22" s="4135"/>
      <c r="AK22" s="4135"/>
      <c r="AL22" s="4135"/>
      <c r="AM22" s="4135"/>
      <c r="AN22" s="4135"/>
      <c r="AO22" s="4135"/>
      <c r="AP22" s="4135"/>
      <c r="AQ22" s="4135"/>
      <c r="AR22" s="4135"/>
      <c r="AS22" s="4135"/>
      <c r="AT22" s="4135"/>
      <c r="AU22" s="4135"/>
      <c r="AV22" s="4135"/>
      <c r="AW22" s="4135"/>
      <c r="AX22" s="4135"/>
      <c r="AY22" s="4135"/>
      <c r="AZ22" s="4135"/>
      <c r="BA22" s="4135"/>
      <c r="BB22" s="4135"/>
      <c r="BC22" s="4135"/>
      <c r="BD22" s="4135"/>
      <c r="BE22" s="4135"/>
      <c r="BF22" s="4135"/>
      <c r="BG22" s="4135"/>
      <c r="BH22" s="4135"/>
      <c r="BI22" s="4135"/>
      <c r="BJ22" s="4135"/>
      <c r="BK22" s="3102"/>
      <c r="BL22" s="4135"/>
      <c r="BM22" s="4164"/>
      <c r="BN22" s="4159"/>
      <c r="BO22" s="4159"/>
      <c r="BP22" s="4159"/>
      <c r="BQ22" s="4159"/>
      <c r="BR22" s="3088"/>
    </row>
    <row r="23" spans="1:70" s="644" customFormat="1" ht="41.25" customHeight="1" x14ac:dyDescent="0.25">
      <c r="A23" s="606"/>
      <c r="B23" s="607"/>
      <c r="C23" s="607"/>
      <c r="D23" s="625"/>
      <c r="E23" s="626"/>
      <c r="F23" s="627"/>
      <c r="G23" s="628"/>
      <c r="H23" s="628"/>
      <c r="I23" s="629"/>
      <c r="J23" s="3088"/>
      <c r="K23" s="4128"/>
      <c r="L23" s="4128"/>
      <c r="M23" s="4130"/>
      <c r="N23" s="4130"/>
      <c r="O23" s="4130"/>
      <c r="P23" s="4133"/>
      <c r="Q23" s="4142"/>
      <c r="R23" s="4138"/>
      <c r="S23" s="4146"/>
      <c r="T23" s="4147"/>
      <c r="U23" s="4149"/>
      <c r="V23" s="4149"/>
      <c r="W23" s="641">
        <v>200000000</v>
      </c>
      <c r="X23" s="642"/>
      <c r="Y23" s="642"/>
      <c r="Z23" s="632">
        <v>35</v>
      </c>
      <c r="AA23" s="645" t="s">
        <v>462</v>
      </c>
      <c r="AB23" s="4157"/>
      <c r="AC23" s="3088"/>
      <c r="AD23" s="4135"/>
      <c r="AE23" s="4135"/>
      <c r="AF23" s="4135"/>
      <c r="AG23" s="4135"/>
      <c r="AH23" s="4135"/>
      <c r="AI23" s="4135"/>
      <c r="AJ23" s="4135"/>
      <c r="AK23" s="4135"/>
      <c r="AL23" s="4135"/>
      <c r="AM23" s="4135"/>
      <c r="AN23" s="4135"/>
      <c r="AO23" s="4135"/>
      <c r="AP23" s="4135"/>
      <c r="AQ23" s="4135"/>
      <c r="AR23" s="4135"/>
      <c r="AS23" s="4135"/>
      <c r="AT23" s="4135"/>
      <c r="AU23" s="4135"/>
      <c r="AV23" s="4135"/>
      <c r="AW23" s="4135"/>
      <c r="AX23" s="4135"/>
      <c r="AY23" s="4135"/>
      <c r="AZ23" s="4135"/>
      <c r="BA23" s="4135"/>
      <c r="BB23" s="4135"/>
      <c r="BC23" s="4135"/>
      <c r="BD23" s="4135"/>
      <c r="BE23" s="4135"/>
      <c r="BF23" s="4135"/>
      <c r="BG23" s="4135"/>
      <c r="BH23" s="4135"/>
      <c r="BI23" s="4135"/>
      <c r="BJ23" s="4135"/>
      <c r="BK23" s="3102"/>
      <c r="BL23" s="4135"/>
      <c r="BM23" s="4164"/>
      <c r="BN23" s="4159"/>
      <c r="BO23" s="4159"/>
      <c r="BP23" s="4159"/>
      <c r="BQ23" s="4159"/>
      <c r="BR23" s="3088"/>
    </row>
    <row r="24" spans="1:70" s="593" customFormat="1" ht="39.75" customHeight="1" x14ac:dyDescent="0.25">
      <c r="A24" s="606"/>
      <c r="B24" s="607"/>
      <c r="C24" s="607"/>
      <c r="D24" s="625"/>
      <c r="E24" s="626"/>
      <c r="F24" s="627"/>
      <c r="G24" s="628"/>
      <c r="H24" s="628"/>
      <c r="I24" s="629"/>
      <c r="J24" s="3088"/>
      <c r="K24" s="4128"/>
      <c r="L24" s="4128"/>
      <c r="M24" s="4130"/>
      <c r="N24" s="4130"/>
      <c r="O24" s="4131"/>
      <c r="P24" s="4133"/>
      <c r="Q24" s="4143"/>
      <c r="R24" s="4139"/>
      <c r="S24" s="4146"/>
      <c r="T24" s="4147"/>
      <c r="U24" s="4149"/>
      <c r="V24" s="4149"/>
      <c r="W24" s="634">
        <f>0+240000000</f>
        <v>240000000</v>
      </c>
      <c r="X24" s="635"/>
      <c r="Y24" s="635"/>
      <c r="Z24" s="646">
        <v>88</v>
      </c>
      <c r="AA24" s="647" t="s">
        <v>467</v>
      </c>
      <c r="AB24" s="4157"/>
      <c r="AC24" s="2745"/>
      <c r="AD24" s="4135"/>
      <c r="AE24" s="4136"/>
      <c r="AF24" s="4135"/>
      <c r="AG24" s="4136"/>
      <c r="AH24" s="4135"/>
      <c r="AI24" s="4136"/>
      <c r="AJ24" s="4135"/>
      <c r="AK24" s="4136"/>
      <c r="AL24" s="4135"/>
      <c r="AM24" s="4136"/>
      <c r="AN24" s="4135"/>
      <c r="AO24" s="4136"/>
      <c r="AP24" s="4135"/>
      <c r="AQ24" s="4136"/>
      <c r="AR24" s="4135"/>
      <c r="AS24" s="4136"/>
      <c r="AT24" s="4135"/>
      <c r="AU24" s="4136"/>
      <c r="AV24" s="4135"/>
      <c r="AW24" s="4136"/>
      <c r="AX24" s="4135"/>
      <c r="AY24" s="4136"/>
      <c r="AZ24" s="4135"/>
      <c r="BA24" s="4136"/>
      <c r="BB24" s="4135"/>
      <c r="BC24" s="4136"/>
      <c r="BD24" s="4135"/>
      <c r="BE24" s="4136"/>
      <c r="BF24" s="4135"/>
      <c r="BG24" s="4136"/>
      <c r="BH24" s="4136"/>
      <c r="BI24" s="4136"/>
      <c r="BJ24" s="4136"/>
      <c r="BK24" s="3103"/>
      <c r="BL24" s="4136"/>
      <c r="BM24" s="4165"/>
      <c r="BN24" s="4160"/>
      <c r="BO24" s="4160"/>
      <c r="BP24" s="4160"/>
      <c r="BQ24" s="4160"/>
      <c r="BR24" s="3088"/>
    </row>
    <row r="25" spans="1:70" s="593" customFormat="1" ht="19.5" customHeight="1" x14ac:dyDescent="0.25">
      <c r="A25" s="648"/>
      <c r="B25" s="649"/>
      <c r="C25" s="649"/>
      <c r="D25" s="648"/>
      <c r="E25" s="649"/>
      <c r="F25" s="650"/>
      <c r="G25" s="651">
        <v>17</v>
      </c>
      <c r="H25" s="652" t="s">
        <v>480</v>
      </c>
      <c r="I25" s="652"/>
      <c r="J25" s="653"/>
      <c r="K25" s="613"/>
      <c r="L25" s="613"/>
      <c r="M25" s="653"/>
      <c r="N25" s="654"/>
      <c r="O25" s="655"/>
      <c r="P25" s="653"/>
      <c r="Q25" s="613"/>
      <c r="R25" s="653"/>
      <c r="S25" s="656"/>
      <c r="T25" s="613"/>
      <c r="U25" s="618"/>
      <c r="V25" s="618"/>
      <c r="W25" s="657"/>
      <c r="X25" s="657"/>
      <c r="Y25" s="657"/>
      <c r="Z25" s="619"/>
      <c r="AA25" s="658"/>
      <c r="AB25" s="653"/>
      <c r="AC25" s="653"/>
      <c r="AD25" s="653"/>
      <c r="AE25" s="653"/>
      <c r="AF25" s="653"/>
      <c r="AG25" s="653"/>
      <c r="AH25" s="653"/>
      <c r="AI25" s="653"/>
      <c r="AJ25" s="653"/>
      <c r="AK25" s="653"/>
      <c r="AL25" s="653"/>
      <c r="AM25" s="653"/>
      <c r="AN25" s="653"/>
      <c r="AO25" s="653"/>
      <c r="AP25" s="653"/>
      <c r="AQ25" s="653"/>
      <c r="AR25" s="653"/>
      <c r="AS25" s="653"/>
      <c r="AT25" s="653"/>
      <c r="AU25" s="653"/>
      <c r="AV25" s="653"/>
      <c r="AW25" s="653"/>
      <c r="AX25" s="653"/>
      <c r="AY25" s="653"/>
      <c r="AZ25" s="653"/>
      <c r="BA25" s="653"/>
      <c r="BB25" s="653"/>
      <c r="BC25" s="653"/>
      <c r="BD25" s="653"/>
      <c r="BE25" s="653"/>
      <c r="BF25" s="623"/>
      <c r="BG25" s="623"/>
      <c r="BH25" s="623"/>
      <c r="BI25" s="623"/>
      <c r="BJ25" s="623"/>
      <c r="BK25" s="623"/>
      <c r="BL25" s="623"/>
      <c r="BM25" s="623"/>
      <c r="BN25" s="623"/>
      <c r="BO25" s="623"/>
      <c r="BP25" s="623"/>
      <c r="BQ25" s="623"/>
      <c r="BR25" s="659"/>
    </row>
    <row r="26" spans="1:70" s="593" customFormat="1" ht="98.25" customHeight="1" x14ac:dyDescent="0.25">
      <c r="A26" s="660"/>
      <c r="B26" s="661"/>
      <c r="C26" s="661"/>
      <c r="D26" s="662"/>
      <c r="E26" s="663"/>
      <c r="F26" s="663"/>
      <c r="G26" s="664"/>
      <c r="H26" s="665"/>
      <c r="I26" s="666"/>
      <c r="J26" s="4134">
        <v>68</v>
      </c>
      <c r="K26" s="4132" t="s">
        <v>481</v>
      </c>
      <c r="L26" s="4141" t="s">
        <v>482</v>
      </c>
      <c r="M26" s="2751">
        <v>4500</v>
      </c>
      <c r="N26" s="4166">
        <v>2539</v>
      </c>
      <c r="O26" s="4132" t="s">
        <v>483</v>
      </c>
      <c r="P26" s="4130" t="s">
        <v>484</v>
      </c>
      <c r="Q26" s="4128" t="s">
        <v>485</v>
      </c>
      <c r="R26" s="4171">
        <f>(W26+W27)/S26</f>
        <v>1.6097875080489377E-2</v>
      </c>
      <c r="S26" s="4146">
        <f>SUM(W26:W33)</f>
        <v>1553000000</v>
      </c>
      <c r="T26" s="4128" t="s">
        <v>486</v>
      </c>
      <c r="U26" s="4129" t="s">
        <v>487</v>
      </c>
      <c r="V26" s="4168" t="s">
        <v>488</v>
      </c>
      <c r="W26" s="667">
        <v>5000000</v>
      </c>
      <c r="X26" s="668">
        <v>4405000</v>
      </c>
      <c r="Y26" s="668">
        <v>2935000</v>
      </c>
      <c r="Z26" s="669">
        <v>20</v>
      </c>
      <c r="AA26" s="670" t="s">
        <v>71</v>
      </c>
      <c r="AB26" s="4170"/>
      <c r="AC26" s="4134"/>
      <c r="AD26" s="4135"/>
      <c r="AE26" s="4134"/>
      <c r="AF26" s="4135"/>
      <c r="AG26" s="4134"/>
      <c r="AH26" s="4135"/>
      <c r="AI26" s="4134"/>
      <c r="AJ26" s="4135"/>
      <c r="AK26" s="4134"/>
      <c r="AL26" s="4135">
        <v>1762</v>
      </c>
      <c r="AM26" s="4134">
        <v>1762</v>
      </c>
      <c r="AN26" s="4134">
        <v>101</v>
      </c>
      <c r="AO26" s="4134">
        <v>101</v>
      </c>
      <c r="AP26" s="4134">
        <v>277</v>
      </c>
      <c r="AQ26" s="4134">
        <v>277</v>
      </c>
      <c r="AR26" s="4135">
        <v>0</v>
      </c>
      <c r="AS26" s="4134"/>
      <c r="AT26" s="4135">
        <v>0</v>
      </c>
      <c r="AU26" s="4134"/>
      <c r="AV26" s="4135">
        <v>0</v>
      </c>
      <c r="AW26" s="4134"/>
      <c r="AX26" s="4135">
        <v>0</v>
      </c>
      <c r="AY26" s="4134"/>
      <c r="AZ26" s="4135">
        <v>2907</v>
      </c>
      <c r="BA26" s="4134">
        <v>2907</v>
      </c>
      <c r="BB26" s="4135">
        <v>2589</v>
      </c>
      <c r="BC26" s="4134">
        <v>2589</v>
      </c>
      <c r="BD26" s="4135">
        <v>2954</v>
      </c>
      <c r="BE26" s="4134">
        <v>2954</v>
      </c>
      <c r="BF26" s="4135">
        <v>10590</v>
      </c>
      <c r="BG26" s="4134">
        <v>10590</v>
      </c>
      <c r="BH26" s="4134">
        <v>2</v>
      </c>
      <c r="BI26" s="4196">
        <f>SUM(X26:X33)</f>
        <v>24705000</v>
      </c>
      <c r="BJ26" s="4196">
        <f>SUM(Y26:Y33)</f>
        <v>9295000</v>
      </c>
      <c r="BK26" s="3101">
        <f>+BJ26/BI26</f>
        <v>0.37623962760574781</v>
      </c>
      <c r="BL26" s="2744" t="s">
        <v>489</v>
      </c>
      <c r="BM26" s="3080" t="s">
        <v>490</v>
      </c>
      <c r="BN26" s="4175">
        <v>43497</v>
      </c>
      <c r="BO26" s="4175">
        <v>43497</v>
      </c>
      <c r="BP26" s="4175">
        <v>43646</v>
      </c>
      <c r="BQ26" s="4175">
        <v>43646</v>
      </c>
      <c r="BR26" s="3088" t="s">
        <v>491</v>
      </c>
    </row>
    <row r="27" spans="1:70" s="593" customFormat="1" ht="102.75" customHeight="1" x14ac:dyDescent="0.25">
      <c r="A27" s="660"/>
      <c r="B27" s="661"/>
      <c r="C27" s="661"/>
      <c r="D27" s="662"/>
      <c r="E27" s="663"/>
      <c r="F27" s="663"/>
      <c r="G27" s="662"/>
      <c r="H27" s="663"/>
      <c r="I27" s="671"/>
      <c r="J27" s="4136"/>
      <c r="K27" s="4131"/>
      <c r="L27" s="4143"/>
      <c r="M27" s="2752"/>
      <c r="N27" s="4167"/>
      <c r="O27" s="4130"/>
      <c r="P27" s="4130"/>
      <c r="Q27" s="4128"/>
      <c r="R27" s="4172"/>
      <c r="S27" s="4146"/>
      <c r="T27" s="4128"/>
      <c r="U27" s="4173"/>
      <c r="V27" s="4169"/>
      <c r="W27" s="672">
        <f>0+20000000</f>
        <v>20000000</v>
      </c>
      <c r="X27" s="672"/>
      <c r="Y27" s="672"/>
      <c r="Z27" s="673">
        <v>88</v>
      </c>
      <c r="AA27" s="674" t="s">
        <v>467</v>
      </c>
      <c r="AB27" s="4170"/>
      <c r="AC27" s="4135"/>
      <c r="AD27" s="4135"/>
      <c r="AE27" s="4135"/>
      <c r="AF27" s="4135"/>
      <c r="AG27" s="4135"/>
      <c r="AH27" s="4135"/>
      <c r="AI27" s="4135"/>
      <c r="AJ27" s="4135"/>
      <c r="AK27" s="4135"/>
      <c r="AL27" s="4135"/>
      <c r="AM27" s="4135"/>
      <c r="AN27" s="4135"/>
      <c r="AO27" s="4135"/>
      <c r="AP27" s="4135"/>
      <c r="AQ27" s="4135"/>
      <c r="AR27" s="4135"/>
      <c r="AS27" s="4135"/>
      <c r="AT27" s="4135"/>
      <c r="AU27" s="4135"/>
      <c r="AV27" s="4135"/>
      <c r="AW27" s="4135"/>
      <c r="AX27" s="4135"/>
      <c r="AY27" s="4135"/>
      <c r="AZ27" s="4135"/>
      <c r="BA27" s="4135"/>
      <c r="BB27" s="4135"/>
      <c r="BC27" s="4135"/>
      <c r="BD27" s="4135"/>
      <c r="BE27" s="4135"/>
      <c r="BF27" s="4135"/>
      <c r="BG27" s="4135"/>
      <c r="BH27" s="4135"/>
      <c r="BI27" s="4197"/>
      <c r="BJ27" s="4197"/>
      <c r="BK27" s="3102"/>
      <c r="BL27" s="4135"/>
      <c r="BM27" s="4164"/>
      <c r="BN27" s="4176"/>
      <c r="BO27" s="4176"/>
      <c r="BP27" s="4176"/>
      <c r="BQ27" s="4176"/>
      <c r="BR27" s="3088"/>
    </row>
    <row r="28" spans="1:70" s="593" customFormat="1" ht="75" customHeight="1" x14ac:dyDescent="0.25">
      <c r="A28" s="4178"/>
      <c r="B28" s="4179"/>
      <c r="C28" s="3083"/>
      <c r="D28" s="4184"/>
      <c r="E28" s="4185"/>
      <c r="F28" s="4186"/>
      <c r="G28" s="2737"/>
      <c r="H28" s="2737"/>
      <c r="I28" s="2737"/>
      <c r="J28" s="675">
        <v>69</v>
      </c>
      <c r="K28" s="676" t="s">
        <v>492</v>
      </c>
      <c r="L28" s="677" t="s">
        <v>493</v>
      </c>
      <c r="M28" s="58">
        <v>1</v>
      </c>
      <c r="N28" s="678">
        <v>0.25</v>
      </c>
      <c r="O28" s="4130"/>
      <c r="P28" s="4130"/>
      <c r="Q28" s="4128"/>
      <c r="R28" s="679">
        <f>+W28/S26</f>
        <v>3.2195750160978749E-3</v>
      </c>
      <c r="S28" s="4146"/>
      <c r="T28" s="4128"/>
      <c r="U28" s="4173"/>
      <c r="V28" s="67" t="s">
        <v>494</v>
      </c>
      <c r="W28" s="668">
        <v>5000000</v>
      </c>
      <c r="X28" s="668">
        <v>4400000</v>
      </c>
      <c r="Y28" s="668"/>
      <c r="Z28" s="680">
        <v>20</v>
      </c>
      <c r="AA28" s="681" t="s">
        <v>71</v>
      </c>
      <c r="AB28" s="4135"/>
      <c r="AC28" s="4135"/>
      <c r="AD28" s="4135"/>
      <c r="AE28" s="4135"/>
      <c r="AF28" s="4135"/>
      <c r="AG28" s="4135"/>
      <c r="AH28" s="4135"/>
      <c r="AI28" s="4135"/>
      <c r="AJ28" s="4135"/>
      <c r="AK28" s="4135"/>
      <c r="AL28" s="4135"/>
      <c r="AM28" s="4135"/>
      <c r="AN28" s="4135"/>
      <c r="AO28" s="4135"/>
      <c r="AP28" s="4135"/>
      <c r="AQ28" s="4135"/>
      <c r="AR28" s="4135"/>
      <c r="AS28" s="4135"/>
      <c r="AT28" s="4135"/>
      <c r="AU28" s="4135"/>
      <c r="AV28" s="4135"/>
      <c r="AW28" s="4135"/>
      <c r="AX28" s="4135"/>
      <c r="AY28" s="4135"/>
      <c r="AZ28" s="4135"/>
      <c r="BA28" s="4135"/>
      <c r="BB28" s="4135"/>
      <c r="BC28" s="4135"/>
      <c r="BD28" s="4135"/>
      <c r="BE28" s="4135"/>
      <c r="BF28" s="4135"/>
      <c r="BG28" s="4135"/>
      <c r="BH28" s="4135"/>
      <c r="BI28" s="4197"/>
      <c r="BJ28" s="4197"/>
      <c r="BK28" s="3102"/>
      <c r="BL28" s="4135"/>
      <c r="BM28" s="4164"/>
      <c r="BN28" s="4176"/>
      <c r="BO28" s="4176"/>
      <c r="BP28" s="4176"/>
      <c r="BQ28" s="4176"/>
      <c r="BR28" s="3088"/>
    </row>
    <row r="29" spans="1:70" s="593" customFormat="1" ht="58.5" customHeight="1" x14ac:dyDescent="0.25">
      <c r="A29" s="4180"/>
      <c r="B29" s="4181"/>
      <c r="C29" s="3084"/>
      <c r="D29" s="4187"/>
      <c r="E29" s="4188"/>
      <c r="F29" s="4133"/>
      <c r="G29" s="2737"/>
      <c r="H29" s="2737"/>
      <c r="I29" s="2737"/>
      <c r="J29" s="4192">
        <v>70</v>
      </c>
      <c r="K29" s="4162" t="s">
        <v>495</v>
      </c>
      <c r="L29" s="4173" t="s">
        <v>496</v>
      </c>
      <c r="M29" s="4193">
        <v>490</v>
      </c>
      <c r="N29" s="4195">
        <v>550</v>
      </c>
      <c r="O29" s="4130"/>
      <c r="P29" s="4130"/>
      <c r="Q29" s="4128"/>
      <c r="R29" s="4171">
        <f>+(W29+W30)/S26</f>
        <v>6.4391500321957498E-3</v>
      </c>
      <c r="S29" s="4146"/>
      <c r="T29" s="4128"/>
      <c r="U29" s="4173"/>
      <c r="V29" s="51" t="s">
        <v>497</v>
      </c>
      <c r="W29" s="682">
        <v>10000000</v>
      </c>
      <c r="X29" s="668"/>
      <c r="Y29" s="668"/>
      <c r="Z29" s="683">
        <v>20</v>
      </c>
      <c r="AA29" s="684" t="s">
        <v>71</v>
      </c>
      <c r="AB29" s="4135"/>
      <c r="AC29" s="4135"/>
      <c r="AD29" s="4135"/>
      <c r="AE29" s="4135"/>
      <c r="AF29" s="4135"/>
      <c r="AG29" s="4135"/>
      <c r="AH29" s="4135"/>
      <c r="AI29" s="4135"/>
      <c r="AJ29" s="4135"/>
      <c r="AK29" s="4135"/>
      <c r="AL29" s="4135"/>
      <c r="AM29" s="4135"/>
      <c r="AN29" s="4135"/>
      <c r="AO29" s="4135"/>
      <c r="AP29" s="4135"/>
      <c r="AQ29" s="4135"/>
      <c r="AR29" s="4135"/>
      <c r="AS29" s="4135"/>
      <c r="AT29" s="4135"/>
      <c r="AU29" s="4135"/>
      <c r="AV29" s="4135"/>
      <c r="AW29" s="4135"/>
      <c r="AX29" s="4135"/>
      <c r="AY29" s="4135"/>
      <c r="AZ29" s="4135"/>
      <c r="BA29" s="4135"/>
      <c r="BB29" s="4135"/>
      <c r="BC29" s="4135"/>
      <c r="BD29" s="4135"/>
      <c r="BE29" s="4135"/>
      <c r="BF29" s="4135"/>
      <c r="BG29" s="4135"/>
      <c r="BH29" s="4135"/>
      <c r="BI29" s="4197"/>
      <c r="BJ29" s="4197"/>
      <c r="BK29" s="3102"/>
      <c r="BL29" s="4135"/>
      <c r="BM29" s="4164"/>
      <c r="BN29" s="4176"/>
      <c r="BO29" s="4176"/>
      <c r="BP29" s="4176"/>
      <c r="BQ29" s="4176"/>
      <c r="BR29" s="3088"/>
    </row>
    <row r="30" spans="1:70" s="593" customFormat="1" ht="89.25" customHeight="1" x14ac:dyDescent="0.25">
      <c r="A30" s="4180"/>
      <c r="B30" s="4181"/>
      <c r="C30" s="3084"/>
      <c r="D30" s="4187"/>
      <c r="E30" s="4188"/>
      <c r="F30" s="4133"/>
      <c r="G30" s="2737"/>
      <c r="H30" s="2737"/>
      <c r="I30" s="2737"/>
      <c r="J30" s="4170"/>
      <c r="K30" s="4128"/>
      <c r="L30" s="4173"/>
      <c r="M30" s="4194"/>
      <c r="N30" s="4195"/>
      <c r="O30" s="4130"/>
      <c r="P30" s="4130"/>
      <c r="Q30" s="4128"/>
      <c r="R30" s="4174"/>
      <c r="S30" s="4146"/>
      <c r="T30" s="4128"/>
      <c r="U30" s="4173"/>
      <c r="V30" s="26" t="s">
        <v>498</v>
      </c>
      <c r="W30" s="685"/>
      <c r="X30" s="686"/>
      <c r="Y30" s="686"/>
      <c r="Z30" s="683"/>
      <c r="AA30" s="687"/>
      <c r="AB30" s="4135"/>
      <c r="AC30" s="4135"/>
      <c r="AD30" s="4135"/>
      <c r="AE30" s="4135"/>
      <c r="AF30" s="4135"/>
      <c r="AG30" s="4135"/>
      <c r="AH30" s="4135"/>
      <c r="AI30" s="4135"/>
      <c r="AJ30" s="4135"/>
      <c r="AK30" s="4135"/>
      <c r="AL30" s="4135"/>
      <c r="AM30" s="4135"/>
      <c r="AN30" s="4135"/>
      <c r="AO30" s="4135"/>
      <c r="AP30" s="4135"/>
      <c r="AQ30" s="4135"/>
      <c r="AR30" s="4135"/>
      <c r="AS30" s="4135"/>
      <c r="AT30" s="4135"/>
      <c r="AU30" s="4135"/>
      <c r="AV30" s="4135"/>
      <c r="AW30" s="4135"/>
      <c r="AX30" s="4135"/>
      <c r="AY30" s="4135"/>
      <c r="AZ30" s="4135"/>
      <c r="BA30" s="4135"/>
      <c r="BB30" s="4135"/>
      <c r="BC30" s="4135"/>
      <c r="BD30" s="4135"/>
      <c r="BE30" s="4135"/>
      <c r="BF30" s="4135"/>
      <c r="BG30" s="4135"/>
      <c r="BH30" s="4135"/>
      <c r="BI30" s="4197"/>
      <c r="BJ30" s="4197"/>
      <c r="BK30" s="3102"/>
      <c r="BL30" s="4135"/>
      <c r="BM30" s="4164"/>
      <c r="BN30" s="4176"/>
      <c r="BO30" s="4176"/>
      <c r="BP30" s="4176"/>
      <c r="BQ30" s="4176"/>
      <c r="BR30" s="3088"/>
    </row>
    <row r="31" spans="1:70" s="593" customFormat="1" ht="95.25" customHeight="1" x14ac:dyDescent="0.25">
      <c r="A31" s="4180"/>
      <c r="B31" s="4181"/>
      <c r="C31" s="3084"/>
      <c r="D31" s="4187"/>
      <c r="E31" s="4188"/>
      <c r="F31" s="4133"/>
      <c r="G31" s="2737"/>
      <c r="H31" s="2737"/>
      <c r="I31" s="2737"/>
      <c r="J31" s="675">
        <v>71</v>
      </c>
      <c r="K31" s="676" t="s">
        <v>499</v>
      </c>
      <c r="L31" s="676" t="s">
        <v>500</v>
      </c>
      <c r="M31" s="684">
        <v>2570</v>
      </c>
      <c r="N31" s="688">
        <v>3024</v>
      </c>
      <c r="O31" s="4130"/>
      <c r="P31" s="4130"/>
      <c r="Q31" s="4128"/>
      <c r="R31" s="679">
        <f>+W31/S26</f>
        <v>0</v>
      </c>
      <c r="S31" s="4146"/>
      <c r="T31" s="4128"/>
      <c r="U31" s="4173"/>
      <c r="V31" s="51" t="s">
        <v>501</v>
      </c>
      <c r="W31" s="689">
        <v>0</v>
      </c>
      <c r="X31" s="690"/>
      <c r="Y31" s="690"/>
      <c r="Z31" s="683"/>
      <c r="AA31" s="687"/>
      <c r="AB31" s="4135"/>
      <c r="AC31" s="4135"/>
      <c r="AD31" s="4135"/>
      <c r="AE31" s="4135"/>
      <c r="AF31" s="4135"/>
      <c r="AG31" s="4135"/>
      <c r="AH31" s="4135"/>
      <c r="AI31" s="4135"/>
      <c r="AJ31" s="4135"/>
      <c r="AK31" s="4135"/>
      <c r="AL31" s="4135"/>
      <c r="AM31" s="4135"/>
      <c r="AN31" s="4135"/>
      <c r="AO31" s="4135"/>
      <c r="AP31" s="4135"/>
      <c r="AQ31" s="4135"/>
      <c r="AR31" s="4135">
        <v>0</v>
      </c>
      <c r="AS31" s="4135"/>
      <c r="AT31" s="4135"/>
      <c r="AU31" s="4135"/>
      <c r="AV31" s="4135"/>
      <c r="AW31" s="4135"/>
      <c r="AX31" s="4135"/>
      <c r="AY31" s="4135"/>
      <c r="AZ31" s="4135"/>
      <c r="BA31" s="4135"/>
      <c r="BB31" s="4135"/>
      <c r="BC31" s="4135"/>
      <c r="BD31" s="4135"/>
      <c r="BE31" s="4135"/>
      <c r="BF31" s="4135"/>
      <c r="BG31" s="4135"/>
      <c r="BH31" s="4135"/>
      <c r="BI31" s="4197"/>
      <c r="BJ31" s="4197"/>
      <c r="BK31" s="3102"/>
      <c r="BL31" s="4135"/>
      <c r="BM31" s="4164"/>
      <c r="BN31" s="4176"/>
      <c r="BO31" s="4176"/>
      <c r="BP31" s="4176"/>
      <c r="BQ31" s="4176"/>
      <c r="BR31" s="3088"/>
    </row>
    <row r="32" spans="1:70" s="593" customFormat="1" ht="124.5" customHeight="1" x14ac:dyDescent="0.25">
      <c r="A32" s="4180"/>
      <c r="B32" s="4181"/>
      <c r="C32" s="3084"/>
      <c r="D32" s="4187"/>
      <c r="E32" s="4188"/>
      <c r="F32" s="4133"/>
      <c r="G32" s="2737"/>
      <c r="H32" s="2737"/>
      <c r="I32" s="2737"/>
      <c r="J32" s="675">
        <v>72</v>
      </c>
      <c r="K32" s="676" t="s">
        <v>502</v>
      </c>
      <c r="L32" s="677" t="s">
        <v>503</v>
      </c>
      <c r="M32" s="683">
        <v>455</v>
      </c>
      <c r="N32" s="688">
        <v>199</v>
      </c>
      <c r="O32" s="4130"/>
      <c r="P32" s="4130"/>
      <c r="Q32" s="4128"/>
      <c r="R32" s="679">
        <f>+W32/S26</f>
        <v>3.2195750160978749E-3</v>
      </c>
      <c r="S32" s="4146"/>
      <c r="T32" s="4128"/>
      <c r="U32" s="4173"/>
      <c r="V32" s="51" t="s">
        <v>504</v>
      </c>
      <c r="W32" s="689">
        <v>5000000</v>
      </c>
      <c r="X32" s="690"/>
      <c r="Y32" s="690"/>
      <c r="Z32" s="683">
        <v>20</v>
      </c>
      <c r="AA32" s="684" t="s">
        <v>71</v>
      </c>
      <c r="AB32" s="4135"/>
      <c r="AC32" s="4135"/>
      <c r="AD32" s="4135"/>
      <c r="AE32" s="4135"/>
      <c r="AF32" s="4135"/>
      <c r="AG32" s="4135"/>
      <c r="AH32" s="4135"/>
      <c r="AI32" s="4135"/>
      <c r="AJ32" s="4135"/>
      <c r="AK32" s="4135"/>
      <c r="AL32" s="4135"/>
      <c r="AM32" s="4135"/>
      <c r="AN32" s="4135"/>
      <c r="AO32" s="4135"/>
      <c r="AP32" s="4135"/>
      <c r="AQ32" s="4135"/>
      <c r="AR32" s="4135"/>
      <c r="AS32" s="4135"/>
      <c r="AT32" s="4135"/>
      <c r="AU32" s="4135"/>
      <c r="AV32" s="4135"/>
      <c r="AW32" s="4135"/>
      <c r="AX32" s="4135"/>
      <c r="AY32" s="4135"/>
      <c r="AZ32" s="4135"/>
      <c r="BA32" s="4135"/>
      <c r="BB32" s="4135"/>
      <c r="BC32" s="4135"/>
      <c r="BD32" s="4135"/>
      <c r="BE32" s="4135"/>
      <c r="BF32" s="4135"/>
      <c r="BG32" s="4135"/>
      <c r="BH32" s="4135"/>
      <c r="BI32" s="4197"/>
      <c r="BJ32" s="4197"/>
      <c r="BK32" s="3102"/>
      <c r="BL32" s="4135"/>
      <c r="BM32" s="4164"/>
      <c r="BN32" s="4176"/>
      <c r="BO32" s="4176"/>
      <c r="BP32" s="4176"/>
      <c r="BQ32" s="4176"/>
      <c r="BR32" s="3088"/>
    </row>
    <row r="33" spans="1:71" s="593" customFormat="1" ht="129.75" customHeight="1" x14ac:dyDescent="0.25">
      <c r="A33" s="4180"/>
      <c r="B33" s="4181"/>
      <c r="C33" s="3084"/>
      <c r="D33" s="4187"/>
      <c r="E33" s="4188"/>
      <c r="F33" s="4133"/>
      <c r="G33" s="2737"/>
      <c r="H33" s="2737"/>
      <c r="I33" s="2737"/>
      <c r="J33" s="691">
        <v>73</v>
      </c>
      <c r="K33" s="692" t="s">
        <v>505</v>
      </c>
      <c r="L33" s="692" t="s">
        <v>506</v>
      </c>
      <c r="M33" s="693">
        <v>1</v>
      </c>
      <c r="N33" s="688">
        <v>0.25</v>
      </c>
      <c r="O33" s="4131"/>
      <c r="P33" s="4130"/>
      <c r="Q33" s="4128"/>
      <c r="R33" s="679">
        <f>W33/S26</f>
        <v>0.97102382485511918</v>
      </c>
      <c r="S33" s="4146"/>
      <c r="T33" s="4128"/>
      <c r="U33" s="4173"/>
      <c r="V33" s="694" t="s">
        <v>507</v>
      </c>
      <c r="W33" s="695">
        <v>1508000000</v>
      </c>
      <c r="X33" s="696">
        <v>15900000</v>
      </c>
      <c r="Y33" s="696">
        <v>6360000</v>
      </c>
      <c r="Z33" s="693">
        <v>25</v>
      </c>
      <c r="AA33" s="697" t="s">
        <v>508</v>
      </c>
      <c r="AB33" s="4136"/>
      <c r="AC33" s="4136"/>
      <c r="AD33" s="4136"/>
      <c r="AE33" s="4136"/>
      <c r="AF33" s="4136"/>
      <c r="AG33" s="4136"/>
      <c r="AH33" s="4136"/>
      <c r="AI33" s="4136"/>
      <c r="AJ33" s="4136"/>
      <c r="AK33" s="4136"/>
      <c r="AL33" s="4136"/>
      <c r="AM33" s="4136"/>
      <c r="AN33" s="4136"/>
      <c r="AO33" s="4136"/>
      <c r="AP33" s="4136"/>
      <c r="AQ33" s="4136"/>
      <c r="AR33" s="4136"/>
      <c r="AS33" s="4136"/>
      <c r="AT33" s="4136"/>
      <c r="AU33" s="4136"/>
      <c r="AV33" s="4136"/>
      <c r="AW33" s="4136"/>
      <c r="AX33" s="4136"/>
      <c r="AY33" s="4136"/>
      <c r="AZ33" s="4136"/>
      <c r="BA33" s="4136"/>
      <c r="BB33" s="4136"/>
      <c r="BC33" s="4136"/>
      <c r="BD33" s="4136"/>
      <c r="BE33" s="4136"/>
      <c r="BF33" s="4136"/>
      <c r="BG33" s="4136"/>
      <c r="BH33" s="4136"/>
      <c r="BI33" s="4198"/>
      <c r="BJ33" s="4198"/>
      <c r="BK33" s="3103"/>
      <c r="BL33" s="4136"/>
      <c r="BM33" s="4165"/>
      <c r="BN33" s="4177"/>
      <c r="BO33" s="4177"/>
      <c r="BP33" s="4177"/>
      <c r="BQ33" s="4177"/>
      <c r="BR33" s="2745"/>
    </row>
    <row r="34" spans="1:71" s="593" customFormat="1" ht="63.75" customHeight="1" x14ac:dyDescent="0.25">
      <c r="A34" s="4180"/>
      <c r="B34" s="4181"/>
      <c r="C34" s="3084"/>
      <c r="D34" s="4187"/>
      <c r="E34" s="4188"/>
      <c r="F34" s="4133"/>
      <c r="G34" s="2737"/>
      <c r="H34" s="2737"/>
      <c r="I34" s="2737"/>
      <c r="J34" s="2748">
        <v>74</v>
      </c>
      <c r="K34" s="4199" t="s">
        <v>509</v>
      </c>
      <c r="L34" s="2737" t="s">
        <v>510</v>
      </c>
      <c r="M34" s="4203">
        <v>2232</v>
      </c>
      <c r="N34" s="4203">
        <v>2232</v>
      </c>
      <c r="O34" s="698" t="s">
        <v>511</v>
      </c>
      <c r="P34" s="4204" t="s">
        <v>512</v>
      </c>
      <c r="Q34" s="4199" t="s">
        <v>513</v>
      </c>
      <c r="R34" s="4200">
        <v>1</v>
      </c>
      <c r="S34" s="4201">
        <f>+W34+W35+W36+W37+W38+W39+W40+W41</f>
        <v>148231459176.28998</v>
      </c>
      <c r="T34" s="4199" t="s">
        <v>514</v>
      </c>
      <c r="U34" s="4199" t="s">
        <v>515</v>
      </c>
      <c r="V34" s="4202" t="s">
        <v>516</v>
      </c>
      <c r="W34" s="699">
        <v>15381000000</v>
      </c>
      <c r="X34" s="700">
        <v>2749863646</v>
      </c>
      <c r="Y34" s="700">
        <v>2744443105</v>
      </c>
      <c r="Z34" s="701">
        <v>25</v>
      </c>
      <c r="AA34" s="701" t="s">
        <v>517</v>
      </c>
      <c r="AB34" s="4204">
        <v>20555</v>
      </c>
      <c r="AC34" s="4193">
        <v>2055</v>
      </c>
      <c r="AD34" s="4204">
        <v>21361</v>
      </c>
      <c r="AE34" s="4193">
        <v>21361</v>
      </c>
      <c r="AF34" s="4203">
        <v>30460</v>
      </c>
      <c r="AG34" s="4205">
        <v>30460</v>
      </c>
      <c r="AH34" s="4205">
        <v>9593</v>
      </c>
      <c r="AI34" s="4205">
        <v>9593</v>
      </c>
      <c r="AJ34" s="4205">
        <v>1762</v>
      </c>
      <c r="AK34" s="4205">
        <v>1762</v>
      </c>
      <c r="AL34" s="4205">
        <v>101</v>
      </c>
      <c r="AM34" s="4205">
        <v>101</v>
      </c>
      <c r="AN34" s="4205">
        <v>308</v>
      </c>
      <c r="AO34" s="4205">
        <v>308</v>
      </c>
      <c r="AP34" s="4212">
        <v>277</v>
      </c>
      <c r="AQ34" s="4205">
        <v>277</v>
      </c>
      <c r="AR34" s="4205">
        <v>0</v>
      </c>
      <c r="AS34" s="702"/>
      <c r="AT34" s="4205">
        <v>0</v>
      </c>
      <c r="AU34" s="702"/>
      <c r="AV34" s="4205">
        <v>0</v>
      </c>
      <c r="AW34" s="702"/>
      <c r="AX34" s="4205">
        <v>0</v>
      </c>
      <c r="AY34" s="702"/>
      <c r="AZ34" s="4209">
        <v>2907</v>
      </c>
      <c r="BA34" s="4209">
        <v>2907</v>
      </c>
      <c r="BB34" s="4209">
        <v>2589</v>
      </c>
      <c r="BC34" s="4209">
        <v>2589</v>
      </c>
      <c r="BD34" s="4209">
        <v>2954</v>
      </c>
      <c r="BE34" s="4209">
        <v>2954</v>
      </c>
      <c r="BF34" s="4230">
        <v>41916</v>
      </c>
      <c r="BG34" s="4230">
        <v>41916</v>
      </c>
      <c r="BH34" s="4230"/>
      <c r="BI34" s="4224">
        <f>SUM(X34:X41)</f>
        <v>32190162432</v>
      </c>
      <c r="BJ34" s="4224">
        <f>SUM(Y34:Y41)</f>
        <v>31604110827</v>
      </c>
      <c r="BK34" s="4227">
        <f>+BJ34/BI34</f>
        <v>0.98179407742231795</v>
      </c>
      <c r="BL34" s="4230" t="s">
        <v>518</v>
      </c>
      <c r="BM34" s="4218" t="s">
        <v>519</v>
      </c>
      <c r="BN34" s="4215">
        <v>43466</v>
      </c>
      <c r="BO34" s="4215">
        <v>43466</v>
      </c>
      <c r="BP34" s="4215">
        <v>43830</v>
      </c>
      <c r="BQ34" s="4215">
        <v>43830</v>
      </c>
      <c r="BR34" s="4218" t="s">
        <v>491</v>
      </c>
    </row>
    <row r="35" spans="1:71" s="593" customFormat="1" ht="63.75" customHeight="1" x14ac:dyDescent="0.25">
      <c r="A35" s="4180"/>
      <c r="B35" s="4181"/>
      <c r="C35" s="3084"/>
      <c r="D35" s="4187"/>
      <c r="E35" s="4188"/>
      <c r="F35" s="4133"/>
      <c r="G35" s="2737"/>
      <c r="H35" s="2737"/>
      <c r="I35" s="2737"/>
      <c r="J35" s="2748"/>
      <c r="K35" s="4199"/>
      <c r="L35" s="2737"/>
      <c r="M35" s="4203"/>
      <c r="N35" s="4203"/>
      <c r="O35" s="698" t="s">
        <v>520</v>
      </c>
      <c r="P35" s="4204"/>
      <c r="Q35" s="4199"/>
      <c r="R35" s="4200"/>
      <c r="S35" s="4201"/>
      <c r="T35" s="4199"/>
      <c r="U35" s="4199"/>
      <c r="V35" s="4168"/>
      <c r="W35" s="699">
        <v>91137968000</v>
      </c>
      <c r="X35" s="700">
        <v>17899611858</v>
      </c>
      <c r="Y35" s="700">
        <v>17318980764</v>
      </c>
      <c r="Z35" s="703">
        <v>25</v>
      </c>
      <c r="AA35" s="703" t="s">
        <v>517</v>
      </c>
      <c r="AB35" s="4204"/>
      <c r="AC35" s="4194"/>
      <c r="AD35" s="4204"/>
      <c r="AE35" s="4194"/>
      <c r="AF35" s="4203"/>
      <c r="AG35" s="4206"/>
      <c r="AH35" s="4206"/>
      <c r="AI35" s="4206"/>
      <c r="AJ35" s="4206"/>
      <c r="AK35" s="4206"/>
      <c r="AL35" s="4206"/>
      <c r="AM35" s="4206"/>
      <c r="AN35" s="4206"/>
      <c r="AO35" s="4206"/>
      <c r="AP35" s="4213"/>
      <c r="AQ35" s="4206"/>
      <c r="AR35" s="4206"/>
      <c r="AS35" s="704"/>
      <c r="AT35" s="4206"/>
      <c r="AU35" s="704"/>
      <c r="AV35" s="4206"/>
      <c r="AW35" s="704"/>
      <c r="AX35" s="4206"/>
      <c r="AY35" s="704"/>
      <c r="AZ35" s="4210"/>
      <c r="BA35" s="4210"/>
      <c r="BB35" s="4210"/>
      <c r="BC35" s="4210"/>
      <c r="BD35" s="4210"/>
      <c r="BE35" s="4210"/>
      <c r="BF35" s="4225"/>
      <c r="BG35" s="4225"/>
      <c r="BH35" s="4225"/>
      <c r="BI35" s="4225"/>
      <c r="BJ35" s="4225"/>
      <c r="BK35" s="4228"/>
      <c r="BL35" s="4225"/>
      <c r="BM35" s="4225"/>
      <c r="BN35" s="4216"/>
      <c r="BO35" s="4216"/>
      <c r="BP35" s="4216"/>
      <c r="BQ35" s="4216"/>
      <c r="BR35" s="4219"/>
    </row>
    <row r="36" spans="1:71" s="593" customFormat="1" ht="54.75" customHeight="1" x14ac:dyDescent="0.25">
      <c r="A36" s="4180"/>
      <c r="B36" s="4181"/>
      <c r="C36" s="3084"/>
      <c r="D36" s="4187"/>
      <c r="E36" s="4188"/>
      <c r="F36" s="4133"/>
      <c r="G36" s="2737"/>
      <c r="H36" s="2737"/>
      <c r="I36" s="2737"/>
      <c r="J36" s="2748"/>
      <c r="K36" s="4199"/>
      <c r="L36" s="2737"/>
      <c r="M36" s="4203"/>
      <c r="N36" s="4203"/>
      <c r="O36" s="698" t="s">
        <v>521</v>
      </c>
      <c r="P36" s="4204"/>
      <c r="Q36" s="4199"/>
      <c r="R36" s="4200"/>
      <c r="S36" s="4201"/>
      <c r="T36" s="4199"/>
      <c r="U36" s="4199"/>
      <c r="V36" s="4168"/>
      <c r="W36" s="699">
        <v>917000000</v>
      </c>
      <c r="X36" s="700"/>
      <c r="Y36" s="700"/>
      <c r="Z36" s="703">
        <v>146</v>
      </c>
      <c r="AA36" s="703" t="s">
        <v>522</v>
      </c>
      <c r="AB36" s="4204"/>
      <c r="AC36" s="4194"/>
      <c r="AD36" s="4204"/>
      <c r="AE36" s="4194"/>
      <c r="AF36" s="4203"/>
      <c r="AG36" s="4206"/>
      <c r="AH36" s="4206"/>
      <c r="AI36" s="4206"/>
      <c r="AJ36" s="4206"/>
      <c r="AK36" s="4206"/>
      <c r="AL36" s="4206"/>
      <c r="AM36" s="4206"/>
      <c r="AN36" s="4206"/>
      <c r="AO36" s="4206"/>
      <c r="AP36" s="4213"/>
      <c r="AQ36" s="4206"/>
      <c r="AR36" s="4206"/>
      <c r="AS36" s="704"/>
      <c r="AT36" s="4206"/>
      <c r="AU36" s="704"/>
      <c r="AV36" s="4206"/>
      <c r="AW36" s="704"/>
      <c r="AX36" s="4206"/>
      <c r="AY36" s="704"/>
      <c r="AZ36" s="4210"/>
      <c r="BA36" s="4210"/>
      <c r="BB36" s="4210"/>
      <c r="BC36" s="4210"/>
      <c r="BD36" s="4210"/>
      <c r="BE36" s="4210"/>
      <c r="BF36" s="4225"/>
      <c r="BG36" s="4225"/>
      <c r="BH36" s="4225"/>
      <c r="BI36" s="4225"/>
      <c r="BJ36" s="4225"/>
      <c r="BK36" s="4228"/>
      <c r="BL36" s="4225"/>
      <c r="BM36" s="4225"/>
      <c r="BN36" s="4216"/>
      <c r="BO36" s="4216"/>
      <c r="BP36" s="4216"/>
      <c r="BQ36" s="4216"/>
      <c r="BR36" s="4219"/>
    </row>
    <row r="37" spans="1:71" s="593" customFormat="1" ht="54.75" customHeight="1" x14ac:dyDescent="0.25">
      <c r="A37" s="4180"/>
      <c r="B37" s="4181"/>
      <c r="C37" s="3084"/>
      <c r="D37" s="4187"/>
      <c r="E37" s="4188"/>
      <c r="F37" s="4133"/>
      <c r="G37" s="2737"/>
      <c r="H37" s="2737"/>
      <c r="I37" s="2737"/>
      <c r="J37" s="2748"/>
      <c r="K37" s="4199"/>
      <c r="L37" s="2737"/>
      <c r="M37" s="4203"/>
      <c r="N37" s="4203"/>
      <c r="O37" s="698" t="s">
        <v>523</v>
      </c>
      <c r="P37" s="4204"/>
      <c r="Q37" s="4199"/>
      <c r="R37" s="4200"/>
      <c r="S37" s="4201"/>
      <c r="T37" s="4199"/>
      <c r="U37" s="4199"/>
      <c r="V37" s="4168"/>
      <c r="W37" s="699">
        <v>18658000000</v>
      </c>
      <c r="X37" s="705">
        <v>4097159906</v>
      </c>
      <c r="Y37" s="705">
        <v>4097159906</v>
      </c>
      <c r="Z37" s="703">
        <v>26</v>
      </c>
      <c r="AA37" s="701" t="s">
        <v>522</v>
      </c>
      <c r="AB37" s="4204"/>
      <c r="AC37" s="4194"/>
      <c r="AD37" s="4204"/>
      <c r="AE37" s="4194"/>
      <c r="AF37" s="4203"/>
      <c r="AG37" s="4206"/>
      <c r="AH37" s="4206"/>
      <c r="AI37" s="4206"/>
      <c r="AJ37" s="4206"/>
      <c r="AK37" s="4206"/>
      <c r="AL37" s="4206"/>
      <c r="AM37" s="4206"/>
      <c r="AN37" s="4206"/>
      <c r="AO37" s="4206"/>
      <c r="AP37" s="4213"/>
      <c r="AQ37" s="4206"/>
      <c r="AR37" s="4206"/>
      <c r="AS37" s="704"/>
      <c r="AT37" s="4206"/>
      <c r="AU37" s="704"/>
      <c r="AV37" s="4206"/>
      <c r="AW37" s="704"/>
      <c r="AX37" s="4206"/>
      <c r="AY37" s="704"/>
      <c r="AZ37" s="4210"/>
      <c r="BA37" s="4210"/>
      <c r="BB37" s="4210"/>
      <c r="BC37" s="4210"/>
      <c r="BD37" s="4210"/>
      <c r="BE37" s="4210"/>
      <c r="BF37" s="4225"/>
      <c r="BG37" s="4225"/>
      <c r="BH37" s="4225"/>
      <c r="BI37" s="4225"/>
      <c r="BJ37" s="4225"/>
      <c r="BK37" s="4228"/>
      <c r="BL37" s="4225"/>
      <c r="BM37" s="4225"/>
      <c r="BN37" s="4216"/>
      <c r="BO37" s="4216"/>
      <c r="BP37" s="4216"/>
      <c r="BQ37" s="4216"/>
      <c r="BR37" s="4219"/>
    </row>
    <row r="38" spans="1:71" s="593" customFormat="1" ht="54.75" customHeight="1" x14ac:dyDescent="0.25">
      <c r="A38" s="4180"/>
      <c r="B38" s="4181"/>
      <c r="C38" s="3084"/>
      <c r="D38" s="4187"/>
      <c r="E38" s="4188"/>
      <c r="F38" s="4133"/>
      <c r="G38" s="2737"/>
      <c r="H38" s="2737"/>
      <c r="I38" s="2737"/>
      <c r="J38" s="2748"/>
      <c r="K38" s="4199"/>
      <c r="L38" s="2737"/>
      <c r="M38" s="4203"/>
      <c r="N38" s="4203"/>
      <c r="O38" s="698" t="s">
        <v>524</v>
      </c>
      <c r="P38" s="4204"/>
      <c r="Q38" s="4199"/>
      <c r="R38" s="4200"/>
      <c r="S38" s="4201"/>
      <c r="T38" s="4199"/>
      <c r="U38" s="4199"/>
      <c r="V38" s="4168"/>
      <c r="W38" s="706">
        <v>742459176.28999996</v>
      </c>
      <c r="X38" s="707">
        <v>513219422</v>
      </c>
      <c r="Y38" s="707">
        <v>513219422</v>
      </c>
      <c r="Z38" s="703">
        <v>9</v>
      </c>
      <c r="AA38" s="701" t="s">
        <v>525</v>
      </c>
      <c r="AB38" s="4204"/>
      <c r="AC38" s="4194"/>
      <c r="AD38" s="4204"/>
      <c r="AE38" s="4194"/>
      <c r="AF38" s="4203"/>
      <c r="AG38" s="4206"/>
      <c r="AH38" s="4206"/>
      <c r="AI38" s="4206"/>
      <c r="AJ38" s="4206"/>
      <c r="AK38" s="4206"/>
      <c r="AL38" s="4206"/>
      <c r="AM38" s="4206"/>
      <c r="AN38" s="4206"/>
      <c r="AO38" s="4206"/>
      <c r="AP38" s="4213"/>
      <c r="AQ38" s="4206"/>
      <c r="AR38" s="4206"/>
      <c r="AS38" s="704"/>
      <c r="AT38" s="4206"/>
      <c r="AU38" s="704"/>
      <c r="AV38" s="4206"/>
      <c r="AW38" s="704"/>
      <c r="AX38" s="4206"/>
      <c r="AY38" s="704"/>
      <c r="AZ38" s="4210"/>
      <c r="BA38" s="4210"/>
      <c r="BB38" s="4210"/>
      <c r="BC38" s="4210"/>
      <c r="BD38" s="4210"/>
      <c r="BE38" s="4210"/>
      <c r="BF38" s="4225"/>
      <c r="BG38" s="4225"/>
      <c r="BH38" s="4225"/>
      <c r="BI38" s="4225"/>
      <c r="BJ38" s="4225"/>
      <c r="BK38" s="4228"/>
      <c r="BL38" s="4225"/>
      <c r="BM38" s="4225"/>
      <c r="BN38" s="4216"/>
      <c r="BO38" s="4216"/>
      <c r="BP38" s="4216"/>
      <c r="BQ38" s="4216"/>
      <c r="BR38" s="4219"/>
    </row>
    <row r="39" spans="1:71" s="593" customFormat="1" ht="47.25" customHeight="1" x14ac:dyDescent="0.25">
      <c r="A39" s="4180"/>
      <c r="B39" s="4181"/>
      <c r="C39" s="3084"/>
      <c r="D39" s="4187"/>
      <c r="E39" s="4188"/>
      <c r="F39" s="4133"/>
      <c r="G39" s="2737"/>
      <c r="H39" s="2737"/>
      <c r="I39" s="2737"/>
      <c r="J39" s="2748"/>
      <c r="K39" s="4199"/>
      <c r="L39" s="2737"/>
      <c r="M39" s="4203"/>
      <c r="N39" s="4203"/>
      <c r="O39" s="698" t="s">
        <v>526</v>
      </c>
      <c r="P39" s="4204"/>
      <c r="Q39" s="4199"/>
      <c r="R39" s="4200"/>
      <c r="S39" s="4201"/>
      <c r="T39" s="4199"/>
      <c r="U39" s="4199"/>
      <c r="V39" s="4168"/>
      <c r="W39" s="708">
        <v>13892032000</v>
      </c>
      <c r="X39" s="707">
        <v>2387997960</v>
      </c>
      <c r="Y39" s="707">
        <v>2387997960</v>
      </c>
      <c r="Z39" s="703">
        <v>25</v>
      </c>
      <c r="AA39" s="701" t="s">
        <v>517</v>
      </c>
      <c r="AB39" s="4204"/>
      <c r="AC39" s="4194"/>
      <c r="AD39" s="4204"/>
      <c r="AE39" s="4194"/>
      <c r="AF39" s="4203"/>
      <c r="AG39" s="4206"/>
      <c r="AH39" s="4206"/>
      <c r="AI39" s="4206"/>
      <c r="AJ39" s="4206"/>
      <c r="AK39" s="4206"/>
      <c r="AL39" s="4206"/>
      <c r="AM39" s="4206"/>
      <c r="AN39" s="4206"/>
      <c r="AO39" s="4206"/>
      <c r="AP39" s="4213"/>
      <c r="AQ39" s="4206"/>
      <c r="AR39" s="4206"/>
      <c r="AS39" s="704"/>
      <c r="AT39" s="4206"/>
      <c r="AU39" s="704"/>
      <c r="AV39" s="4206"/>
      <c r="AW39" s="704"/>
      <c r="AX39" s="4206"/>
      <c r="AY39" s="704"/>
      <c r="AZ39" s="4210"/>
      <c r="BA39" s="4210"/>
      <c r="BB39" s="4210"/>
      <c r="BC39" s="4210"/>
      <c r="BD39" s="4210"/>
      <c r="BE39" s="4210"/>
      <c r="BF39" s="4225"/>
      <c r="BG39" s="4225"/>
      <c r="BH39" s="4225"/>
      <c r="BI39" s="4225"/>
      <c r="BJ39" s="4225"/>
      <c r="BK39" s="4228"/>
      <c r="BL39" s="4225"/>
      <c r="BM39" s="4225"/>
      <c r="BN39" s="4216"/>
      <c r="BO39" s="4216"/>
      <c r="BP39" s="4216"/>
      <c r="BQ39" s="4216"/>
      <c r="BR39" s="4219"/>
    </row>
    <row r="40" spans="1:71" s="593" customFormat="1" ht="47.25" customHeight="1" x14ac:dyDescent="0.25">
      <c r="A40" s="4180"/>
      <c r="B40" s="4181"/>
      <c r="C40" s="3084"/>
      <c r="D40" s="4187"/>
      <c r="E40" s="4188"/>
      <c r="F40" s="4133"/>
      <c r="G40" s="2737"/>
      <c r="H40" s="2737"/>
      <c r="I40" s="2737"/>
      <c r="J40" s="2748"/>
      <c r="K40" s="4199"/>
      <c r="L40" s="2737"/>
      <c r="M40" s="4203"/>
      <c r="N40" s="4203"/>
      <c r="O40" s="698" t="s">
        <v>527</v>
      </c>
      <c r="P40" s="4204"/>
      <c r="Q40" s="4199"/>
      <c r="R40" s="4200"/>
      <c r="S40" s="4201"/>
      <c r="T40" s="4199"/>
      <c r="U40" s="4199"/>
      <c r="V40" s="4168"/>
      <c r="W40" s="709">
        <v>3503000000</v>
      </c>
      <c r="X40" s="710">
        <v>570674997</v>
      </c>
      <c r="Y40" s="710">
        <v>570674997</v>
      </c>
      <c r="Z40" s="701">
        <v>26</v>
      </c>
      <c r="AA40" s="711" t="s">
        <v>522</v>
      </c>
      <c r="AB40" s="4204"/>
      <c r="AC40" s="4194"/>
      <c r="AD40" s="4204"/>
      <c r="AE40" s="4194"/>
      <c r="AF40" s="4203"/>
      <c r="AG40" s="4206"/>
      <c r="AH40" s="4206"/>
      <c r="AI40" s="4206"/>
      <c r="AJ40" s="4206"/>
      <c r="AK40" s="4206"/>
      <c r="AL40" s="4206"/>
      <c r="AM40" s="4206"/>
      <c r="AN40" s="4206"/>
      <c r="AO40" s="4206"/>
      <c r="AP40" s="4213"/>
      <c r="AQ40" s="4206"/>
      <c r="AR40" s="4206"/>
      <c r="AS40" s="704"/>
      <c r="AT40" s="4206"/>
      <c r="AU40" s="704"/>
      <c r="AV40" s="4206"/>
      <c r="AW40" s="704"/>
      <c r="AX40" s="4206"/>
      <c r="AY40" s="704"/>
      <c r="AZ40" s="4210"/>
      <c r="BA40" s="4210"/>
      <c r="BB40" s="4210"/>
      <c r="BC40" s="4210"/>
      <c r="BD40" s="4210"/>
      <c r="BE40" s="4210"/>
      <c r="BF40" s="4225"/>
      <c r="BG40" s="4225"/>
      <c r="BH40" s="4225"/>
      <c r="BI40" s="4225"/>
      <c r="BJ40" s="4225"/>
      <c r="BK40" s="4228"/>
      <c r="BL40" s="4225"/>
      <c r="BM40" s="4225"/>
      <c r="BN40" s="4216"/>
      <c r="BO40" s="4216"/>
      <c r="BP40" s="4216"/>
      <c r="BQ40" s="4216"/>
      <c r="BR40" s="4219"/>
    </row>
    <row r="41" spans="1:71" s="593" customFormat="1" ht="47.25" customHeight="1" x14ac:dyDescent="0.25">
      <c r="A41" s="4182"/>
      <c r="B41" s="4183"/>
      <c r="C41" s="3085"/>
      <c r="D41" s="4189"/>
      <c r="E41" s="4190"/>
      <c r="F41" s="4191"/>
      <c r="G41" s="2737"/>
      <c r="H41" s="2737"/>
      <c r="I41" s="2737"/>
      <c r="J41" s="2748"/>
      <c r="K41" s="4199"/>
      <c r="L41" s="2737"/>
      <c r="M41" s="4203"/>
      <c r="N41" s="4203"/>
      <c r="O41" s="712" t="s">
        <v>528</v>
      </c>
      <c r="P41" s="4204"/>
      <c r="Q41" s="4199"/>
      <c r="R41" s="4200"/>
      <c r="S41" s="4201"/>
      <c r="T41" s="4199"/>
      <c r="U41" s="4199"/>
      <c r="V41" s="4169"/>
      <c r="W41" s="709">
        <v>4000000000</v>
      </c>
      <c r="X41" s="710">
        <v>3971634643</v>
      </c>
      <c r="Y41" s="710">
        <v>3971634673</v>
      </c>
      <c r="Z41" s="713">
        <v>88</v>
      </c>
      <c r="AA41" s="711" t="s">
        <v>529</v>
      </c>
      <c r="AB41" s="4204"/>
      <c r="AC41" s="4208"/>
      <c r="AD41" s="4204"/>
      <c r="AE41" s="4208"/>
      <c r="AF41" s="4203"/>
      <c r="AG41" s="4207"/>
      <c r="AH41" s="4207"/>
      <c r="AI41" s="4207"/>
      <c r="AJ41" s="4207"/>
      <c r="AK41" s="4207"/>
      <c r="AL41" s="4207"/>
      <c r="AM41" s="4207"/>
      <c r="AN41" s="4207"/>
      <c r="AO41" s="4207"/>
      <c r="AP41" s="4214"/>
      <c r="AQ41" s="4207"/>
      <c r="AR41" s="4207"/>
      <c r="AS41" s="714"/>
      <c r="AT41" s="4207"/>
      <c r="AU41" s="714"/>
      <c r="AV41" s="4207"/>
      <c r="AW41" s="714"/>
      <c r="AX41" s="4207"/>
      <c r="AY41" s="714"/>
      <c r="AZ41" s="4211"/>
      <c r="BA41" s="4211"/>
      <c r="BB41" s="4211"/>
      <c r="BC41" s="4211"/>
      <c r="BD41" s="4211"/>
      <c r="BE41" s="4211"/>
      <c r="BF41" s="4226"/>
      <c r="BG41" s="4226"/>
      <c r="BH41" s="4226"/>
      <c r="BI41" s="4226"/>
      <c r="BJ41" s="4226"/>
      <c r="BK41" s="4229"/>
      <c r="BL41" s="4226"/>
      <c r="BM41" s="4226"/>
      <c r="BN41" s="4217"/>
      <c r="BO41" s="4217"/>
      <c r="BP41" s="4217"/>
      <c r="BQ41" s="4217"/>
      <c r="BR41" s="4220"/>
    </row>
    <row r="42" spans="1:71" s="593" customFormat="1" ht="15.75" x14ac:dyDescent="0.25">
      <c r="A42" s="648"/>
      <c r="B42" s="649"/>
      <c r="C42" s="650"/>
      <c r="D42" s="715">
        <v>6</v>
      </c>
      <c r="E42" s="716" t="s">
        <v>530</v>
      </c>
      <c r="F42" s="716"/>
      <c r="G42" s="716"/>
      <c r="H42" s="716"/>
      <c r="I42" s="716"/>
      <c r="J42" s="716"/>
      <c r="K42" s="717"/>
      <c r="L42" s="599"/>
      <c r="M42" s="718"/>
      <c r="N42" s="718"/>
      <c r="O42" s="600"/>
      <c r="P42" s="600"/>
      <c r="Q42" s="599"/>
      <c r="R42" s="719"/>
      <c r="S42" s="720"/>
      <c r="T42" s="599"/>
      <c r="U42" s="599"/>
      <c r="V42" s="599"/>
      <c r="W42" s="721"/>
      <c r="X42" s="721"/>
      <c r="Y42" s="721"/>
      <c r="Z42" s="722"/>
      <c r="AA42" s="723"/>
      <c r="AB42" s="600"/>
      <c r="AC42" s="600"/>
      <c r="AD42" s="600"/>
      <c r="AE42" s="600"/>
      <c r="AF42" s="718"/>
      <c r="AG42" s="718"/>
      <c r="AH42" s="718"/>
      <c r="AI42" s="718"/>
      <c r="AJ42" s="718"/>
      <c r="AK42" s="718"/>
      <c r="AL42" s="718"/>
      <c r="AM42" s="718"/>
      <c r="AN42" s="718"/>
      <c r="AO42" s="718"/>
      <c r="AP42" s="718"/>
      <c r="AQ42" s="718"/>
      <c r="AR42" s="718"/>
      <c r="AS42" s="718"/>
      <c r="AT42" s="724"/>
      <c r="AU42" s="724"/>
      <c r="AV42" s="724"/>
      <c r="AW42" s="724"/>
      <c r="AX42" s="604"/>
      <c r="AY42" s="604"/>
      <c r="AZ42" s="604"/>
      <c r="BA42" s="604"/>
      <c r="BB42" s="604"/>
      <c r="BC42" s="604"/>
      <c r="BD42" s="604"/>
      <c r="BE42" s="604"/>
      <c r="BF42" s="604"/>
      <c r="BG42" s="604"/>
      <c r="BH42" s="604"/>
      <c r="BI42" s="604"/>
      <c r="BJ42" s="604"/>
      <c r="BK42" s="604"/>
      <c r="BL42" s="604"/>
      <c r="BM42" s="604"/>
      <c r="BN42" s="604"/>
      <c r="BO42" s="604"/>
      <c r="BP42" s="604"/>
      <c r="BQ42" s="604"/>
      <c r="BR42" s="725"/>
      <c r="BS42" s="726"/>
    </row>
    <row r="43" spans="1:71" s="593" customFormat="1" ht="15.75" x14ac:dyDescent="0.25">
      <c r="A43" s="648"/>
      <c r="B43" s="727"/>
      <c r="C43" s="727"/>
      <c r="D43" s="728"/>
      <c r="E43" s="729"/>
      <c r="F43" s="730"/>
      <c r="G43" s="731">
        <v>19</v>
      </c>
      <c r="H43" s="612" t="s">
        <v>531</v>
      </c>
      <c r="I43" s="612"/>
      <c r="J43" s="612"/>
      <c r="K43" s="613"/>
      <c r="L43" s="613"/>
      <c r="M43" s="653"/>
      <c r="N43" s="653"/>
      <c r="O43" s="732"/>
      <c r="P43" s="653"/>
      <c r="Q43" s="613"/>
      <c r="R43" s="653"/>
      <c r="S43" s="656"/>
      <c r="T43" s="613"/>
      <c r="U43" s="613"/>
      <c r="V43" s="613"/>
      <c r="W43" s="733"/>
      <c r="X43" s="733"/>
      <c r="Y43" s="733"/>
      <c r="Z43" s="732"/>
      <c r="AA43" s="653"/>
      <c r="AB43" s="653"/>
      <c r="AC43" s="653"/>
      <c r="AD43" s="653"/>
      <c r="AE43" s="653"/>
      <c r="AF43" s="653"/>
      <c r="AG43" s="653"/>
      <c r="AH43" s="653"/>
      <c r="AI43" s="653"/>
      <c r="AJ43" s="653"/>
      <c r="AK43" s="653"/>
      <c r="AL43" s="653"/>
      <c r="AM43" s="653"/>
      <c r="AN43" s="653"/>
      <c r="AO43" s="653"/>
      <c r="AP43" s="653"/>
      <c r="AQ43" s="653"/>
      <c r="AR43" s="653"/>
      <c r="AS43" s="653"/>
      <c r="AT43" s="653"/>
      <c r="AU43" s="653"/>
      <c r="AV43" s="653"/>
      <c r="AW43" s="653"/>
      <c r="AX43" s="623"/>
      <c r="AY43" s="623"/>
      <c r="AZ43" s="623"/>
      <c r="BA43" s="623"/>
      <c r="BB43" s="623"/>
      <c r="BC43" s="623"/>
      <c r="BD43" s="623"/>
      <c r="BE43" s="623"/>
      <c r="BF43" s="623"/>
      <c r="BG43" s="623"/>
      <c r="BH43" s="623"/>
      <c r="BI43" s="623"/>
      <c r="BJ43" s="623"/>
      <c r="BK43" s="623"/>
      <c r="BL43" s="623"/>
      <c r="BM43" s="623"/>
      <c r="BN43" s="623"/>
      <c r="BO43" s="623"/>
      <c r="BP43" s="623"/>
      <c r="BQ43" s="623"/>
      <c r="BR43" s="659"/>
      <c r="BS43" s="726"/>
    </row>
    <row r="44" spans="1:71" s="593" customFormat="1" ht="82.5" customHeight="1" x14ac:dyDescent="0.25">
      <c r="A44" s="734"/>
      <c r="B44" s="735"/>
      <c r="C44" s="735"/>
      <c r="D44" s="736"/>
      <c r="E44" s="727"/>
      <c r="F44" s="737"/>
      <c r="G44" s="735"/>
      <c r="H44" s="735"/>
      <c r="I44" s="735"/>
      <c r="J44" s="738">
        <v>75</v>
      </c>
      <c r="K44" s="677" t="s">
        <v>532</v>
      </c>
      <c r="L44" s="677" t="s">
        <v>533</v>
      </c>
      <c r="M44" s="739">
        <v>36</v>
      </c>
      <c r="N44" s="58">
        <v>19</v>
      </c>
      <c r="O44" s="740"/>
      <c r="P44" s="4130" t="s">
        <v>534</v>
      </c>
      <c r="Q44" s="4128" t="s">
        <v>535</v>
      </c>
      <c r="R44" s="741">
        <v>0</v>
      </c>
      <c r="S44" s="4221">
        <f>SUM(W44:W52)</f>
        <v>28355000</v>
      </c>
      <c r="T44" s="4128" t="s">
        <v>536</v>
      </c>
      <c r="U44" s="677" t="s">
        <v>537</v>
      </c>
      <c r="V44" s="742" t="s">
        <v>538</v>
      </c>
      <c r="W44" s="743"/>
      <c r="X44" s="743"/>
      <c r="Y44" s="743"/>
      <c r="Z44" s="744"/>
      <c r="AA44" s="745"/>
      <c r="AB44" s="4194">
        <v>20555</v>
      </c>
      <c r="AC44" s="4193"/>
      <c r="AD44" s="4194">
        <v>21361</v>
      </c>
      <c r="AE44" s="4193"/>
      <c r="AF44" s="4194">
        <v>30460</v>
      </c>
      <c r="AG44" s="4193"/>
      <c r="AH44" s="4194">
        <v>9593</v>
      </c>
      <c r="AI44" s="4193"/>
      <c r="AJ44" s="4194">
        <v>1762</v>
      </c>
      <c r="AK44" s="4193"/>
      <c r="AL44" s="4194">
        <v>101</v>
      </c>
      <c r="AM44" s="4193"/>
      <c r="AN44" s="4194">
        <v>308</v>
      </c>
      <c r="AO44" s="4193"/>
      <c r="AP44" s="4194">
        <v>277</v>
      </c>
      <c r="AQ44" s="4193"/>
      <c r="AR44" s="4194">
        <v>0</v>
      </c>
      <c r="AS44" s="4193"/>
      <c r="AT44" s="4194">
        <v>0</v>
      </c>
      <c r="AU44" s="4193"/>
      <c r="AV44" s="4194">
        <v>0</v>
      </c>
      <c r="AW44" s="4193"/>
      <c r="AX44" s="4194">
        <v>0</v>
      </c>
      <c r="AY44" s="4193"/>
      <c r="AZ44" s="4194">
        <v>2907</v>
      </c>
      <c r="BA44" s="4193"/>
      <c r="BB44" s="4194">
        <v>2589</v>
      </c>
      <c r="BC44" s="4193"/>
      <c r="BD44" s="4194">
        <v>2954</v>
      </c>
      <c r="BE44" s="4193"/>
      <c r="BF44" s="4194">
        <v>41916</v>
      </c>
      <c r="BG44" s="4193"/>
      <c r="BH44" s="4193">
        <v>1</v>
      </c>
      <c r="BI44" s="4237">
        <f>SUM(X44:X52)</f>
        <v>9924250</v>
      </c>
      <c r="BJ44" s="4237">
        <f>SUM(Y44:Y52)</f>
        <v>2835500</v>
      </c>
      <c r="BK44" s="4240">
        <f>+BJ44/BI44</f>
        <v>0.2857142857142857</v>
      </c>
      <c r="BL44" s="4193" t="s">
        <v>71</v>
      </c>
      <c r="BM44" s="4132" t="s">
        <v>539</v>
      </c>
      <c r="BN44" s="4231">
        <v>43497</v>
      </c>
      <c r="BO44" s="4231">
        <v>43497</v>
      </c>
      <c r="BP44" s="4231">
        <v>43631</v>
      </c>
      <c r="BQ44" s="4231">
        <v>43631</v>
      </c>
      <c r="BR44" s="4130" t="s">
        <v>465</v>
      </c>
      <c r="BS44" s="726"/>
    </row>
    <row r="45" spans="1:71" s="593" customFormat="1" ht="54" customHeight="1" x14ac:dyDescent="0.25">
      <c r="A45" s="734"/>
      <c r="B45" s="735"/>
      <c r="C45" s="735"/>
      <c r="D45" s="736"/>
      <c r="E45" s="727"/>
      <c r="F45" s="737"/>
      <c r="G45" s="735"/>
      <c r="H45" s="735"/>
      <c r="I45" s="735"/>
      <c r="J45" s="4134">
        <v>76</v>
      </c>
      <c r="K45" s="4132" t="s">
        <v>540</v>
      </c>
      <c r="L45" s="4234" t="s">
        <v>541</v>
      </c>
      <c r="M45" s="2751">
        <v>1200</v>
      </c>
      <c r="N45" s="2751">
        <v>309</v>
      </c>
      <c r="O45" s="740"/>
      <c r="P45" s="4130"/>
      <c r="Q45" s="4147"/>
      <c r="R45" s="4236">
        <f>+(W45+W46)/S44</f>
        <v>1</v>
      </c>
      <c r="S45" s="4222"/>
      <c r="T45" s="4128"/>
      <c r="U45" s="4252" t="s">
        <v>542</v>
      </c>
      <c r="V45" s="4150" t="s">
        <v>543</v>
      </c>
      <c r="W45" s="746">
        <v>10000000</v>
      </c>
      <c r="X45" s="746">
        <v>9924250</v>
      </c>
      <c r="Y45" s="746">
        <v>2835500</v>
      </c>
      <c r="Z45" s="747">
        <v>20</v>
      </c>
      <c r="AA45" s="748" t="s">
        <v>368</v>
      </c>
      <c r="AB45" s="4223"/>
      <c r="AC45" s="4194"/>
      <c r="AD45" s="4194"/>
      <c r="AE45" s="4194"/>
      <c r="AF45" s="4194"/>
      <c r="AG45" s="4194"/>
      <c r="AH45" s="4194"/>
      <c r="AI45" s="4194"/>
      <c r="AJ45" s="4194"/>
      <c r="AK45" s="4194"/>
      <c r="AL45" s="4194"/>
      <c r="AM45" s="4194"/>
      <c r="AN45" s="4194"/>
      <c r="AO45" s="4194"/>
      <c r="AP45" s="4194"/>
      <c r="AQ45" s="4194"/>
      <c r="AR45" s="4194"/>
      <c r="AS45" s="4194"/>
      <c r="AT45" s="4194"/>
      <c r="AU45" s="4194"/>
      <c r="AV45" s="4194"/>
      <c r="AW45" s="4194"/>
      <c r="AX45" s="4194"/>
      <c r="AY45" s="4194"/>
      <c r="AZ45" s="4194"/>
      <c r="BA45" s="4194"/>
      <c r="BB45" s="4194"/>
      <c r="BC45" s="4194"/>
      <c r="BD45" s="4194"/>
      <c r="BE45" s="4194"/>
      <c r="BF45" s="4194"/>
      <c r="BG45" s="4194"/>
      <c r="BH45" s="4194"/>
      <c r="BI45" s="4238"/>
      <c r="BJ45" s="4238"/>
      <c r="BK45" s="4241"/>
      <c r="BL45" s="4194"/>
      <c r="BM45" s="4194"/>
      <c r="BN45" s="4232"/>
      <c r="BO45" s="4232"/>
      <c r="BP45" s="4232"/>
      <c r="BQ45" s="4232"/>
      <c r="BR45" s="4130"/>
      <c r="BS45" s="726"/>
    </row>
    <row r="46" spans="1:71" s="593" customFormat="1" ht="51.75" customHeight="1" x14ac:dyDescent="0.25">
      <c r="A46" s="662"/>
      <c r="B46" s="663"/>
      <c r="C46" s="663"/>
      <c r="D46" s="736"/>
      <c r="E46" s="727"/>
      <c r="F46" s="737"/>
      <c r="G46" s="735"/>
      <c r="H46" s="735"/>
      <c r="I46" s="735"/>
      <c r="J46" s="4136"/>
      <c r="K46" s="4131"/>
      <c r="L46" s="4235"/>
      <c r="M46" s="2752"/>
      <c r="N46" s="2752"/>
      <c r="O46" s="4130" t="s">
        <v>544</v>
      </c>
      <c r="P46" s="4130"/>
      <c r="Q46" s="4147"/>
      <c r="R46" s="4236"/>
      <c r="S46" s="4222"/>
      <c r="T46" s="4128"/>
      <c r="U46" s="4253"/>
      <c r="V46" s="4150"/>
      <c r="W46" s="749">
        <f>0+18355000</f>
        <v>18355000</v>
      </c>
      <c r="X46" s="749"/>
      <c r="Y46" s="749"/>
      <c r="Z46" s="646">
        <v>88</v>
      </c>
      <c r="AA46" s="647" t="s">
        <v>467</v>
      </c>
      <c r="AB46" s="4223"/>
      <c r="AC46" s="4194"/>
      <c r="AD46" s="4194"/>
      <c r="AE46" s="4194"/>
      <c r="AF46" s="4194"/>
      <c r="AG46" s="4194"/>
      <c r="AH46" s="4194"/>
      <c r="AI46" s="4194"/>
      <c r="AJ46" s="4194"/>
      <c r="AK46" s="4194"/>
      <c r="AL46" s="4194"/>
      <c r="AM46" s="4194"/>
      <c r="AN46" s="4194"/>
      <c r="AO46" s="4194"/>
      <c r="AP46" s="4194"/>
      <c r="AQ46" s="4194"/>
      <c r="AR46" s="4194"/>
      <c r="AS46" s="4194"/>
      <c r="AT46" s="4194"/>
      <c r="AU46" s="4194"/>
      <c r="AV46" s="4194"/>
      <c r="AW46" s="4194"/>
      <c r="AX46" s="4194"/>
      <c r="AY46" s="4194"/>
      <c r="AZ46" s="4194"/>
      <c r="BA46" s="4194"/>
      <c r="BB46" s="4194"/>
      <c r="BC46" s="4194"/>
      <c r="BD46" s="4194"/>
      <c r="BE46" s="4194"/>
      <c r="BF46" s="4194"/>
      <c r="BG46" s="4194"/>
      <c r="BH46" s="4194"/>
      <c r="BI46" s="4238"/>
      <c r="BJ46" s="4238"/>
      <c r="BK46" s="4241"/>
      <c r="BL46" s="4194"/>
      <c r="BM46" s="4194"/>
      <c r="BN46" s="4232"/>
      <c r="BO46" s="4232"/>
      <c r="BP46" s="4232"/>
      <c r="BQ46" s="4232"/>
      <c r="BR46" s="4130"/>
      <c r="BS46" s="726"/>
    </row>
    <row r="47" spans="1:71" s="593" customFormat="1" ht="67.5" customHeight="1" x14ac:dyDescent="0.25">
      <c r="A47" s="662"/>
      <c r="B47" s="663"/>
      <c r="C47" s="663"/>
      <c r="D47" s="736"/>
      <c r="E47" s="727"/>
      <c r="F47" s="737"/>
      <c r="G47" s="735"/>
      <c r="H47" s="735"/>
      <c r="I47" s="735"/>
      <c r="J47" s="750">
        <v>77</v>
      </c>
      <c r="K47" s="676" t="s">
        <v>545</v>
      </c>
      <c r="L47" s="676" t="s">
        <v>546</v>
      </c>
      <c r="M47" s="58">
        <v>80</v>
      </c>
      <c r="N47" s="58">
        <v>94</v>
      </c>
      <c r="O47" s="4130"/>
      <c r="P47" s="4130"/>
      <c r="Q47" s="4128"/>
      <c r="R47" s="751">
        <v>0</v>
      </c>
      <c r="S47" s="4221"/>
      <c r="T47" s="4128"/>
      <c r="U47" s="676" t="s">
        <v>547</v>
      </c>
      <c r="V47" s="67" t="s">
        <v>548</v>
      </c>
      <c r="W47" s="752"/>
      <c r="X47" s="752"/>
      <c r="Y47" s="752"/>
      <c r="Z47" s="753"/>
      <c r="AA47" s="754"/>
      <c r="AB47" s="4194"/>
      <c r="AC47" s="4194"/>
      <c r="AD47" s="4194"/>
      <c r="AE47" s="4194"/>
      <c r="AF47" s="4194"/>
      <c r="AG47" s="4194"/>
      <c r="AH47" s="4194"/>
      <c r="AI47" s="4194"/>
      <c r="AJ47" s="4194"/>
      <c r="AK47" s="4194"/>
      <c r="AL47" s="4194"/>
      <c r="AM47" s="4194"/>
      <c r="AN47" s="4194"/>
      <c r="AO47" s="4194"/>
      <c r="AP47" s="4194"/>
      <c r="AQ47" s="4194"/>
      <c r="AR47" s="4194"/>
      <c r="AS47" s="4194"/>
      <c r="AT47" s="4194"/>
      <c r="AU47" s="4194"/>
      <c r="AV47" s="4194"/>
      <c r="AW47" s="4194"/>
      <c r="AX47" s="4194"/>
      <c r="AY47" s="4194"/>
      <c r="AZ47" s="4194"/>
      <c r="BA47" s="4194"/>
      <c r="BB47" s="4194"/>
      <c r="BC47" s="4194"/>
      <c r="BD47" s="4194"/>
      <c r="BE47" s="4194"/>
      <c r="BF47" s="4194"/>
      <c r="BG47" s="4194"/>
      <c r="BH47" s="4194"/>
      <c r="BI47" s="4238"/>
      <c r="BJ47" s="4238"/>
      <c r="BK47" s="4241"/>
      <c r="BL47" s="4194"/>
      <c r="BM47" s="4194"/>
      <c r="BN47" s="4232"/>
      <c r="BO47" s="4232"/>
      <c r="BP47" s="4232"/>
      <c r="BQ47" s="4232"/>
      <c r="BR47" s="4130"/>
      <c r="BS47" s="726"/>
    </row>
    <row r="48" spans="1:71" s="593" customFormat="1" ht="106.5" customHeight="1" x14ac:dyDescent="0.25">
      <c r="A48" s="662"/>
      <c r="B48" s="663"/>
      <c r="C48" s="663"/>
      <c r="D48" s="736"/>
      <c r="E48" s="727"/>
      <c r="F48" s="737"/>
      <c r="G48" s="735"/>
      <c r="H48" s="735"/>
      <c r="I48" s="735"/>
      <c r="J48" s="750">
        <v>78</v>
      </c>
      <c r="K48" s="676" t="s">
        <v>549</v>
      </c>
      <c r="L48" s="676" t="s">
        <v>550</v>
      </c>
      <c r="M48" s="58">
        <v>15</v>
      </c>
      <c r="N48" s="58">
        <v>9</v>
      </c>
      <c r="O48" s="4130"/>
      <c r="P48" s="4130"/>
      <c r="Q48" s="4128"/>
      <c r="R48" s="755">
        <v>0</v>
      </c>
      <c r="S48" s="4221"/>
      <c r="T48" s="4128"/>
      <c r="U48" s="676" t="s">
        <v>551</v>
      </c>
      <c r="V48" s="51" t="s">
        <v>552</v>
      </c>
      <c r="W48" s="756"/>
      <c r="X48" s="756"/>
      <c r="Y48" s="756"/>
      <c r="Z48" s="757"/>
      <c r="AA48" s="758"/>
      <c r="AB48" s="4194"/>
      <c r="AC48" s="4194"/>
      <c r="AD48" s="4194"/>
      <c r="AE48" s="4194"/>
      <c r="AF48" s="4194"/>
      <c r="AG48" s="4194"/>
      <c r="AH48" s="4194"/>
      <c r="AI48" s="4194"/>
      <c r="AJ48" s="4194"/>
      <c r="AK48" s="4194"/>
      <c r="AL48" s="4194"/>
      <c r="AM48" s="4194"/>
      <c r="AN48" s="4194"/>
      <c r="AO48" s="4194"/>
      <c r="AP48" s="4194"/>
      <c r="AQ48" s="4194"/>
      <c r="AR48" s="4194"/>
      <c r="AS48" s="4194"/>
      <c r="AT48" s="4194"/>
      <c r="AU48" s="4194"/>
      <c r="AV48" s="4194"/>
      <c r="AW48" s="4194"/>
      <c r="AX48" s="4194"/>
      <c r="AY48" s="4194"/>
      <c r="AZ48" s="4194"/>
      <c r="BA48" s="4194"/>
      <c r="BB48" s="4194"/>
      <c r="BC48" s="4194"/>
      <c r="BD48" s="4194"/>
      <c r="BE48" s="4194"/>
      <c r="BF48" s="4194"/>
      <c r="BG48" s="4194"/>
      <c r="BH48" s="4194"/>
      <c r="BI48" s="4238"/>
      <c r="BJ48" s="4238"/>
      <c r="BK48" s="4241"/>
      <c r="BL48" s="4194"/>
      <c r="BM48" s="4194"/>
      <c r="BN48" s="4232"/>
      <c r="BO48" s="4232"/>
      <c r="BP48" s="4232"/>
      <c r="BQ48" s="4232"/>
      <c r="BR48" s="4130"/>
      <c r="BS48" s="759"/>
    </row>
    <row r="49" spans="1:70" s="593" customFormat="1" ht="99" customHeight="1" x14ac:dyDescent="0.25">
      <c r="A49" s="662"/>
      <c r="B49" s="663"/>
      <c r="C49" s="663"/>
      <c r="D49" s="736"/>
      <c r="E49" s="727"/>
      <c r="F49" s="737"/>
      <c r="G49" s="735"/>
      <c r="H49" s="735"/>
      <c r="I49" s="735"/>
      <c r="J49" s="750">
        <v>79</v>
      </c>
      <c r="K49" s="676" t="s">
        <v>553</v>
      </c>
      <c r="L49" s="676" t="s">
        <v>554</v>
      </c>
      <c r="M49" s="58">
        <v>230</v>
      </c>
      <c r="N49" s="58">
        <v>145</v>
      </c>
      <c r="O49" s="4130"/>
      <c r="P49" s="4130"/>
      <c r="Q49" s="4128"/>
      <c r="R49" s="755">
        <f>+W49/S44</f>
        <v>0</v>
      </c>
      <c r="S49" s="4221"/>
      <c r="T49" s="4128"/>
      <c r="U49" s="676" t="s">
        <v>555</v>
      </c>
      <c r="V49" s="51" t="s">
        <v>556</v>
      </c>
      <c r="W49" s="689"/>
      <c r="X49" s="689"/>
      <c r="Y49" s="689"/>
      <c r="Z49" s="757"/>
      <c r="AA49" s="758"/>
      <c r="AB49" s="4194"/>
      <c r="AC49" s="4194"/>
      <c r="AD49" s="4194"/>
      <c r="AE49" s="4194"/>
      <c r="AF49" s="4194"/>
      <c r="AG49" s="4194"/>
      <c r="AH49" s="4194"/>
      <c r="AI49" s="4194"/>
      <c r="AJ49" s="4194"/>
      <c r="AK49" s="4194"/>
      <c r="AL49" s="4194"/>
      <c r="AM49" s="4194"/>
      <c r="AN49" s="4194"/>
      <c r="AO49" s="4194"/>
      <c r="AP49" s="4194"/>
      <c r="AQ49" s="4194"/>
      <c r="AR49" s="4194"/>
      <c r="AS49" s="4194"/>
      <c r="AT49" s="4194"/>
      <c r="AU49" s="4194"/>
      <c r="AV49" s="4194"/>
      <c r="AW49" s="4194"/>
      <c r="AX49" s="4194"/>
      <c r="AY49" s="4194"/>
      <c r="AZ49" s="4194"/>
      <c r="BA49" s="4194"/>
      <c r="BB49" s="4194"/>
      <c r="BC49" s="4194"/>
      <c r="BD49" s="4194"/>
      <c r="BE49" s="4194"/>
      <c r="BF49" s="4194"/>
      <c r="BG49" s="4194"/>
      <c r="BH49" s="4194"/>
      <c r="BI49" s="4238"/>
      <c r="BJ49" s="4238"/>
      <c r="BK49" s="4241"/>
      <c r="BL49" s="4194"/>
      <c r="BM49" s="4194"/>
      <c r="BN49" s="4232"/>
      <c r="BO49" s="4232"/>
      <c r="BP49" s="4232"/>
      <c r="BQ49" s="4232"/>
      <c r="BR49" s="4130"/>
    </row>
    <row r="50" spans="1:70" s="593" customFormat="1" ht="79.5" customHeight="1" x14ac:dyDescent="0.25">
      <c r="A50" s="662"/>
      <c r="B50" s="663"/>
      <c r="C50" s="663"/>
      <c r="D50" s="736"/>
      <c r="E50" s="727"/>
      <c r="F50" s="737"/>
      <c r="G50" s="735"/>
      <c r="H50" s="735"/>
      <c r="I50" s="735"/>
      <c r="J50" s="750">
        <v>80</v>
      </c>
      <c r="K50" s="676" t="s">
        <v>557</v>
      </c>
      <c r="L50" s="676" t="s">
        <v>558</v>
      </c>
      <c r="M50" s="58">
        <v>4700</v>
      </c>
      <c r="N50" s="58">
        <v>4249</v>
      </c>
      <c r="O50" s="4130"/>
      <c r="P50" s="4130"/>
      <c r="Q50" s="4128"/>
      <c r="R50" s="755">
        <v>0</v>
      </c>
      <c r="S50" s="4221"/>
      <c r="T50" s="4128"/>
      <c r="U50" s="676" t="s">
        <v>559</v>
      </c>
      <c r="V50" s="51" t="s">
        <v>560</v>
      </c>
      <c r="W50" s="756"/>
      <c r="X50" s="756"/>
      <c r="Y50" s="756"/>
      <c r="Z50" s="757"/>
      <c r="AA50" s="758"/>
      <c r="AB50" s="4194"/>
      <c r="AC50" s="4194"/>
      <c r="AD50" s="4194"/>
      <c r="AE50" s="4194"/>
      <c r="AF50" s="4194"/>
      <c r="AG50" s="4194"/>
      <c r="AH50" s="4194"/>
      <c r="AI50" s="4194"/>
      <c r="AJ50" s="4194"/>
      <c r="AK50" s="4194"/>
      <c r="AL50" s="4194"/>
      <c r="AM50" s="4194"/>
      <c r="AN50" s="4194"/>
      <c r="AO50" s="4194"/>
      <c r="AP50" s="4194"/>
      <c r="AQ50" s="4194"/>
      <c r="AR50" s="4194"/>
      <c r="AS50" s="4194"/>
      <c r="AT50" s="4194"/>
      <c r="AU50" s="4194"/>
      <c r="AV50" s="4194"/>
      <c r="AW50" s="4194"/>
      <c r="AX50" s="4194"/>
      <c r="AY50" s="4194"/>
      <c r="AZ50" s="4194"/>
      <c r="BA50" s="4194"/>
      <c r="BB50" s="4194"/>
      <c r="BC50" s="4194"/>
      <c r="BD50" s="4194"/>
      <c r="BE50" s="4194"/>
      <c r="BF50" s="4194"/>
      <c r="BG50" s="4194"/>
      <c r="BH50" s="4194"/>
      <c r="BI50" s="4238"/>
      <c r="BJ50" s="4238"/>
      <c r="BK50" s="4241"/>
      <c r="BL50" s="4194"/>
      <c r="BM50" s="4194"/>
      <c r="BN50" s="4232"/>
      <c r="BO50" s="4232"/>
      <c r="BP50" s="4232"/>
      <c r="BQ50" s="4232"/>
      <c r="BR50" s="4130"/>
    </row>
    <row r="51" spans="1:70" s="593" customFormat="1" ht="90" customHeight="1" x14ac:dyDescent="0.25">
      <c r="A51" s="662"/>
      <c r="B51" s="663"/>
      <c r="C51" s="663"/>
      <c r="D51" s="736"/>
      <c r="E51" s="727"/>
      <c r="F51" s="737"/>
      <c r="G51" s="735"/>
      <c r="H51" s="735"/>
      <c r="I51" s="735"/>
      <c r="J51" s="750">
        <v>81</v>
      </c>
      <c r="K51" s="676" t="s">
        <v>561</v>
      </c>
      <c r="L51" s="676" t="s">
        <v>562</v>
      </c>
      <c r="M51" s="58">
        <v>41</v>
      </c>
      <c r="N51" s="58">
        <v>19</v>
      </c>
      <c r="O51" s="4130"/>
      <c r="P51" s="4130"/>
      <c r="Q51" s="4128"/>
      <c r="R51" s="755">
        <v>0</v>
      </c>
      <c r="S51" s="4221"/>
      <c r="T51" s="4128"/>
      <c r="U51" s="676" t="s">
        <v>537</v>
      </c>
      <c r="V51" s="51" t="s">
        <v>563</v>
      </c>
      <c r="W51" s="756"/>
      <c r="X51" s="756"/>
      <c r="Y51" s="756"/>
      <c r="Z51" s="757"/>
      <c r="AA51" s="758"/>
      <c r="AB51" s="4194"/>
      <c r="AC51" s="4194"/>
      <c r="AD51" s="4194"/>
      <c r="AE51" s="4194"/>
      <c r="AF51" s="4194"/>
      <c r="AG51" s="4194"/>
      <c r="AH51" s="4194"/>
      <c r="AI51" s="4194"/>
      <c r="AJ51" s="4194"/>
      <c r="AK51" s="4194"/>
      <c r="AL51" s="4194"/>
      <c r="AM51" s="4194"/>
      <c r="AN51" s="4194"/>
      <c r="AO51" s="4194"/>
      <c r="AP51" s="4194"/>
      <c r="AQ51" s="4194"/>
      <c r="AR51" s="4194"/>
      <c r="AS51" s="4194"/>
      <c r="AT51" s="4194"/>
      <c r="AU51" s="4194"/>
      <c r="AV51" s="4194"/>
      <c r="AW51" s="4194"/>
      <c r="AX51" s="4194"/>
      <c r="AY51" s="4194"/>
      <c r="AZ51" s="4194"/>
      <c r="BA51" s="4194"/>
      <c r="BB51" s="4194"/>
      <c r="BC51" s="4194"/>
      <c r="BD51" s="4194"/>
      <c r="BE51" s="4194"/>
      <c r="BF51" s="4194"/>
      <c r="BG51" s="4194"/>
      <c r="BH51" s="4194"/>
      <c r="BI51" s="4238"/>
      <c r="BJ51" s="4238"/>
      <c r="BK51" s="4241"/>
      <c r="BL51" s="4194"/>
      <c r="BM51" s="4194"/>
      <c r="BN51" s="4232"/>
      <c r="BO51" s="4232"/>
      <c r="BP51" s="4232"/>
      <c r="BQ51" s="4232"/>
      <c r="BR51" s="4130"/>
    </row>
    <row r="52" spans="1:70" s="593" customFormat="1" ht="91.5" customHeight="1" x14ac:dyDescent="0.25">
      <c r="A52" s="662"/>
      <c r="B52" s="663"/>
      <c r="C52" s="663"/>
      <c r="D52" s="736"/>
      <c r="E52" s="727"/>
      <c r="F52" s="737"/>
      <c r="G52" s="735"/>
      <c r="H52" s="735"/>
      <c r="I52" s="735"/>
      <c r="J52" s="760">
        <v>82</v>
      </c>
      <c r="K52" s="692" t="s">
        <v>564</v>
      </c>
      <c r="L52" s="692" t="s">
        <v>565</v>
      </c>
      <c r="M52" s="43">
        <v>40</v>
      </c>
      <c r="N52" s="58">
        <v>18</v>
      </c>
      <c r="O52" s="4131"/>
      <c r="P52" s="4130"/>
      <c r="Q52" s="4128"/>
      <c r="R52" s="761">
        <v>0</v>
      </c>
      <c r="S52" s="4221"/>
      <c r="T52" s="4128"/>
      <c r="U52" s="692" t="s">
        <v>537</v>
      </c>
      <c r="V52" s="75" t="s">
        <v>566</v>
      </c>
      <c r="W52" s="762"/>
      <c r="X52" s="762"/>
      <c r="Y52" s="762"/>
      <c r="Z52" s="757"/>
      <c r="AA52" s="758"/>
      <c r="AB52" s="4194"/>
      <c r="AC52" s="4208"/>
      <c r="AD52" s="4194"/>
      <c r="AE52" s="4208"/>
      <c r="AF52" s="4194"/>
      <c r="AG52" s="4208"/>
      <c r="AH52" s="4194"/>
      <c r="AI52" s="4208"/>
      <c r="AJ52" s="4194"/>
      <c r="AK52" s="4208"/>
      <c r="AL52" s="4194"/>
      <c r="AM52" s="4208"/>
      <c r="AN52" s="4194"/>
      <c r="AO52" s="4208"/>
      <c r="AP52" s="4194"/>
      <c r="AQ52" s="4208"/>
      <c r="AR52" s="4194"/>
      <c r="AS52" s="4208"/>
      <c r="AT52" s="4194"/>
      <c r="AU52" s="4208"/>
      <c r="AV52" s="4194"/>
      <c r="AW52" s="4208"/>
      <c r="AX52" s="4194"/>
      <c r="AY52" s="4208"/>
      <c r="AZ52" s="4194"/>
      <c r="BA52" s="4208"/>
      <c r="BB52" s="4194"/>
      <c r="BC52" s="4208"/>
      <c r="BD52" s="4194"/>
      <c r="BE52" s="4208"/>
      <c r="BF52" s="4194"/>
      <c r="BG52" s="4208"/>
      <c r="BH52" s="4208"/>
      <c r="BI52" s="4239"/>
      <c r="BJ52" s="4239"/>
      <c r="BK52" s="4242"/>
      <c r="BL52" s="4208"/>
      <c r="BM52" s="4208"/>
      <c r="BN52" s="4233"/>
      <c r="BO52" s="4233"/>
      <c r="BP52" s="4233"/>
      <c r="BQ52" s="4233"/>
      <c r="BR52" s="4130"/>
    </row>
    <row r="53" spans="1:70" s="593" customFormat="1" ht="15.75" x14ac:dyDescent="0.25">
      <c r="A53" s="662"/>
      <c r="B53" s="663"/>
      <c r="C53" s="663"/>
      <c r="D53" s="662"/>
      <c r="E53" s="663"/>
      <c r="F53" s="671"/>
      <c r="G53" s="731">
        <v>20</v>
      </c>
      <c r="H53" s="612" t="s">
        <v>567</v>
      </c>
      <c r="I53" s="612"/>
      <c r="J53" s="612"/>
      <c r="K53" s="613"/>
      <c r="L53" s="613"/>
      <c r="M53" s="653"/>
      <c r="N53" s="653"/>
      <c r="O53" s="732"/>
      <c r="P53" s="653"/>
      <c r="Q53" s="613"/>
      <c r="R53" s="653"/>
      <c r="S53" s="656"/>
      <c r="T53" s="613"/>
      <c r="U53" s="613"/>
      <c r="V53" s="613"/>
      <c r="W53" s="733"/>
      <c r="X53" s="763"/>
      <c r="Y53" s="763"/>
      <c r="Z53" s="655"/>
      <c r="AA53" s="654"/>
      <c r="AB53" s="653"/>
      <c r="AC53" s="653"/>
      <c r="AD53" s="653"/>
      <c r="AE53" s="653"/>
      <c r="AF53" s="653"/>
      <c r="AG53" s="653"/>
      <c r="AH53" s="653"/>
      <c r="AI53" s="653"/>
      <c r="AJ53" s="653"/>
      <c r="AK53" s="653"/>
      <c r="AL53" s="653"/>
      <c r="AM53" s="653"/>
      <c r="AN53" s="653"/>
      <c r="AO53" s="653"/>
      <c r="AP53" s="653"/>
      <c r="AQ53" s="653"/>
      <c r="AR53" s="653"/>
      <c r="AS53" s="653"/>
      <c r="AT53" s="653"/>
      <c r="AU53" s="653"/>
      <c r="AV53" s="653"/>
      <c r="AW53" s="653"/>
      <c r="AX53" s="623"/>
      <c r="AY53" s="623"/>
      <c r="AZ53" s="623"/>
      <c r="BA53" s="623"/>
      <c r="BB53" s="623"/>
      <c r="BC53" s="623"/>
      <c r="BD53" s="623"/>
      <c r="BE53" s="623"/>
      <c r="BF53" s="623"/>
      <c r="BG53" s="623"/>
      <c r="BH53" s="623"/>
      <c r="BI53" s="623"/>
      <c r="BJ53" s="623"/>
      <c r="BK53" s="623"/>
      <c r="BL53" s="623"/>
      <c r="BM53" s="623"/>
      <c r="BN53" s="623"/>
      <c r="BO53" s="623"/>
      <c r="BP53" s="623"/>
      <c r="BQ53" s="623"/>
      <c r="BR53" s="659"/>
    </row>
    <row r="54" spans="1:70" s="593" customFormat="1" ht="39.75" customHeight="1" x14ac:dyDescent="0.25">
      <c r="A54" s="764"/>
      <c r="B54" s="579"/>
      <c r="C54" s="579"/>
      <c r="D54" s="765"/>
      <c r="E54" s="766"/>
      <c r="F54" s="767"/>
      <c r="G54" s="4243"/>
      <c r="H54" s="4243"/>
      <c r="I54" s="4244"/>
      <c r="J54" s="4134">
        <v>83</v>
      </c>
      <c r="K54" s="3080" t="s">
        <v>568</v>
      </c>
      <c r="L54" s="4245" t="s">
        <v>569</v>
      </c>
      <c r="M54" s="2751">
        <v>54</v>
      </c>
      <c r="N54" s="2751">
        <v>54</v>
      </c>
      <c r="O54" s="55"/>
      <c r="P54" s="3088" t="s">
        <v>570</v>
      </c>
      <c r="Q54" s="4248" t="s">
        <v>571</v>
      </c>
      <c r="R54" s="4249">
        <f>(W54+W55)/$S$54</f>
        <v>0.29454151199003192</v>
      </c>
      <c r="S54" s="4261">
        <f>SUM(W54:W70)</f>
        <v>419550368.86000001</v>
      </c>
      <c r="T54" s="4248" t="s">
        <v>572</v>
      </c>
      <c r="U54" s="3080" t="s">
        <v>573</v>
      </c>
      <c r="V54" s="3080" t="s">
        <v>574</v>
      </c>
      <c r="W54" s="689">
        <v>19800000</v>
      </c>
      <c r="X54" s="689">
        <v>11342000</v>
      </c>
      <c r="Y54" s="689">
        <v>2835500</v>
      </c>
      <c r="Z54" s="29">
        <v>20</v>
      </c>
      <c r="AA54" s="30" t="s">
        <v>71</v>
      </c>
      <c r="AB54" s="4134">
        <v>20555</v>
      </c>
      <c r="AC54" s="4134"/>
      <c r="AD54" s="4134">
        <v>21361</v>
      </c>
      <c r="AE54" s="4134"/>
      <c r="AF54" s="4254">
        <v>30460</v>
      </c>
      <c r="AG54" s="4254"/>
      <c r="AH54" s="4254">
        <v>9593</v>
      </c>
      <c r="AI54" s="4254"/>
      <c r="AJ54" s="4254">
        <v>1762</v>
      </c>
      <c r="AK54" s="4254"/>
      <c r="AL54" s="4254">
        <v>101</v>
      </c>
      <c r="AM54" s="4254"/>
      <c r="AN54" s="4254">
        <v>308</v>
      </c>
      <c r="AO54" s="4254"/>
      <c r="AP54" s="4254">
        <v>277</v>
      </c>
      <c r="AQ54" s="768"/>
      <c r="AR54" s="4254">
        <v>0</v>
      </c>
      <c r="AS54" s="768"/>
      <c r="AT54" s="4254">
        <v>0</v>
      </c>
      <c r="AU54" s="768"/>
      <c r="AV54" s="4254">
        <v>0</v>
      </c>
      <c r="AW54" s="768"/>
      <c r="AX54" s="4254">
        <v>0</v>
      </c>
      <c r="AY54" s="768"/>
      <c r="AZ54" s="4254">
        <v>2907</v>
      </c>
      <c r="BA54" s="768"/>
      <c r="BB54" s="4254">
        <v>2589</v>
      </c>
      <c r="BC54" s="768"/>
      <c r="BD54" s="4254">
        <v>2954</v>
      </c>
      <c r="BE54" s="4254"/>
      <c r="BF54" s="4254">
        <v>41916</v>
      </c>
      <c r="BG54" s="4254"/>
      <c r="BH54" s="4254">
        <v>3</v>
      </c>
      <c r="BI54" s="4196">
        <f>SUM(X54:X70)</f>
        <v>123913500</v>
      </c>
      <c r="BJ54" s="4196">
        <f>SUM(Y54:Y70)</f>
        <v>27506500</v>
      </c>
      <c r="BK54" s="3101">
        <f>+BJ54/BI54</f>
        <v>0.2219814628753122</v>
      </c>
      <c r="BL54" s="4254" t="s">
        <v>143</v>
      </c>
      <c r="BM54" s="4257" t="s">
        <v>575</v>
      </c>
      <c r="BN54" s="4258">
        <v>42430</v>
      </c>
      <c r="BO54" s="4258" t="s">
        <v>576</v>
      </c>
      <c r="BP54" s="4258">
        <v>43646</v>
      </c>
      <c r="BQ54" s="4258">
        <v>43646</v>
      </c>
      <c r="BR54" s="4218" t="s">
        <v>465</v>
      </c>
    </row>
    <row r="55" spans="1:70" s="593" customFormat="1" ht="39" customHeight="1" x14ac:dyDescent="0.25">
      <c r="A55" s="764"/>
      <c r="B55" s="579"/>
      <c r="C55" s="579"/>
      <c r="D55" s="765"/>
      <c r="E55" s="766"/>
      <c r="F55" s="767"/>
      <c r="G55" s="4243"/>
      <c r="H55" s="4243"/>
      <c r="I55" s="4244"/>
      <c r="J55" s="4136"/>
      <c r="K55" s="3081"/>
      <c r="L55" s="4165"/>
      <c r="M55" s="2752"/>
      <c r="N55" s="2752"/>
      <c r="O55" s="55"/>
      <c r="P55" s="3088"/>
      <c r="Q55" s="4248"/>
      <c r="R55" s="4250"/>
      <c r="S55" s="4261"/>
      <c r="T55" s="4248"/>
      <c r="U55" s="3081"/>
      <c r="V55" s="3081"/>
      <c r="W55" s="690">
        <f>0+103775000</f>
        <v>103775000</v>
      </c>
      <c r="X55" s="690">
        <v>68052000</v>
      </c>
      <c r="Y55" s="690"/>
      <c r="Z55" s="29">
        <v>88</v>
      </c>
      <c r="AA55" s="30" t="s">
        <v>467</v>
      </c>
      <c r="AB55" s="4135"/>
      <c r="AC55" s="4135"/>
      <c r="AD55" s="4135"/>
      <c r="AE55" s="4135"/>
      <c r="AF55" s="4255"/>
      <c r="AG55" s="4255"/>
      <c r="AH55" s="4255"/>
      <c r="AI55" s="4255"/>
      <c r="AJ55" s="4255"/>
      <c r="AK55" s="4255"/>
      <c r="AL55" s="4255"/>
      <c r="AM55" s="4255"/>
      <c r="AN55" s="4255"/>
      <c r="AO55" s="4255"/>
      <c r="AP55" s="4255"/>
      <c r="AQ55" s="4255"/>
      <c r="AR55" s="4255"/>
      <c r="AS55" s="4255"/>
      <c r="AT55" s="4255"/>
      <c r="AU55" s="4255"/>
      <c r="AV55" s="4255"/>
      <c r="AW55" s="4255"/>
      <c r="AX55" s="4255"/>
      <c r="AY55" s="4255"/>
      <c r="AZ55" s="4255"/>
      <c r="BA55" s="4255"/>
      <c r="BB55" s="4255"/>
      <c r="BC55" s="4255"/>
      <c r="BD55" s="4255"/>
      <c r="BE55" s="4255"/>
      <c r="BF55" s="4255"/>
      <c r="BG55" s="4255"/>
      <c r="BH55" s="4255"/>
      <c r="BI55" s="4197"/>
      <c r="BJ55" s="4197"/>
      <c r="BK55" s="3102"/>
      <c r="BL55" s="4255"/>
      <c r="BM55" s="4255"/>
      <c r="BN55" s="4259"/>
      <c r="BO55" s="4259"/>
      <c r="BP55" s="4259"/>
      <c r="BQ55" s="4259"/>
      <c r="BR55" s="4219"/>
    </row>
    <row r="56" spans="1:70" s="593" customFormat="1" ht="61.5" customHeight="1" x14ac:dyDescent="0.25">
      <c r="A56" s="764"/>
      <c r="B56" s="579"/>
      <c r="C56" s="579"/>
      <c r="D56" s="765"/>
      <c r="E56" s="766"/>
      <c r="F56" s="767"/>
      <c r="G56" s="4243"/>
      <c r="H56" s="4243"/>
      <c r="I56" s="4244"/>
      <c r="J56" s="750">
        <v>84</v>
      </c>
      <c r="K56" s="51" t="s">
        <v>577</v>
      </c>
      <c r="L56" s="51" t="s">
        <v>578</v>
      </c>
      <c r="M56" s="750">
        <v>30</v>
      </c>
      <c r="N56" s="750">
        <v>44</v>
      </c>
      <c r="O56" s="55"/>
      <c r="P56" s="3088"/>
      <c r="Q56" s="4248"/>
      <c r="R56" s="769">
        <f>+W56/S54</f>
        <v>0</v>
      </c>
      <c r="S56" s="4261"/>
      <c r="T56" s="4248"/>
      <c r="U56" s="26" t="s">
        <v>579</v>
      </c>
      <c r="V56" s="26" t="s">
        <v>580</v>
      </c>
      <c r="W56" s="756"/>
      <c r="X56" s="756"/>
      <c r="Y56" s="756"/>
      <c r="Z56" s="770"/>
      <c r="AA56" s="30"/>
      <c r="AB56" s="4135"/>
      <c r="AC56" s="4135"/>
      <c r="AD56" s="4135"/>
      <c r="AE56" s="4135"/>
      <c r="AF56" s="4255"/>
      <c r="AG56" s="4255"/>
      <c r="AH56" s="4255"/>
      <c r="AI56" s="4255"/>
      <c r="AJ56" s="4255"/>
      <c r="AK56" s="4255"/>
      <c r="AL56" s="4255"/>
      <c r="AM56" s="4255"/>
      <c r="AN56" s="4255"/>
      <c r="AO56" s="4255"/>
      <c r="AP56" s="4255"/>
      <c r="AQ56" s="4255"/>
      <c r="AR56" s="4255"/>
      <c r="AS56" s="4255"/>
      <c r="AT56" s="4255"/>
      <c r="AU56" s="4255"/>
      <c r="AV56" s="4255"/>
      <c r="AW56" s="4255"/>
      <c r="AX56" s="4255"/>
      <c r="AY56" s="4255"/>
      <c r="AZ56" s="4255"/>
      <c r="BA56" s="4255"/>
      <c r="BB56" s="4255"/>
      <c r="BC56" s="4255"/>
      <c r="BD56" s="4255"/>
      <c r="BE56" s="4255"/>
      <c r="BF56" s="4255"/>
      <c r="BG56" s="4255"/>
      <c r="BH56" s="4255"/>
      <c r="BI56" s="4197"/>
      <c r="BJ56" s="4197"/>
      <c r="BK56" s="3102"/>
      <c r="BL56" s="4255"/>
      <c r="BM56" s="4255"/>
      <c r="BN56" s="4259"/>
      <c r="BO56" s="4259"/>
      <c r="BP56" s="4259"/>
      <c r="BQ56" s="4259"/>
      <c r="BR56" s="4219"/>
    </row>
    <row r="57" spans="1:70" s="593" customFormat="1" ht="60" customHeight="1" x14ac:dyDescent="0.25">
      <c r="A57" s="764"/>
      <c r="B57" s="579"/>
      <c r="C57" s="579"/>
      <c r="D57" s="765"/>
      <c r="E57" s="766"/>
      <c r="F57" s="767"/>
      <c r="G57" s="4243"/>
      <c r="H57" s="4243"/>
      <c r="I57" s="4244"/>
      <c r="J57" s="750">
        <v>85</v>
      </c>
      <c r="K57" s="51" t="s">
        <v>581</v>
      </c>
      <c r="L57" s="51" t="s">
        <v>582</v>
      </c>
      <c r="M57" s="750">
        <v>30</v>
      </c>
      <c r="N57" s="750">
        <v>54</v>
      </c>
      <c r="O57" s="55"/>
      <c r="P57" s="3088"/>
      <c r="Q57" s="4248"/>
      <c r="R57" s="769">
        <f>+W57/S54</f>
        <v>0</v>
      </c>
      <c r="S57" s="4261"/>
      <c r="T57" s="4248"/>
      <c r="U57" s="71" t="s">
        <v>583</v>
      </c>
      <c r="V57" s="26" t="s">
        <v>584</v>
      </c>
      <c r="W57" s="689">
        <f>16050000-16050000</f>
        <v>0</v>
      </c>
      <c r="X57" s="689"/>
      <c r="Y57" s="689"/>
      <c r="Z57" s="770"/>
      <c r="AA57" s="30"/>
      <c r="AB57" s="4135"/>
      <c r="AC57" s="4135"/>
      <c r="AD57" s="4135"/>
      <c r="AE57" s="4135"/>
      <c r="AF57" s="4255"/>
      <c r="AG57" s="4255"/>
      <c r="AH57" s="4255"/>
      <c r="AI57" s="4255"/>
      <c r="AJ57" s="4255"/>
      <c r="AK57" s="4255"/>
      <c r="AL57" s="4255"/>
      <c r="AM57" s="4255"/>
      <c r="AN57" s="4255"/>
      <c r="AO57" s="4255"/>
      <c r="AP57" s="4255"/>
      <c r="AQ57" s="4255"/>
      <c r="AR57" s="4255"/>
      <c r="AS57" s="4255"/>
      <c r="AT57" s="4255"/>
      <c r="AU57" s="4255"/>
      <c r="AV57" s="4255"/>
      <c r="AW57" s="4255"/>
      <c r="AX57" s="4255"/>
      <c r="AY57" s="4255"/>
      <c r="AZ57" s="4255"/>
      <c r="BA57" s="4255"/>
      <c r="BB57" s="4255"/>
      <c r="BC57" s="4255"/>
      <c r="BD57" s="4255"/>
      <c r="BE57" s="4255"/>
      <c r="BF57" s="4255"/>
      <c r="BG57" s="4255"/>
      <c r="BH57" s="4255"/>
      <c r="BI57" s="4197"/>
      <c r="BJ57" s="4197"/>
      <c r="BK57" s="3102"/>
      <c r="BL57" s="4255"/>
      <c r="BM57" s="4255"/>
      <c r="BN57" s="4259"/>
      <c r="BO57" s="4259"/>
      <c r="BP57" s="4259"/>
      <c r="BQ57" s="4259"/>
      <c r="BR57" s="4219"/>
    </row>
    <row r="58" spans="1:70" s="593" customFormat="1" ht="63" customHeight="1" x14ac:dyDescent="0.25">
      <c r="A58" s="764"/>
      <c r="B58" s="579"/>
      <c r="C58" s="579"/>
      <c r="D58" s="765"/>
      <c r="E58" s="766"/>
      <c r="F58" s="767"/>
      <c r="G58" s="4243"/>
      <c r="H58" s="4243"/>
      <c r="I58" s="4244"/>
      <c r="J58" s="4134">
        <v>87</v>
      </c>
      <c r="K58" s="4246" t="s">
        <v>585</v>
      </c>
      <c r="L58" s="4246" t="s">
        <v>586</v>
      </c>
      <c r="M58" s="4134">
        <v>30</v>
      </c>
      <c r="N58" s="4134">
        <v>12</v>
      </c>
      <c r="O58" s="55"/>
      <c r="P58" s="3088"/>
      <c r="Q58" s="4248"/>
      <c r="R58" s="4249">
        <f>(+W58+W59)/S54</f>
        <v>0.23805246619465456</v>
      </c>
      <c r="S58" s="4261"/>
      <c r="T58" s="4248"/>
      <c r="U58" s="2746" t="s">
        <v>587</v>
      </c>
      <c r="V58" s="2746" t="s">
        <v>588</v>
      </c>
      <c r="W58" s="689">
        <v>80000000</v>
      </c>
      <c r="X58" s="689"/>
      <c r="Y58" s="689"/>
      <c r="Z58" s="770">
        <v>21</v>
      </c>
      <c r="AA58" s="30" t="s">
        <v>589</v>
      </c>
      <c r="AB58" s="4135"/>
      <c r="AC58" s="4135"/>
      <c r="AD58" s="4135"/>
      <c r="AE58" s="4135"/>
      <c r="AF58" s="4255"/>
      <c r="AG58" s="4255"/>
      <c r="AH58" s="4255"/>
      <c r="AI58" s="4255"/>
      <c r="AJ58" s="4255"/>
      <c r="AK58" s="4255"/>
      <c r="AL58" s="4255"/>
      <c r="AM58" s="4255"/>
      <c r="AN58" s="4255"/>
      <c r="AO58" s="4255"/>
      <c r="AP58" s="4255"/>
      <c r="AQ58" s="4255"/>
      <c r="AR58" s="4255"/>
      <c r="AS58" s="4255"/>
      <c r="AT58" s="4255"/>
      <c r="AU58" s="4255"/>
      <c r="AV58" s="4255"/>
      <c r="AW58" s="4255"/>
      <c r="AX58" s="4255"/>
      <c r="AY58" s="4255"/>
      <c r="AZ58" s="4255"/>
      <c r="BA58" s="4255"/>
      <c r="BB58" s="4255"/>
      <c r="BC58" s="4255"/>
      <c r="BD58" s="4255"/>
      <c r="BE58" s="4255"/>
      <c r="BF58" s="4255"/>
      <c r="BG58" s="4255"/>
      <c r="BH58" s="4255"/>
      <c r="BI58" s="4197"/>
      <c r="BJ58" s="4197"/>
      <c r="BK58" s="3102"/>
      <c r="BL58" s="4255"/>
      <c r="BM58" s="4255"/>
      <c r="BN58" s="4259"/>
      <c r="BO58" s="4259"/>
      <c r="BP58" s="4259"/>
      <c r="BQ58" s="4259"/>
      <c r="BR58" s="4219"/>
    </row>
    <row r="59" spans="1:70" s="593" customFormat="1" ht="53.25" customHeight="1" x14ac:dyDescent="0.25">
      <c r="A59" s="764"/>
      <c r="B59" s="579"/>
      <c r="C59" s="579"/>
      <c r="D59" s="765"/>
      <c r="E59" s="766"/>
      <c r="F59" s="767"/>
      <c r="G59" s="4243"/>
      <c r="H59" s="4243"/>
      <c r="I59" s="4244"/>
      <c r="J59" s="4136"/>
      <c r="K59" s="4247"/>
      <c r="L59" s="4247"/>
      <c r="M59" s="4136"/>
      <c r="N59" s="4136"/>
      <c r="O59" s="55"/>
      <c r="P59" s="3088"/>
      <c r="Q59" s="4248"/>
      <c r="R59" s="4250"/>
      <c r="S59" s="4261"/>
      <c r="T59" s="4248"/>
      <c r="U59" s="2747"/>
      <c r="V59" s="2747"/>
      <c r="W59" s="689">
        <v>19875000</v>
      </c>
      <c r="X59" s="689">
        <v>10000000</v>
      </c>
      <c r="Y59" s="689">
        <v>10000000</v>
      </c>
      <c r="Z59" s="770">
        <v>20</v>
      </c>
      <c r="AA59" s="30" t="s">
        <v>71</v>
      </c>
      <c r="AB59" s="4135"/>
      <c r="AC59" s="4135"/>
      <c r="AD59" s="4135"/>
      <c r="AE59" s="4135"/>
      <c r="AF59" s="4255"/>
      <c r="AG59" s="4255"/>
      <c r="AH59" s="4255"/>
      <c r="AI59" s="4255"/>
      <c r="AJ59" s="4255"/>
      <c r="AK59" s="4255"/>
      <c r="AL59" s="4255"/>
      <c r="AM59" s="4255"/>
      <c r="AN59" s="4255"/>
      <c r="AO59" s="4255"/>
      <c r="AP59" s="4255"/>
      <c r="AQ59" s="4255"/>
      <c r="AR59" s="4255"/>
      <c r="AS59" s="4255"/>
      <c r="AT59" s="4255"/>
      <c r="AU59" s="4255"/>
      <c r="AV59" s="4255"/>
      <c r="AW59" s="4255"/>
      <c r="AX59" s="4255"/>
      <c r="AY59" s="4255"/>
      <c r="AZ59" s="4255"/>
      <c r="BA59" s="4255"/>
      <c r="BB59" s="4255"/>
      <c r="BC59" s="4255"/>
      <c r="BD59" s="4255"/>
      <c r="BE59" s="4255"/>
      <c r="BF59" s="4255"/>
      <c r="BG59" s="4255"/>
      <c r="BH59" s="4255"/>
      <c r="BI59" s="4197"/>
      <c r="BJ59" s="4197"/>
      <c r="BK59" s="3102"/>
      <c r="BL59" s="4255"/>
      <c r="BM59" s="4255"/>
      <c r="BN59" s="4259"/>
      <c r="BO59" s="4259"/>
      <c r="BP59" s="4259"/>
      <c r="BQ59" s="4259"/>
      <c r="BR59" s="4219"/>
    </row>
    <row r="60" spans="1:70" s="593" customFormat="1" ht="67.5" customHeight="1" x14ac:dyDescent="0.25">
      <c r="A60" s="764"/>
      <c r="B60" s="579"/>
      <c r="C60" s="579"/>
      <c r="D60" s="765"/>
      <c r="E60" s="766"/>
      <c r="F60" s="767"/>
      <c r="G60" s="4243"/>
      <c r="H60" s="4243"/>
      <c r="I60" s="4244"/>
      <c r="J60" s="2744">
        <v>88</v>
      </c>
      <c r="K60" s="2746" t="s">
        <v>590</v>
      </c>
      <c r="L60" s="2746" t="s">
        <v>591</v>
      </c>
      <c r="M60" s="2744">
        <v>36</v>
      </c>
      <c r="N60" s="2744">
        <v>54</v>
      </c>
      <c r="O60" s="55"/>
      <c r="P60" s="3088"/>
      <c r="Q60" s="4248"/>
      <c r="R60" s="4249">
        <f>(+W60+W61)/S54</f>
        <v>8.1875747346709174E-2</v>
      </c>
      <c r="S60" s="4261"/>
      <c r="T60" s="4248"/>
      <c r="U60" s="2746" t="s">
        <v>592</v>
      </c>
      <c r="V60" s="26" t="s">
        <v>593</v>
      </c>
      <c r="W60" s="771">
        <v>17175500</v>
      </c>
      <c r="X60" s="771">
        <v>12759750</v>
      </c>
      <c r="Y60" s="771">
        <v>2835500</v>
      </c>
      <c r="Z60" s="770">
        <v>20</v>
      </c>
      <c r="AA60" s="30" t="s">
        <v>71</v>
      </c>
      <c r="AB60" s="4135"/>
      <c r="AC60" s="4135"/>
      <c r="AD60" s="4135"/>
      <c r="AE60" s="4135"/>
      <c r="AF60" s="4255"/>
      <c r="AG60" s="4255"/>
      <c r="AH60" s="4255"/>
      <c r="AI60" s="4255"/>
      <c r="AJ60" s="4255"/>
      <c r="AK60" s="4255"/>
      <c r="AL60" s="4255"/>
      <c r="AM60" s="4255"/>
      <c r="AN60" s="4255"/>
      <c r="AO60" s="4255"/>
      <c r="AP60" s="4255"/>
      <c r="AQ60" s="4255"/>
      <c r="AR60" s="4255"/>
      <c r="AS60" s="4255"/>
      <c r="AT60" s="4255"/>
      <c r="AU60" s="4255"/>
      <c r="AV60" s="4255"/>
      <c r="AW60" s="4255"/>
      <c r="AX60" s="4255"/>
      <c r="AY60" s="4255"/>
      <c r="AZ60" s="4255"/>
      <c r="BA60" s="4255"/>
      <c r="BB60" s="4255"/>
      <c r="BC60" s="4255"/>
      <c r="BD60" s="4255"/>
      <c r="BE60" s="4255"/>
      <c r="BF60" s="4255"/>
      <c r="BG60" s="4255"/>
      <c r="BH60" s="4255"/>
      <c r="BI60" s="4197"/>
      <c r="BJ60" s="4197"/>
      <c r="BK60" s="3102"/>
      <c r="BL60" s="4255"/>
      <c r="BM60" s="4255"/>
      <c r="BN60" s="4259"/>
      <c r="BO60" s="4259"/>
      <c r="BP60" s="4259"/>
      <c r="BQ60" s="4259"/>
      <c r="BR60" s="4219"/>
    </row>
    <row r="61" spans="1:70" s="593" customFormat="1" ht="88.5" customHeight="1" x14ac:dyDescent="0.25">
      <c r="A61" s="764"/>
      <c r="B61" s="579"/>
      <c r="C61" s="579"/>
      <c r="D61" s="765"/>
      <c r="E61" s="766"/>
      <c r="F61" s="767"/>
      <c r="G61" s="4243"/>
      <c r="H61" s="4243"/>
      <c r="I61" s="4244"/>
      <c r="J61" s="2745"/>
      <c r="K61" s="2747"/>
      <c r="L61" s="2747"/>
      <c r="M61" s="2745"/>
      <c r="N61" s="2745"/>
      <c r="O61" s="55" t="s">
        <v>594</v>
      </c>
      <c r="P61" s="3088"/>
      <c r="Q61" s="4248"/>
      <c r="R61" s="4250"/>
      <c r="S61" s="4261"/>
      <c r="T61" s="4248"/>
      <c r="U61" s="2747"/>
      <c r="V61" s="26" t="s">
        <v>595</v>
      </c>
      <c r="W61" s="772">
        <v>17175500</v>
      </c>
      <c r="X61" s="772">
        <v>12759750</v>
      </c>
      <c r="Y61" s="772">
        <v>2835500</v>
      </c>
      <c r="Z61" s="770">
        <v>20</v>
      </c>
      <c r="AA61" s="30" t="s">
        <v>71</v>
      </c>
      <c r="AB61" s="4135"/>
      <c r="AC61" s="4135"/>
      <c r="AD61" s="4135"/>
      <c r="AE61" s="4135"/>
      <c r="AF61" s="4255"/>
      <c r="AG61" s="4255"/>
      <c r="AH61" s="4255"/>
      <c r="AI61" s="4255"/>
      <c r="AJ61" s="4255"/>
      <c r="AK61" s="4255"/>
      <c r="AL61" s="4255"/>
      <c r="AM61" s="4255"/>
      <c r="AN61" s="4255"/>
      <c r="AO61" s="4255"/>
      <c r="AP61" s="4255"/>
      <c r="AQ61" s="4255"/>
      <c r="AR61" s="4255"/>
      <c r="AS61" s="4255"/>
      <c r="AT61" s="4255"/>
      <c r="AU61" s="4255"/>
      <c r="AV61" s="4255"/>
      <c r="AW61" s="4255"/>
      <c r="AX61" s="4255"/>
      <c r="AY61" s="4255"/>
      <c r="AZ61" s="4255"/>
      <c r="BA61" s="4255"/>
      <c r="BB61" s="4255"/>
      <c r="BC61" s="4255"/>
      <c r="BD61" s="4255"/>
      <c r="BE61" s="4255"/>
      <c r="BF61" s="4255"/>
      <c r="BG61" s="4255"/>
      <c r="BH61" s="4255"/>
      <c r="BI61" s="4197"/>
      <c r="BJ61" s="4197"/>
      <c r="BK61" s="3102"/>
      <c r="BL61" s="4255"/>
      <c r="BM61" s="4255"/>
      <c r="BN61" s="4259"/>
      <c r="BO61" s="4259"/>
      <c r="BP61" s="4259"/>
      <c r="BQ61" s="4259"/>
      <c r="BR61" s="4219"/>
    </row>
    <row r="62" spans="1:70" s="593" customFormat="1" ht="30" customHeight="1" x14ac:dyDescent="0.25">
      <c r="A62" s="764"/>
      <c r="B62" s="579"/>
      <c r="C62" s="579"/>
      <c r="D62" s="765"/>
      <c r="E62" s="766"/>
      <c r="F62" s="767"/>
      <c r="G62" s="4243"/>
      <c r="H62" s="4243"/>
      <c r="I62" s="4244"/>
      <c r="J62" s="4134">
        <v>86</v>
      </c>
      <c r="K62" s="2746" t="s">
        <v>596</v>
      </c>
      <c r="L62" s="2746" t="s">
        <v>597</v>
      </c>
      <c r="M62" s="2744">
        <v>1</v>
      </c>
      <c r="N62" s="2744">
        <v>0</v>
      </c>
      <c r="O62" s="55"/>
      <c r="P62" s="3088"/>
      <c r="Q62" s="4248"/>
      <c r="R62" s="4249">
        <f>(W62+W63+W64)/S54</f>
        <v>0</v>
      </c>
      <c r="S62" s="4261"/>
      <c r="T62" s="4248"/>
      <c r="U62" s="2746" t="s">
        <v>587</v>
      </c>
      <c r="V62" s="26" t="s">
        <v>598</v>
      </c>
      <c r="W62" s="756"/>
      <c r="X62" s="756"/>
      <c r="Y62" s="756"/>
      <c r="Z62" s="770"/>
      <c r="AA62" s="30"/>
      <c r="AB62" s="4135"/>
      <c r="AC62" s="4135"/>
      <c r="AD62" s="4135"/>
      <c r="AE62" s="4135"/>
      <c r="AF62" s="4255"/>
      <c r="AG62" s="4255"/>
      <c r="AH62" s="4255"/>
      <c r="AI62" s="4255"/>
      <c r="AJ62" s="4255"/>
      <c r="AK62" s="4255"/>
      <c r="AL62" s="4255"/>
      <c r="AM62" s="4255"/>
      <c r="AN62" s="4255"/>
      <c r="AO62" s="4255"/>
      <c r="AP62" s="4255"/>
      <c r="AQ62" s="4255"/>
      <c r="AR62" s="4255"/>
      <c r="AS62" s="4255"/>
      <c r="AT62" s="4255"/>
      <c r="AU62" s="4255"/>
      <c r="AV62" s="4255"/>
      <c r="AW62" s="4255"/>
      <c r="AX62" s="4255"/>
      <c r="AY62" s="4255"/>
      <c r="AZ62" s="4255"/>
      <c r="BA62" s="4255"/>
      <c r="BB62" s="4255"/>
      <c r="BC62" s="4255"/>
      <c r="BD62" s="4255"/>
      <c r="BE62" s="4255"/>
      <c r="BF62" s="4255"/>
      <c r="BG62" s="4255"/>
      <c r="BH62" s="4255"/>
      <c r="BI62" s="4197"/>
      <c r="BJ62" s="4197"/>
      <c r="BK62" s="3102"/>
      <c r="BL62" s="4255"/>
      <c r="BM62" s="4255"/>
      <c r="BN62" s="4259"/>
      <c r="BO62" s="4259"/>
      <c r="BP62" s="4259"/>
      <c r="BQ62" s="4259"/>
      <c r="BR62" s="4219"/>
    </row>
    <row r="63" spans="1:70" s="593" customFormat="1" ht="32.25" customHeight="1" x14ac:dyDescent="0.25">
      <c r="A63" s="764"/>
      <c r="B63" s="579"/>
      <c r="C63" s="579"/>
      <c r="D63" s="765"/>
      <c r="E63" s="766"/>
      <c r="F63" s="767"/>
      <c r="G63" s="4243"/>
      <c r="H63" s="4243"/>
      <c r="I63" s="4244"/>
      <c r="J63" s="4135"/>
      <c r="K63" s="4248"/>
      <c r="L63" s="4248"/>
      <c r="M63" s="3088"/>
      <c r="N63" s="3088"/>
      <c r="O63" s="55" t="s">
        <v>599</v>
      </c>
      <c r="P63" s="3088"/>
      <c r="Q63" s="4248"/>
      <c r="R63" s="4251"/>
      <c r="S63" s="4261"/>
      <c r="T63" s="4248"/>
      <c r="U63" s="4248"/>
      <c r="V63" s="26" t="s">
        <v>600</v>
      </c>
      <c r="W63" s="756"/>
      <c r="X63" s="756"/>
      <c r="Y63" s="756"/>
      <c r="Z63" s="770"/>
      <c r="AA63" s="30"/>
      <c r="AB63" s="4135"/>
      <c r="AC63" s="4135"/>
      <c r="AD63" s="4135"/>
      <c r="AE63" s="4135"/>
      <c r="AF63" s="4255"/>
      <c r="AG63" s="4255"/>
      <c r="AH63" s="4255"/>
      <c r="AI63" s="4255"/>
      <c r="AJ63" s="4255"/>
      <c r="AK63" s="4255"/>
      <c r="AL63" s="4255"/>
      <c r="AM63" s="4255"/>
      <c r="AN63" s="4255"/>
      <c r="AO63" s="4255"/>
      <c r="AP63" s="4255"/>
      <c r="AQ63" s="4255"/>
      <c r="AR63" s="4255"/>
      <c r="AS63" s="4255"/>
      <c r="AT63" s="4255"/>
      <c r="AU63" s="4255"/>
      <c r="AV63" s="4255"/>
      <c r="AW63" s="4255"/>
      <c r="AX63" s="4255"/>
      <c r="AY63" s="4255"/>
      <c r="AZ63" s="4255"/>
      <c r="BA63" s="4255"/>
      <c r="BB63" s="4255"/>
      <c r="BC63" s="4255"/>
      <c r="BD63" s="4255"/>
      <c r="BE63" s="4255"/>
      <c r="BF63" s="4255"/>
      <c r="BG63" s="4255"/>
      <c r="BH63" s="4255"/>
      <c r="BI63" s="4197"/>
      <c r="BJ63" s="4197"/>
      <c r="BK63" s="3102"/>
      <c r="BL63" s="4255"/>
      <c r="BM63" s="4255"/>
      <c r="BN63" s="4259"/>
      <c r="BO63" s="4259"/>
      <c r="BP63" s="4259"/>
      <c r="BQ63" s="4259"/>
      <c r="BR63" s="4219"/>
    </row>
    <row r="64" spans="1:70" s="593" customFormat="1" ht="35.25" customHeight="1" x14ac:dyDescent="0.25">
      <c r="A64" s="764"/>
      <c r="B64" s="579"/>
      <c r="C64" s="579"/>
      <c r="D64" s="765"/>
      <c r="E64" s="766"/>
      <c r="F64" s="767"/>
      <c r="G64" s="4243"/>
      <c r="H64" s="4243"/>
      <c r="I64" s="4244"/>
      <c r="J64" s="4136"/>
      <c r="K64" s="2747"/>
      <c r="L64" s="2747"/>
      <c r="M64" s="2745"/>
      <c r="N64" s="2745"/>
      <c r="O64" s="55"/>
      <c r="P64" s="3088"/>
      <c r="Q64" s="4248"/>
      <c r="R64" s="4250"/>
      <c r="S64" s="4261"/>
      <c r="T64" s="4248"/>
      <c r="U64" s="2747"/>
      <c r="V64" s="26" t="s">
        <v>601</v>
      </c>
      <c r="W64" s="773"/>
      <c r="X64" s="773"/>
      <c r="Y64" s="773"/>
      <c r="Z64" s="770"/>
      <c r="AA64" s="30"/>
      <c r="AB64" s="4135"/>
      <c r="AC64" s="4135"/>
      <c r="AD64" s="4135"/>
      <c r="AE64" s="4135"/>
      <c r="AF64" s="4255"/>
      <c r="AG64" s="4255"/>
      <c r="AH64" s="4255"/>
      <c r="AI64" s="4255"/>
      <c r="AJ64" s="4255"/>
      <c r="AK64" s="4255"/>
      <c r="AL64" s="4255"/>
      <c r="AM64" s="4255"/>
      <c r="AN64" s="4255"/>
      <c r="AO64" s="4255"/>
      <c r="AP64" s="4255"/>
      <c r="AQ64" s="4255"/>
      <c r="AR64" s="4255"/>
      <c r="AS64" s="4255"/>
      <c r="AT64" s="4255"/>
      <c r="AU64" s="4255"/>
      <c r="AV64" s="4255"/>
      <c r="AW64" s="4255"/>
      <c r="AX64" s="4255"/>
      <c r="AY64" s="4255"/>
      <c r="AZ64" s="4255"/>
      <c r="BA64" s="4255"/>
      <c r="BB64" s="4255"/>
      <c r="BC64" s="4255"/>
      <c r="BD64" s="4255"/>
      <c r="BE64" s="4255"/>
      <c r="BF64" s="4255"/>
      <c r="BG64" s="4255"/>
      <c r="BH64" s="4255"/>
      <c r="BI64" s="4197"/>
      <c r="BJ64" s="4197"/>
      <c r="BK64" s="3102"/>
      <c r="BL64" s="4255"/>
      <c r="BM64" s="4255"/>
      <c r="BN64" s="4259"/>
      <c r="BO64" s="4259"/>
      <c r="BP64" s="4259"/>
      <c r="BQ64" s="4259"/>
      <c r="BR64" s="4219"/>
    </row>
    <row r="65" spans="1:70" s="593" customFormat="1" ht="77.25" customHeight="1" x14ac:dyDescent="0.25">
      <c r="A65" s="764"/>
      <c r="B65" s="579"/>
      <c r="C65" s="579"/>
      <c r="D65" s="765"/>
      <c r="E65" s="766"/>
      <c r="F65" s="767"/>
      <c r="G65" s="4243"/>
      <c r="H65" s="4243"/>
      <c r="I65" s="4244"/>
      <c r="J65" s="750">
        <v>89</v>
      </c>
      <c r="K65" s="51" t="s">
        <v>602</v>
      </c>
      <c r="L65" s="51" t="s">
        <v>603</v>
      </c>
      <c r="M65" s="750">
        <v>20000</v>
      </c>
      <c r="N65" s="750">
        <v>18195</v>
      </c>
      <c r="O65" s="774" t="s">
        <v>604</v>
      </c>
      <c r="P65" s="3088"/>
      <c r="Q65" s="4248"/>
      <c r="R65" s="769">
        <f>+W65/S54</f>
        <v>0</v>
      </c>
      <c r="S65" s="4261"/>
      <c r="T65" s="4248"/>
      <c r="U65" s="26" t="s">
        <v>605</v>
      </c>
      <c r="V65" s="26" t="s">
        <v>606</v>
      </c>
      <c r="W65" s="756"/>
      <c r="X65" s="756"/>
      <c r="Y65" s="756"/>
      <c r="Z65" s="770"/>
      <c r="AA65" s="30"/>
      <c r="AB65" s="4135"/>
      <c r="AC65" s="4135"/>
      <c r="AD65" s="4135"/>
      <c r="AE65" s="4135"/>
      <c r="AF65" s="4255"/>
      <c r="AG65" s="4255"/>
      <c r="AH65" s="4255"/>
      <c r="AI65" s="4255"/>
      <c r="AJ65" s="4255"/>
      <c r="AK65" s="4255"/>
      <c r="AL65" s="4255"/>
      <c r="AM65" s="4255"/>
      <c r="AN65" s="4255"/>
      <c r="AO65" s="4255"/>
      <c r="AP65" s="4255"/>
      <c r="AQ65" s="4255"/>
      <c r="AR65" s="4255"/>
      <c r="AS65" s="4255"/>
      <c r="AT65" s="4255"/>
      <c r="AU65" s="4255"/>
      <c r="AV65" s="4255"/>
      <c r="AW65" s="4255"/>
      <c r="AX65" s="4255"/>
      <c r="AY65" s="4255"/>
      <c r="AZ65" s="4255"/>
      <c r="BA65" s="4255"/>
      <c r="BB65" s="4255"/>
      <c r="BC65" s="4255"/>
      <c r="BD65" s="4255"/>
      <c r="BE65" s="4255"/>
      <c r="BF65" s="4255"/>
      <c r="BG65" s="4255"/>
      <c r="BH65" s="4255"/>
      <c r="BI65" s="4197"/>
      <c r="BJ65" s="4197"/>
      <c r="BK65" s="3102"/>
      <c r="BL65" s="4255"/>
      <c r="BM65" s="4255"/>
      <c r="BN65" s="4259"/>
      <c r="BO65" s="4259"/>
      <c r="BP65" s="4259"/>
      <c r="BQ65" s="4259"/>
      <c r="BR65" s="4219"/>
    </row>
    <row r="66" spans="1:70" s="593" customFormat="1" ht="73.5" customHeight="1" x14ac:dyDescent="0.25">
      <c r="A66" s="764"/>
      <c r="B66" s="579"/>
      <c r="C66" s="579"/>
      <c r="D66" s="765"/>
      <c r="E66" s="766"/>
      <c r="F66" s="767"/>
      <c r="G66" s="4243"/>
      <c r="H66" s="4243"/>
      <c r="I66" s="4244"/>
      <c r="J66" s="4134">
        <v>90</v>
      </c>
      <c r="K66" s="2746" t="s">
        <v>607</v>
      </c>
      <c r="L66" s="2746" t="s">
        <v>608</v>
      </c>
      <c r="M66" s="2751">
        <v>130</v>
      </c>
      <c r="N66" s="2751">
        <v>109</v>
      </c>
      <c r="O66" s="55"/>
      <c r="P66" s="3088"/>
      <c r="Q66" s="4248"/>
      <c r="R66" s="4249">
        <f>(+W66+W67)/S54</f>
        <v>7.1207183254721446E-2</v>
      </c>
      <c r="S66" s="4261"/>
      <c r="T66" s="4248"/>
      <c r="U66" s="2746" t="s">
        <v>609</v>
      </c>
      <c r="V66" s="26" t="s">
        <v>610</v>
      </c>
      <c r="W66" s="756"/>
      <c r="X66" s="756"/>
      <c r="Y66" s="756"/>
      <c r="Z66" s="770"/>
      <c r="AA66" s="30"/>
      <c r="AB66" s="4135"/>
      <c r="AC66" s="4135"/>
      <c r="AD66" s="4135"/>
      <c r="AE66" s="4135"/>
      <c r="AF66" s="4255"/>
      <c r="AG66" s="4255"/>
      <c r="AH66" s="4255"/>
      <c r="AI66" s="4255"/>
      <c r="AJ66" s="4255"/>
      <c r="AK66" s="4255"/>
      <c r="AL66" s="4255"/>
      <c r="AM66" s="4255"/>
      <c r="AN66" s="4255"/>
      <c r="AO66" s="4255"/>
      <c r="AP66" s="4255"/>
      <c r="AQ66" s="4255"/>
      <c r="AR66" s="4255"/>
      <c r="AS66" s="4255"/>
      <c r="AT66" s="4255"/>
      <c r="AU66" s="4255"/>
      <c r="AV66" s="4255"/>
      <c r="AW66" s="4255"/>
      <c r="AX66" s="4255"/>
      <c r="AY66" s="4255"/>
      <c r="AZ66" s="4255"/>
      <c r="BA66" s="4255"/>
      <c r="BB66" s="4255"/>
      <c r="BC66" s="4255"/>
      <c r="BD66" s="4255"/>
      <c r="BE66" s="4255"/>
      <c r="BF66" s="4255"/>
      <c r="BG66" s="4255"/>
      <c r="BH66" s="4255"/>
      <c r="BI66" s="4197"/>
      <c r="BJ66" s="4197"/>
      <c r="BK66" s="3102"/>
      <c r="BL66" s="4255"/>
      <c r="BM66" s="4255"/>
      <c r="BN66" s="4259"/>
      <c r="BO66" s="4259"/>
      <c r="BP66" s="4259"/>
      <c r="BQ66" s="4259"/>
      <c r="BR66" s="4219"/>
    </row>
    <row r="67" spans="1:70" s="593" customFormat="1" ht="81.75" customHeight="1" x14ac:dyDescent="0.25">
      <c r="A67" s="764"/>
      <c r="B67" s="579"/>
      <c r="C67" s="579"/>
      <c r="D67" s="765"/>
      <c r="E67" s="766"/>
      <c r="F67" s="767"/>
      <c r="G67" s="4243"/>
      <c r="H67" s="4243"/>
      <c r="I67" s="4244"/>
      <c r="J67" s="4136"/>
      <c r="K67" s="2747"/>
      <c r="L67" s="2747"/>
      <c r="M67" s="2752"/>
      <c r="N67" s="2752"/>
      <c r="O67" s="55"/>
      <c r="P67" s="3088"/>
      <c r="Q67" s="4248"/>
      <c r="R67" s="4250"/>
      <c r="S67" s="4261"/>
      <c r="T67" s="4248"/>
      <c r="U67" s="2747"/>
      <c r="V67" s="26" t="s">
        <v>611</v>
      </c>
      <c r="W67" s="689">
        <v>29875000</v>
      </c>
      <c r="X67" s="689"/>
      <c r="Y67" s="689"/>
      <c r="Z67" s="770">
        <v>20</v>
      </c>
      <c r="AA67" s="30" t="s">
        <v>71</v>
      </c>
      <c r="AB67" s="4135"/>
      <c r="AC67" s="4135"/>
      <c r="AD67" s="4135"/>
      <c r="AE67" s="4135"/>
      <c r="AF67" s="4255"/>
      <c r="AG67" s="4255"/>
      <c r="AH67" s="4255"/>
      <c r="AI67" s="4255"/>
      <c r="AJ67" s="4255"/>
      <c r="AK67" s="4255"/>
      <c r="AL67" s="4255"/>
      <c r="AM67" s="4255"/>
      <c r="AN67" s="4255"/>
      <c r="AO67" s="4255"/>
      <c r="AP67" s="4255"/>
      <c r="AQ67" s="4255"/>
      <c r="AR67" s="4255"/>
      <c r="AS67" s="4255"/>
      <c r="AT67" s="4255"/>
      <c r="AU67" s="4255"/>
      <c r="AV67" s="4255"/>
      <c r="AW67" s="4255"/>
      <c r="AX67" s="4255"/>
      <c r="AY67" s="4255"/>
      <c r="AZ67" s="4255"/>
      <c r="BA67" s="4255"/>
      <c r="BB67" s="4255"/>
      <c r="BC67" s="4255"/>
      <c r="BD67" s="4255"/>
      <c r="BE67" s="4255"/>
      <c r="BF67" s="4255"/>
      <c r="BG67" s="4255"/>
      <c r="BH67" s="4255"/>
      <c r="BI67" s="4197"/>
      <c r="BJ67" s="4197"/>
      <c r="BK67" s="3102"/>
      <c r="BL67" s="4255"/>
      <c r="BM67" s="4255"/>
      <c r="BN67" s="4259"/>
      <c r="BO67" s="4259"/>
      <c r="BP67" s="4259"/>
      <c r="BQ67" s="4259"/>
      <c r="BR67" s="4219"/>
    </row>
    <row r="68" spans="1:70" s="593" customFormat="1" ht="41.25" customHeight="1" x14ac:dyDescent="0.25">
      <c r="A68" s="764"/>
      <c r="B68" s="579"/>
      <c r="C68" s="579"/>
      <c r="D68" s="765"/>
      <c r="E68" s="766"/>
      <c r="F68" s="767"/>
      <c r="G68" s="4243"/>
      <c r="H68" s="4243"/>
      <c r="I68" s="4244"/>
      <c r="J68" s="4134">
        <v>91</v>
      </c>
      <c r="K68" s="2746" t="s">
        <v>612</v>
      </c>
      <c r="L68" s="2746" t="s">
        <v>613</v>
      </c>
      <c r="M68" s="2751">
        <v>54</v>
      </c>
      <c r="N68" s="2751">
        <v>44</v>
      </c>
      <c r="O68" s="55"/>
      <c r="P68" s="3088"/>
      <c r="Q68" s="4248"/>
      <c r="R68" s="4249">
        <f>(+W68+W69)/S54</f>
        <v>0.24281796995391156</v>
      </c>
      <c r="S68" s="4261"/>
      <c r="T68" s="4248"/>
      <c r="U68" s="2746" t="s">
        <v>614</v>
      </c>
      <c r="V68" s="2746" t="s">
        <v>615</v>
      </c>
      <c r="W68" s="689">
        <f>60000000+31988604.86</f>
        <v>91988604.859999999</v>
      </c>
      <c r="X68" s="689"/>
      <c r="Y68" s="689"/>
      <c r="Z68" s="770">
        <v>21</v>
      </c>
      <c r="AA68" s="30" t="s">
        <v>589</v>
      </c>
      <c r="AB68" s="4135"/>
      <c r="AC68" s="4135"/>
      <c r="AD68" s="4135"/>
      <c r="AE68" s="4135"/>
      <c r="AF68" s="4255"/>
      <c r="AG68" s="4255"/>
      <c r="AH68" s="4255"/>
      <c r="AI68" s="4255"/>
      <c r="AJ68" s="4255"/>
      <c r="AK68" s="4255"/>
      <c r="AL68" s="4255"/>
      <c r="AM68" s="4255"/>
      <c r="AN68" s="4255"/>
      <c r="AO68" s="4255"/>
      <c r="AP68" s="4255"/>
      <c r="AQ68" s="4255"/>
      <c r="AR68" s="4255"/>
      <c r="AS68" s="4255"/>
      <c r="AT68" s="4255"/>
      <c r="AU68" s="4255"/>
      <c r="AV68" s="4255"/>
      <c r="AW68" s="4255"/>
      <c r="AX68" s="4255"/>
      <c r="AY68" s="4255"/>
      <c r="AZ68" s="4255"/>
      <c r="BA68" s="4255"/>
      <c r="BB68" s="4255"/>
      <c r="BC68" s="4255"/>
      <c r="BD68" s="4255"/>
      <c r="BE68" s="4255"/>
      <c r="BF68" s="4255"/>
      <c r="BG68" s="4255"/>
      <c r="BH68" s="4255"/>
      <c r="BI68" s="4197"/>
      <c r="BJ68" s="4197"/>
      <c r="BK68" s="3102"/>
      <c r="BL68" s="4255"/>
      <c r="BM68" s="4255"/>
      <c r="BN68" s="4259"/>
      <c r="BO68" s="4259"/>
      <c r="BP68" s="4259"/>
      <c r="BQ68" s="4259"/>
      <c r="BR68" s="4219"/>
    </row>
    <row r="69" spans="1:70" s="593" customFormat="1" ht="93" customHeight="1" x14ac:dyDescent="0.25">
      <c r="A69" s="764"/>
      <c r="B69" s="579"/>
      <c r="C69" s="579"/>
      <c r="D69" s="765"/>
      <c r="E69" s="766"/>
      <c r="F69" s="767"/>
      <c r="G69" s="4243"/>
      <c r="H69" s="4243"/>
      <c r="I69" s="4244"/>
      <c r="J69" s="4136"/>
      <c r="K69" s="2747"/>
      <c r="L69" s="2747"/>
      <c r="M69" s="2752"/>
      <c r="N69" s="2752"/>
      <c r="O69" s="55"/>
      <c r="P69" s="3088"/>
      <c r="Q69" s="4248"/>
      <c r="R69" s="4250"/>
      <c r="S69" s="4261"/>
      <c r="T69" s="4248"/>
      <c r="U69" s="2747"/>
      <c r="V69" s="2747"/>
      <c r="W69" s="689">
        <v>9885764</v>
      </c>
      <c r="X69" s="689">
        <v>9000000</v>
      </c>
      <c r="Y69" s="689">
        <v>9000000</v>
      </c>
      <c r="Z69" s="770">
        <v>20</v>
      </c>
      <c r="AA69" s="30" t="s">
        <v>71</v>
      </c>
      <c r="AB69" s="4135"/>
      <c r="AC69" s="4135"/>
      <c r="AD69" s="4135"/>
      <c r="AE69" s="4135"/>
      <c r="AF69" s="4255"/>
      <c r="AG69" s="4255"/>
      <c r="AH69" s="4255"/>
      <c r="AI69" s="4255"/>
      <c r="AJ69" s="4255"/>
      <c r="AK69" s="4255"/>
      <c r="AL69" s="4255"/>
      <c r="AM69" s="4255"/>
      <c r="AN69" s="4255"/>
      <c r="AO69" s="4255"/>
      <c r="AP69" s="4255"/>
      <c r="AQ69" s="4255"/>
      <c r="AR69" s="4255"/>
      <c r="AS69" s="4255"/>
      <c r="AT69" s="4255"/>
      <c r="AU69" s="4255"/>
      <c r="AV69" s="4255"/>
      <c r="AW69" s="4255"/>
      <c r="AX69" s="4255"/>
      <c r="AY69" s="4255"/>
      <c r="AZ69" s="4255"/>
      <c r="BA69" s="4255"/>
      <c r="BB69" s="4255"/>
      <c r="BC69" s="4255"/>
      <c r="BD69" s="4255"/>
      <c r="BE69" s="4255"/>
      <c r="BF69" s="4255"/>
      <c r="BG69" s="4255"/>
      <c r="BH69" s="4255"/>
      <c r="BI69" s="4197"/>
      <c r="BJ69" s="4197"/>
      <c r="BK69" s="3102"/>
      <c r="BL69" s="4255"/>
      <c r="BM69" s="4255"/>
      <c r="BN69" s="4259"/>
      <c r="BO69" s="4259"/>
      <c r="BP69" s="4259"/>
      <c r="BQ69" s="4259"/>
      <c r="BR69" s="4219"/>
    </row>
    <row r="70" spans="1:70" s="593" customFormat="1" ht="108.75" customHeight="1" x14ac:dyDescent="0.25">
      <c r="A70" s="764"/>
      <c r="B70" s="579"/>
      <c r="C70" s="579"/>
      <c r="D70" s="765"/>
      <c r="E70" s="766"/>
      <c r="F70" s="767"/>
      <c r="G70" s="4243"/>
      <c r="H70" s="4243"/>
      <c r="I70" s="4244"/>
      <c r="J70" s="760">
        <v>92</v>
      </c>
      <c r="K70" s="75" t="s">
        <v>616</v>
      </c>
      <c r="L70" s="75" t="s">
        <v>617</v>
      </c>
      <c r="M70" s="43">
        <v>1</v>
      </c>
      <c r="N70" s="775">
        <v>0</v>
      </c>
      <c r="O70" s="55"/>
      <c r="P70" s="3088"/>
      <c r="Q70" s="4248"/>
      <c r="R70" s="776">
        <f>+W70/S54</f>
        <v>7.1505121259971327E-2</v>
      </c>
      <c r="S70" s="4261"/>
      <c r="T70" s="4248"/>
      <c r="U70" s="71" t="s">
        <v>618</v>
      </c>
      <c r="V70" s="71" t="s">
        <v>619</v>
      </c>
      <c r="W70" s="762">
        <v>30000000</v>
      </c>
      <c r="X70" s="762"/>
      <c r="Y70" s="762"/>
      <c r="Z70" s="770">
        <v>20</v>
      </c>
      <c r="AA70" s="30" t="s">
        <v>71</v>
      </c>
      <c r="AB70" s="4136"/>
      <c r="AC70" s="4136"/>
      <c r="AD70" s="4136"/>
      <c r="AE70" s="4136"/>
      <c r="AF70" s="4256"/>
      <c r="AG70" s="4256"/>
      <c r="AH70" s="4256"/>
      <c r="AI70" s="4256"/>
      <c r="AJ70" s="4256"/>
      <c r="AK70" s="4256"/>
      <c r="AL70" s="4256"/>
      <c r="AM70" s="4256"/>
      <c r="AN70" s="4256"/>
      <c r="AO70" s="4256"/>
      <c r="AP70" s="4256"/>
      <c r="AQ70" s="4256"/>
      <c r="AR70" s="4256"/>
      <c r="AS70" s="4256"/>
      <c r="AT70" s="4256"/>
      <c r="AU70" s="4256"/>
      <c r="AV70" s="4256"/>
      <c r="AW70" s="4256"/>
      <c r="AX70" s="4256"/>
      <c r="AY70" s="4256"/>
      <c r="AZ70" s="4256"/>
      <c r="BA70" s="4256"/>
      <c r="BB70" s="4256"/>
      <c r="BC70" s="4256"/>
      <c r="BD70" s="4256"/>
      <c r="BE70" s="4256"/>
      <c r="BF70" s="4256"/>
      <c r="BG70" s="4256"/>
      <c r="BH70" s="4256"/>
      <c r="BI70" s="4198"/>
      <c r="BJ70" s="4198"/>
      <c r="BK70" s="3103"/>
      <c r="BL70" s="4256"/>
      <c r="BM70" s="4256"/>
      <c r="BN70" s="4260"/>
      <c r="BO70" s="4260"/>
      <c r="BP70" s="4260"/>
      <c r="BQ70" s="4260"/>
      <c r="BR70" s="4220"/>
    </row>
    <row r="71" spans="1:70" s="593" customFormat="1" ht="30" customHeight="1" x14ac:dyDescent="0.25">
      <c r="A71" s="662"/>
      <c r="B71" s="663"/>
      <c r="C71" s="663"/>
      <c r="D71" s="662"/>
      <c r="E71" s="663"/>
      <c r="F71" s="671"/>
      <c r="G71" s="731">
        <v>21</v>
      </c>
      <c r="H71" s="612" t="s">
        <v>620</v>
      </c>
      <c r="I71" s="612"/>
      <c r="J71" s="612"/>
      <c r="K71" s="613"/>
      <c r="L71" s="613"/>
      <c r="M71" s="653"/>
      <c r="N71" s="653"/>
      <c r="O71" s="732"/>
      <c r="P71" s="653"/>
      <c r="Q71" s="613"/>
      <c r="R71" s="652"/>
      <c r="S71" s="656"/>
      <c r="T71" s="613"/>
      <c r="U71" s="777"/>
      <c r="V71" s="777"/>
      <c r="W71" s="778"/>
      <c r="X71" s="778"/>
      <c r="Y71" s="778"/>
      <c r="Z71" s="615"/>
      <c r="AA71" s="652"/>
      <c r="AB71" s="653"/>
      <c r="AC71" s="653"/>
      <c r="AD71" s="653"/>
      <c r="AE71" s="653"/>
      <c r="AF71" s="653"/>
      <c r="AG71" s="653"/>
      <c r="AH71" s="653"/>
      <c r="AI71" s="653"/>
      <c r="AJ71" s="653"/>
      <c r="AK71" s="653"/>
      <c r="AL71" s="653"/>
      <c r="AM71" s="653"/>
      <c r="AN71" s="653"/>
      <c r="AO71" s="653"/>
      <c r="AP71" s="653"/>
      <c r="AQ71" s="653"/>
      <c r="AR71" s="653"/>
      <c r="AS71" s="653"/>
      <c r="AT71" s="653"/>
      <c r="AU71" s="653"/>
      <c r="AV71" s="653"/>
      <c r="AW71" s="653"/>
      <c r="AX71" s="623"/>
      <c r="AY71" s="623"/>
      <c r="AZ71" s="623"/>
      <c r="BA71" s="623"/>
      <c r="BB71" s="623"/>
      <c r="BC71" s="623"/>
      <c r="BD71" s="623"/>
      <c r="BE71" s="623"/>
      <c r="BF71" s="623"/>
      <c r="BG71" s="623"/>
      <c r="BH71" s="623"/>
      <c r="BI71" s="623"/>
      <c r="BJ71" s="623"/>
      <c r="BK71" s="623"/>
      <c r="BL71" s="623"/>
      <c r="BM71" s="623"/>
      <c r="BN71" s="623"/>
      <c r="BO71" s="623"/>
      <c r="BP71" s="623"/>
      <c r="BQ71" s="623"/>
      <c r="BR71" s="659"/>
    </row>
    <row r="72" spans="1:70" s="593" customFormat="1" ht="48" customHeight="1" x14ac:dyDescent="0.25">
      <c r="A72" s="734"/>
      <c r="B72" s="735"/>
      <c r="C72" s="735"/>
      <c r="D72" s="736"/>
      <c r="E72" s="727"/>
      <c r="F72" s="737"/>
      <c r="G72" s="735"/>
      <c r="H72" s="735"/>
      <c r="I72" s="779"/>
      <c r="J72" s="4134">
        <v>93</v>
      </c>
      <c r="K72" s="4141" t="s">
        <v>621</v>
      </c>
      <c r="L72" s="4199" t="s">
        <v>622</v>
      </c>
      <c r="M72" s="4262">
        <v>36</v>
      </c>
      <c r="N72" s="4262">
        <v>36</v>
      </c>
      <c r="O72" s="70"/>
      <c r="P72" s="4132" t="s">
        <v>623</v>
      </c>
      <c r="Q72" s="4263" t="s">
        <v>624</v>
      </c>
      <c r="R72" s="4236">
        <f>+(W72+W73)/$S$72</f>
        <v>0.25982774744453385</v>
      </c>
      <c r="S72" s="4222">
        <f>SUM(W72:W78)</f>
        <v>109129992</v>
      </c>
      <c r="T72" s="4147" t="s">
        <v>625</v>
      </c>
      <c r="U72" s="4265" t="s">
        <v>626</v>
      </c>
      <c r="V72" s="4265" t="s">
        <v>627</v>
      </c>
      <c r="W72" s="780">
        <v>11861000</v>
      </c>
      <c r="X72" s="780">
        <v>11342000</v>
      </c>
      <c r="Y72" s="780">
        <v>2835500</v>
      </c>
      <c r="Z72" s="632">
        <v>20</v>
      </c>
      <c r="AA72" s="781" t="s">
        <v>71</v>
      </c>
      <c r="AB72" s="4223">
        <v>20555</v>
      </c>
      <c r="AC72" s="4193"/>
      <c r="AD72" s="4194">
        <v>21361</v>
      </c>
      <c r="AE72" s="4193"/>
      <c r="AF72" s="4206">
        <v>30460</v>
      </c>
      <c r="AG72" s="4205"/>
      <c r="AH72" s="4206">
        <v>9593</v>
      </c>
      <c r="AI72" s="4205"/>
      <c r="AJ72" s="4206">
        <v>1762</v>
      </c>
      <c r="AK72" s="4205"/>
      <c r="AL72" s="4206">
        <v>101</v>
      </c>
      <c r="AM72" s="4205"/>
      <c r="AN72" s="4206">
        <v>308</v>
      </c>
      <c r="AO72" s="4205"/>
      <c r="AP72" s="4206">
        <v>277</v>
      </c>
      <c r="AQ72" s="4205"/>
      <c r="AR72" s="4206">
        <v>0</v>
      </c>
      <c r="AS72" s="4205"/>
      <c r="AT72" s="4206">
        <v>0</v>
      </c>
      <c r="AU72" s="4205"/>
      <c r="AV72" s="4206">
        <v>0</v>
      </c>
      <c r="AW72" s="4205"/>
      <c r="AX72" s="4210">
        <v>0</v>
      </c>
      <c r="AY72" s="4209"/>
      <c r="AZ72" s="4210">
        <v>2907</v>
      </c>
      <c r="BA72" s="4209"/>
      <c r="BB72" s="4255">
        <v>2589</v>
      </c>
      <c r="BC72" s="4254"/>
      <c r="BD72" s="4210">
        <v>2954</v>
      </c>
      <c r="BE72" s="4209"/>
      <c r="BF72" s="4225">
        <v>41916</v>
      </c>
      <c r="BG72" s="4230"/>
      <c r="BH72" s="4230">
        <v>1</v>
      </c>
      <c r="BI72" s="4268">
        <f>SUM(X72:X78)</f>
        <v>11342000</v>
      </c>
      <c r="BJ72" s="4268">
        <f>Y72:Y78</f>
        <v>2835500</v>
      </c>
      <c r="BK72" s="4227">
        <f>+BJ72/BI72</f>
        <v>0.25</v>
      </c>
      <c r="BL72" s="4230" t="s">
        <v>628</v>
      </c>
      <c r="BM72" s="4218" t="s">
        <v>629</v>
      </c>
      <c r="BN72" s="4215">
        <v>43497</v>
      </c>
      <c r="BO72" s="4215">
        <v>43497</v>
      </c>
      <c r="BP72" s="4215">
        <v>43646</v>
      </c>
      <c r="BQ72" s="4215">
        <v>43646</v>
      </c>
      <c r="BR72" s="4219" t="s">
        <v>465</v>
      </c>
    </row>
    <row r="73" spans="1:70" s="593" customFormat="1" ht="35.25" customHeight="1" x14ac:dyDescent="0.25">
      <c r="A73" s="734"/>
      <c r="B73" s="735"/>
      <c r="C73" s="735"/>
      <c r="D73" s="736"/>
      <c r="E73" s="727"/>
      <c r="F73" s="737"/>
      <c r="G73" s="735"/>
      <c r="H73" s="735"/>
      <c r="I73" s="779"/>
      <c r="J73" s="4136"/>
      <c r="K73" s="4143"/>
      <c r="L73" s="4199"/>
      <c r="M73" s="4262"/>
      <c r="N73" s="4262"/>
      <c r="O73" s="55"/>
      <c r="P73" s="4130"/>
      <c r="Q73" s="4147"/>
      <c r="R73" s="4236"/>
      <c r="S73" s="4222"/>
      <c r="T73" s="4147"/>
      <c r="U73" s="4265"/>
      <c r="V73" s="4265"/>
      <c r="W73" s="782">
        <f>0+16494000</f>
        <v>16494000</v>
      </c>
      <c r="X73" s="782"/>
      <c r="Y73" s="782"/>
      <c r="Z73" s="632">
        <v>88</v>
      </c>
      <c r="AA73" s="781" t="s">
        <v>467</v>
      </c>
      <c r="AB73" s="4223"/>
      <c r="AC73" s="4194"/>
      <c r="AD73" s="4194"/>
      <c r="AE73" s="4194"/>
      <c r="AF73" s="4206"/>
      <c r="AG73" s="4206"/>
      <c r="AH73" s="4206"/>
      <c r="AI73" s="4206"/>
      <c r="AJ73" s="4206"/>
      <c r="AK73" s="4206"/>
      <c r="AL73" s="4206"/>
      <c r="AM73" s="4206"/>
      <c r="AN73" s="4206"/>
      <c r="AO73" s="4206"/>
      <c r="AP73" s="4206"/>
      <c r="AQ73" s="4206"/>
      <c r="AR73" s="4206"/>
      <c r="AS73" s="4206"/>
      <c r="AT73" s="4206"/>
      <c r="AU73" s="4206"/>
      <c r="AV73" s="4206"/>
      <c r="AW73" s="4206"/>
      <c r="AX73" s="4210"/>
      <c r="AY73" s="4210"/>
      <c r="AZ73" s="4210"/>
      <c r="BA73" s="4210"/>
      <c r="BB73" s="4255"/>
      <c r="BC73" s="4255"/>
      <c r="BD73" s="4210"/>
      <c r="BE73" s="4210"/>
      <c r="BF73" s="4225"/>
      <c r="BG73" s="4225"/>
      <c r="BH73" s="4225"/>
      <c r="BI73" s="4269"/>
      <c r="BJ73" s="4269"/>
      <c r="BK73" s="4228"/>
      <c r="BL73" s="4225"/>
      <c r="BM73" s="4225"/>
      <c r="BN73" s="4216"/>
      <c r="BO73" s="4216"/>
      <c r="BP73" s="4216"/>
      <c r="BQ73" s="4216"/>
      <c r="BR73" s="4219"/>
    </row>
    <row r="74" spans="1:70" s="593" customFormat="1" ht="46.5" customHeight="1" x14ac:dyDescent="0.25">
      <c r="A74" s="734"/>
      <c r="B74" s="735"/>
      <c r="C74" s="735"/>
      <c r="D74" s="736"/>
      <c r="E74" s="727"/>
      <c r="F74" s="737"/>
      <c r="G74" s="735"/>
      <c r="H74" s="735"/>
      <c r="I74" s="779"/>
      <c r="J74" s="4134">
        <v>94</v>
      </c>
      <c r="K74" s="4141" t="s">
        <v>630</v>
      </c>
      <c r="L74" s="4130" t="s">
        <v>631</v>
      </c>
      <c r="M74" s="2751">
        <v>65</v>
      </c>
      <c r="N74" s="4262">
        <v>0</v>
      </c>
      <c r="O74" s="55"/>
      <c r="P74" s="4130"/>
      <c r="Q74" s="4128"/>
      <c r="R74" s="4266">
        <f>(W74+W75)/S72</f>
        <v>0.64143686549523438</v>
      </c>
      <c r="S74" s="4221"/>
      <c r="T74" s="4128"/>
      <c r="U74" s="4128" t="s">
        <v>632</v>
      </c>
      <c r="V74" s="4128" t="s">
        <v>633</v>
      </c>
      <c r="W74" s="783">
        <v>60000000</v>
      </c>
      <c r="X74" s="783"/>
      <c r="Y74" s="783"/>
      <c r="Z74" s="39">
        <v>21</v>
      </c>
      <c r="AA74" s="40" t="s">
        <v>589</v>
      </c>
      <c r="AB74" s="4194"/>
      <c r="AC74" s="4194"/>
      <c r="AD74" s="4194"/>
      <c r="AE74" s="4194"/>
      <c r="AF74" s="4206"/>
      <c r="AG74" s="4206"/>
      <c r="AH74" s="4206"/>
      <c r="AI74" s="4206"/>
      <c r="AJ74" s="4206"/>
      <c r="AK74" s="4206"/>
      <c r="AL74" s="4206"/>
      <c r="AM74" s="4206"/>
      <c r="AN74" s="4206"/>
      <c r="AO74" s="4206"/>
      <c r="AP74" s="4206"/>
      <c r="AQ74" s="4206"/>
      <c r="AR74" s="4206"/>
      <c r="AS74" s="4206"/>
      <c r="AT74" s="4206"/>
      <c r="AU74" s="4206"/>
      <c r="AV74" s="4206"/>
      <c r="AW74" s="4206"/>
      <c r="AX74" s="4210"/>
      <c r="AY74" s="4210"/>
      <c r="AZ74" s="4210"/>
      <c r="BA74" s="4210"/>
      <c r="BB74" s="4255"/>
      <c r="BC74" s="4255"/>
      <c r="BD74" s="4210"/>
      <c r="BE74" s="4210"/>
      <c r="BF74" s="4225"/>
      <c r="BG74" s="4225"/>
      <c r="BH74" s="4225"/>
      <c r="BI74" s="4269"/>
      <c r="BJ74" s="4269"/>
      <c r="BK74" s="4228"/>
      <c r="BL74" s="4225"/>
      <c r="BM74" s="4225"/>
      <c r="BN74" s="4216"/>
      <c r="BO74" s="4216"/>
      <c r="BP74" s="4216"/>
      <c r="BQ74" s="4216"/>
      <c r="BR74" s="4219"/>
    </row>
    <row r="75" spans="1:70" s="593" customFormat="1" ht="35.25" customHeight="1" x14ac:dyDescent="0.25">
      <c r="A75" s="734"/>
      <c r="B75" s="735"/>
      <c r="C75" s="735"/>
      <c r="D75" s="736"/>
      <c r="E75" s="727"/>
      <c r="F75" s="737"/>
      <c r="G75" s="735"/>
      <c r="H75" s="735"/>
      <c r="I75" s="779"/>
      <c r="J75" s="4136"/>
      <c r="K75" s="4143"/>
      <c r="L75" s="4131"/>
      <c r="M75" s="2752"/>
      <c r="N75" s="4262"/>
      <c r="O75" s="55" t="s">
        <v>634</v>
      </c>
      <c r="P75" s="4130"/>
      <c r="Q75" s="4128"/>
      <c r="R75" s="4267"/>
      <c r="S75" s="4221"/>
      <c r="T75" s="4128"/>
      <c r="U75" s="4129"/>
      <c r="V75" s="4129"/>
      <c r="W75" s="695">
        <v>10000000</v>
      </c>
      <c r="X75" s="695"/>
      <c r="Y75" s="695"/>
      <c r="Z75" s="29">
        <v>20</v>
      </c>
      <c r="AA75" s="30" t="s">
        <v>71</v>
      </c>
      <c r="AB75" s="4194"/>
      <c r="AC75" s="4194"/>
      <c r="AD75" s="4194"/>
      <c r="AE75" s="4194"/>
      <c r="AF75" s="4206"/>
      <c r="AG75" s="4206"/>
      <c r="AH75" s="4206"/>
      <c r="AI75" s="4206"/>
      <c r="AJ75" s="4206"/>
      <c r="AK75" s="4206"/>
      <c r="AL75" s="4206"/>
      <c r="AM75" s="4206"/>
      <c r="AN75" s="4206"/>
      <c r="AO75" s="4206"/>
      <c r="AP75" s="4206"/>
      <c r="AQ75" s="4206"/>
      <c r="AR75" s="4206"/>
      <c r="AS75" s="4206"/>
      <c r="AT75" s="4206"/>
      <c r="AU75" s="4206"/>
      <c r="AV75" s="4206"/>
      <c r="AW75" s="4206"/>
      <c r="AX75" s="4210"/>
      <c r="AY75" s="4210"/>
      <c r="AZ75" s="4210"/>
      <c r="BA75" s="4210"/>
      <c r="BB75" s="4255"/>
      <c r="BC75" s="4255"/>
      <c r="BD75" s="4210"/>
      <c r="BE75" s="4210"/>
      <c r="BF75" s="4225"/>
      <c r="BG75" s="4225"/>
      <c r="BH75" s="4225"/>
      <c r="BI75" s="4269"/>
      <c r="BJ75" s="4269"/>
      <c r="BK75" s="4228"/>
      <c r="BL75" s="4225"/>
      <c r="BM75" s="4225"/>
      <c r="BN75" s="4216"/>
      <c r="BO75" s="4216"/>
      <c r="BP75" s="4216"/>
      <c r="BQ75" s="4216"/>
      <c r="BR75" s="4219"/>
    </row>
    <row r="76" spans="1:70" s="593" customFormat="1" ht="33" customHeight="1" x14ac:dyDescent="0.25">
      <c r="A76" s="734"/>
      <c r="B76" s="735"/>
      <c r="C76" s="735"/>
      <c r="D76" s="736"/>
      <c r="E76" s="727"/>
      <c r="F76" s="737"/>
      <c r="G76" s="735"/>
      <c r="H76" s="735"/>
      <c r="I76" s="779"/>
      <c r="J76" s="4134">
        <v>95</v>
      </c>
      <c r="K76" s="4162" t="s">
        <v>635</v>
      </c>
      <c r="L76" s="4162" t="s">
        <v>636</v>
      </c>
      <c r="M76" s="2751">
        <v>500</v>
      </c>
      <c r="N76" s="4262">
        <v>204</v>
      </c>
      <c r="O76" s="55"/>
      <c r="P76" s="4130"/>
      <c r="Q76" s="4128"/>
      <c r="R76" s="4227">
        <f>+W76/S72</f>
        <v>0</v>
      </c>
      <c r="S76" s="4221"/>
      <c r="T76" s="4128"/>
      <c r="U76" s="4162" t="s">
        <v>637</v>
      </c>
      <c r="V76" s="2746" t="s">
        <v>638</v>
      </c>
      <c r="W76" s="4273">
        <f>10000000-10000000</f>
        <v>0</v>
      </c>
      <c r="X76" s="4273"/>
      <c r="Y76" s="4273"/>
      <c r="Z76" s="4257"/>
      <c r="AA76" s="4132"/>
      <c r="AB76" s="4194"/>
      <c r="AC76" s="4194"/>
      <c r="AD76" s="4194"/>
      <c r="AE76" s="4194"/>
      <c r="AF76" s="4206"/>
      <c r="AG76" s="4206"/>
      <c r="AH76" s="4206"/>
      <c r="AI76" s="4206"/>
      <c r="AJ76" s="4206"/>
      <c r="AK76" s="4206"/>
      <c r="AL76" s="4206"/>
      <c r="AM76" s="4206"/>
      <c r="AN76" s="4206"/>
      <c r="AO76" s="4206"/>
      <c r="AP76" s="4206"/>
      <c r="AQ76" s="4206"/>
      <c r="AR76" s="4206"/>
      <c r="AS76" s="4206"/>
      <c r="AT76" s="4206"/>
      <c r="AU76" s="4206"/>
      <c r="AV76" s="4206"/>
      <c r="AW76" s="4206"/>
      <c r="AX76" s="4210"/>
      <c r="AY76" s="4210"/>
      <c r="AZ76" s="4210"/>
      <c r="BA76" s="4210"/>
      <c r="BB76" s="4255"/>
      <c r="BC76" s="4255"/>
      <c r="BD76" s="4210"/>
      <c r="BE76" s="4210"/>
      <c r="BF76" s="4225"/>
      <c r="BG76" s="4225"/>
      <c r="BH76" s="4225"/>
      <c r="BI76" s="4269"/>
      <c r="BJ76" s="4269"/>
      <c r="BK76" s="4228"/>
      <c r="BL76" s="4225"/>
      <c r="BM76" s="4225"/>
      <c r="BN76" s="4216"/>
      <c r="BO76" s="4216"/>
      <c r="BP76" s="4216"/>
      <c r="BQ76" s="4216"/>
      <c r="BR76" s="4219"/>
    </row>
    <row r="77" spans="1:70" s="593" customFormat="1" ht="59.25" customHeight="1" x14ac:dyDescent="0.25">
      <c r="A77" s="734"/>
      <c r="B77" s="735"/>
      <c r="C77" s="735"/>
      <c r="D77" s="736"/>
      <c r="E77" s="727"/>
      <c r="F77" s="737"/>
      <c r="G77" s="735"/>
      <c r="H77" s="735"/>
      <c r="I77" s="779"/>
      <c r="J77" s="4136"/>
      <c r="K77" s="4129"/>
      <c r="L77" s="4129"/>
      <c r="M77" s="2752"/>
      <c r="N77" s="4262"/>
      <c r="O77" s="55" t="s">
        <v>639</v>
      </c>
      <c r="P77" s="4130"/>
      <c r="Q77" s="4128"/>
      <c r="R77" s="4229"/>
      <c r="S77" s="4221"/>
      <c r="T77" s="4128"/>
      <c r="U77" s="4129"/>
      <c r="V77" s="2747"/>
      <c r="W77" s="4274"/>
      <c r="X77" s="4274"/>
      <c r="Y77" s="4274"/>
      <c r="Z77" s="4264"/>
      <c r="AA77" s="4131"/>
      <c r="AB77" s="4194"/>
      <c r="AC77" s="4194"/>
      <c r="AD77" s="4194"/>
      <c r="AE77" s="4194"/>
      <c r="AF77" s="4206"/>
      <c r="AG77" s="4206"/>
      <c r="AH77" s="4206"/>
      <c r="AI77" s="4206"/>
      <c r="AJ77" s="4206"/>
      <c r="AK77" s="4206"/>
      <c r="AL77" s="4206"/>
      <c r="AM77" s="4206"/>
      <c r="AN77" s="4206"/>
      <c r="AO77" s="4206"/>
      <c r="AP77" s="4206"/>
      <c r="AQ77" s="4206"/>
      <c r="AR77" s="4206"/>
      <c r="AS77" s="4206"/>
      <c r="AT77" s="4206"/>
      <c r="AU77" s="4206"/>
      <c r="AV77" s="4206"/>
      <c r="AW77" s="4206"/>
      <c r="AX77" s="4210"/>
      <c r="AY77" s="4210"/>
      <c r="AZ77" s="4210"/>
      <c r="BA77" s="4210"/>
      <c r="BB77" s="4255"/>
      <c r="BC77" s="4255"/>
      <c r="BD77" s="4210"/>
      <c r="BE77" s="4210"/>
      <c r="BF77" s="4225"/>
      <c r="BG77" s="4225"/>
      <c r="BH77" s="4225"/>
      <c r="BI77" s="4269"/>
      <c r="BJ77" s="4269"/>
      <c r="BK77" s="4228"/>
      <c r="BL77" s="4225"/>
      <c r="BM77" s="4225"/>
      <c r="BN77" s="4216"/>
      <c r="BO77" s="4216"/>
      <c r="BP77" s="4216"/>
      <c r="BQ77" s="4216"/>
      <c r="BR77" s="4219"/>
    </row>
    <row r="78" spans="1:70" s="593" customFormat="1" ht="78.75" customHeight="1" x14ac:dyDescent="0.25">
      <c r="A78" s="734"/>
      <c r="B78" s="735"/>
      <c r="C78" s="735"/>
      <c r="D78" s="736"/>
      <c r="E78" s="727"/>
      <c r="F78" s="737"/>
      <c r="G78" s="735"/>
      <c r="H78" s="735"/>
      <c r="I78" s="779"/>
      <c r="J78" s="760">
        <v>96</v>
      </c>
      <c r="K78" s="692" t="s">
        <v>640</v>
      </c>
      <c r="L78" s="692" t="s">
        <v>641</v>
      </c>
      <c r="M78" s="784">
        <v>2</v>
      </c>
      <c r="N78" s="58">
        <v>0</v>
      </c>
      <c r="O78" s="774" t="s">
        <v>642</v>
      </c>
      <c r="P78" s="4131"/>
      <c r="Q78" s="4129"/>
      <c r="R78" s="785">
        <f>+W78/S72</f>
        <v>9.87353870602318E-2</v>
      </c>
      <c r="S78" s="4221"/>
      <c r="T78" s="4128"/>
      <c r="U78" s="786" t="s">
        <v>643</v>
      </c>
      <c r="V78" s="786" t="s">
        <v>644</v>
      </c>
      <c r="W78" s="695">
        <v>10774992</v>
      </c>
      <c r="X78" s="695"/>
      <c r="Y78" s="695"/>
      <c r="Z78" s="29">
        <v>20</v>
      </c>
      <c r="AA78" s="30" t="s">
        <v>71</v>
      </c>
      <c r="AB78" s="4194"/>
      <c r="AC78" s="4208"/>
      <c r="AD78" s="4194"/>
      <c r="AE78" s="4208"/>
      <c r="AF78" s="4206"/>
      <c r="AG78" s="4207"/>
      <c r="AH78" s="4206"/>
      <c r="AI78" s="4207"/>
      <c r="AJ78" s="4206"/>
      <c r="AK78" s="4207"/>
      <c r="AL78" s="4206"/>
      <c r="AM78" s="4207"/>
      <c r="AN78" s="4206"/>
      <c r="AO78" s="4207"/>
      <c r="AP78" s="4206"/>
      <c r="AQ78" s="4207"/>
      <c r="AR78" s="4206"/>
      <c r="AS78" s="4207"/>
      <c r="AT78" s="4206"/>
      <c r="AU78" s="4207"/>
      <c r="AV78" s="4206"/>
      <c r="AW78" s="4207"/>
      <c r="AX78" s="4210"/>
      <c r="AY78" s="4211"/>
      <c r="AZ78" s="4210"/>
      <c r="BA78" s="4211"/>
      <c r="BB78" s="4255"/>
      <c r="BC78" s="4256"/>
      <c r="BD78" s="4210"/>
      <c r="BE78" s="4211"/>
      <c r="BF78" s="4225"/>
      <c r="BG78" s="4226"/>
      <c r="BH78" s="4226"/>
      <c r="BI78" s="4270"/>
      <c r="BJ78" s="4270"/>
      <c r="BK78" s="4229"/>
      <c r="BL78" s="4226"/>
      <c r="BM78" s="4226"/>
      <c r="BN78" s="4217"/>
      <c r="BO78" s="4217"/>
      <c r="BP78" s="4217"/>
      <c r="BQ78" s="4217"/>
      <c r="BR78" s="4219"/>
    </row>
    <row r="79" spans="1:70" s="593" customFormat="1" ht="15.75" x14ac:dyDescent="0.25">
      <c r="A79" s="662"/>
      <c r="B79" s="663"/>
      <c r="C79" s="663"/>
      <c r="D79" s="662"/>
      <c r="E79" s="663"/>
      <c r="F79" s="671"/>
      <c r="G79" s="731">
        <v>22</v>
      </c>
      <c r="H79" s="612" t="s">
        <v>645</v>
      </c>
      <c r="I79" s="612"/>
      <c r="J79" s="612"/>
      <c r="K79" s="613"/>
      <c r="L79" s="613"/>
      <c r="M79" s="653"/>
      <c r="N79" s="653"/>
      <c r="O79" s="732"/>
      <c r="P79" s="653"/>
      <c r="Q79" s="787"/>
      <c r="R79" s="653"/>
      <c r="S79" s="656"/>
      <c r="T79" s="613"/>
      <c r="U79" s="613"/>
      <c r="V79" s="613"/>
      <c r="W79" s="778"/>
      <c r="X79" s="778"/>
      <c r="Y79" s="778"/>
      <c r="Z79" s="615"/>
      <c r="AA79" s="652"/>
      <c r="AB79" s="653"/>
      <c r="AC79" s="653"/>
      <c r="AD79" s="653"/>
      <c r="AE79" s="653"/>
      <c r="AF79" s="653"/>
      <c r="AG79" s="653"/>
      <c r="AH79" s="653"/>
      <c r="AI79" s="653"/>
      <c r="AJ79" s="653"/>
      <c r="AK79" s="653"/>
      <c r="AL79" s="653"/>
      <c r="AM79" s="653"/>
      <c r="AN79" s="653"/>
      <c r="AO79" s="653"/>
      <c r="AP79" s="653"/>
      <c r="AQ79" s="653"/>
      <c r="AR79" s="653"/>
      <c r="AS79" s="653"/>
      <c r="AT79" s="653"/>
      <c r="AU79" s="653"/>
      <c r="AV79" s="653"/>
      <c r="AW79" s="653"/>
      <c r="AX79" s="623"/>
      <c r="AY79" s="623"/>
      <c r="AZ79" s="623"/>
      <c r="BA79" s="623"/>
      <c r="BB79" s="623"/>
      <c r="BC79" s="623"/>
      <c r="BD79" s="623"/>
      <c r="BE79" s="623"/>
      <c r="BF79" s="623"/>
      <c r="BG79" s="623"/>
      <c r="BH79" s="623"/>
      <c r="BI79" s="623"/>
      <c r="BJ79" s="623"/>
      <c r="BK79" s="623"/>
      <c r="BL79" s="623"/>
      <c r="BM79" s="623"/>
      <c r="BN79" s="623"/>
      <c r="BO79" s="623"/>
      <c r="BP79" s="623"/>
      <c r="BQ79" s="623"/>
      <c r="BR79" s="659"/>
    </row>
    <row r="80" spans="1:70" s="593" customFormat="1" ht="45" customHeight="1" x14ac:dyDescent="0.25">
      <c r="A80" s="788"/>
      <c r="B80" s="789"/>
      <c r="C80" s="789"/>
      <c r="D80" s="788"/>
      <c r="E80" s="789"/>
      <c r="F80" s="790"/>
      <c r="G80" s="4271"/>
      <c r="H80" s="4271"/>
      <c r="I80" s="4157"/>
      <c r="J80" s="4135">
        <v>97</v>
      </c>
      <c r="K80" s="4128" t="s">
        <v>646</v>
      </c>
      <c r="L80" s="4128" t="s">
        <v>647</v>
      </c>
      <c r="M80" s="4194">
        <v>52</v>
      </c>
      <c r="N80" s="4193">
        <v>52</v>
      </c>
      <c r="O80" s="791"/>
      <c r="P80" s="4130" t="s">
        <v>648</v>
      </c>
      <c r="Q80" s="4128" t="s">
        <v>649</v>
      </c>
      <c r="R80" s="4272">
        <f>(+W80+W81)/S80</f>
        <v>1</v>
      </c>
      <c r="S80" s="4221">
        <f>+W80+W81</f>
        <v>30000000</v>
      </c>
      <c r="T80" s="4128" t="s">
        <v>650</v>
      </c>
      <c r="U80" s="4128" t="s">
        <v>651</v>
      </c>
      <c r="V80" s="4275" t="s">
        <v>652</v>
      </c>
      <c r="W80" s="792">
        <f>10000000</f>
        <v>10000000</v>
      </c>
      <c r="X80" s="792">
        <v>9000000</v>
      </c>
      <c r="Y80" s="792">
        <v>3000000</v>
      </c>
      <c r="Z80" s="793">
        <v>20</v>
      </c>
      <c r="AA80" s="793" t="s">
        <v>653</v>
      </c>
      <c r="AB80" s="4223">
        <v>20555</v>
      </c>
      <c r="AC80" s="4193"/>
      <c r="AD80" s="4194">
        <v>21361</v>
      </c>
      <c r="AE80" s="4193"/>
      <c r="AF80" s="4194">
        <v>30460</v>
      </c>
      <c r="AG80" s="4193"/>
      <c r="AH80" s="4194">
        <v>9593</v>
      </c>
      <c r="AI80" s="4193"/>
      <c r="AJ80" s="4194">
        <v>1762</v>
      </c>
      <c r="AK80" s="4193"/>
      <c r="AL80" s="4194">
        <v>101</v>
      </c>
      <c r="AM80" s="4193"/>
      <c r="AN80" s="4194">
        <v>308</v>
      </c>
      <c r="AO80" s="4193"/>
      <c r="AP80" s="4194">
        <v>277</v>
      </c>
      <c r="AQ80" s="4193"/>
      <c r="AR80" s="4194">
        <v>0</v>
      </c>
      <c r="AS80" s="4193"/>
      <c r="AT80" s="4194">
        <v>0</v>
      </c>
      <c r="AU80" s="4193"/>
      <c r="AV80" s="4194">
        <v>0</v>
      </c>
      <c r="AW80" s="4193"/>
      <c r="AX80" s="4194">
        <v>0</v>
      </c>
      <c r="AY80" s="4193"/>
      <c r="AZ80" s="4206">
        <v>2907</v>
      </c>
      <c r="BA80" s="4205"/>
      <c r="BB80" s="4206">
        <v>2589</v>
      </c>
      <c r="BC80" s="4205"/>
      <c r="BD80" s="4206">
        <v>2954</v>
      </c>
      <c r="BE80" s="4205"/>
      <c r="BF80" s="4194">
        <v>41916</v>
      </c>
      <c r="BG80" s="4193"/>
      <c r="BH80" s="4193">
        <v>1</v>
      </c>
      <c r="BI80" s="4281">
        <f>SUM(X80:X84)</f>
        <v>9000000</v>
      </c>
      <c r="BJ80" s="4281">
        <f>SUM(Y80:Y84)</f>
        <v>3000000</v>
      </c>
      <c r="BK80" s="4240">
        <f>+BJ80/BI80</f>
        <v>0.33333333333333331</v>
      </c>
      <c r="BL80" s="4193" t="s">
        <v>653</v>
      </c>
      <c r="BM80" s="4132" t="s">
        <v>654</v>
      </c>
      <c r="BN80" s="4259">
        <v>43497</v>
      </c>
      <c r="BO80" s="4258">
        <v>43497</v>
      </c>
      <c r="BP80" s="4259">
        <v>43615</v>
      </c>
      <c r="BQ80" s="4258">
        <v>43615</v>
      </c>
      <c r="BR80" s="4219" t="s">
        <v>465</v>
      </c>
    </row>
    <row r="81" spans="1:70" s="593" customFormat="1" ht="15.75" x14ac:dyDescent="0.25">
      <c r="A81" s="788"/>
      <c r="B81" s="789"/>
      <c r="C81" s="789"/>
      <c r="D81" s="788"/>
      <c r="E81" s="789"/>
      <c r="F81" s="790"/>
      <c r="G81" s="4271"/>
      <c r="H81" s="4271"/>
      <c r="I81" s="4157"/>
      <c r="J81" s="4135"/>
      <c r="K81" s="4128"/>
      <c r="L81" s="4128"/>
      <c r="M81" s="4194"/>
      <c r="N81" s="4194"/>
      <c r="O81" s="791"/>
      <c r="P81" s="4130"/>
      <c r="Q81" s="4128"/>
      <c r="R81" s="4272"/>
      <c r="S81" s="4221"/>
      <c r="T81" s="4128"/>
      <c r="U81" s="4128"/>
      <c r="V81" s="4275"/>
      <c r="W81" s="4276">
        <f>0+20000000</f>
        <v>20000000</v>
      </c>
      <c r="X81" s="4277"/>
      <c r="Y81" s="4277"/>
      <c r="Z81" s="4280">
        <v>88</v>
      </c>
      <c r="AA81" s="4280" t="s">
        <v>467</v>
      </c>
      <c r="AB81" s="4223"/>
      <c r="AC81" s="4194"/>
      <c r="AD81" s="4194"/>
      <c r="AE81" s="4194"/>
      <c r="AF81" s="4194"/>
      <c r="AG81" s="4194"/>
      <c r="AH81" s="4194"/>
      <c r="AI81" s="4194"/>
      <c r="AJ81" s="4194"/>
      <c r="AK81" s="4194"/>
      <c r="AL81" s="4194"/>
      <c r="AM81" s="4194"/>
      <c r="AN81" s="4194"/>
      <c r="AO81" s="4194"/>
      <c r="AP81" s="4194"/>
      <c r="AQ81" s="4194"/>
      <c r="AR81" s="4194"/>
      <c r="AS81" s="4194"/>
      <c r="AT81" s="4194"/>
      <c r="AU81" s="4194"/>
      <c r="AV81" s="4194"/>
      <c r="AW81" s="4194"/>
      <c r="AX81" s="4194"/>
      <c r="AY81" s="4194"/>
      <c r="AZ81" s="4194"/>
      <c r="BA81" s="4206"/>
      <c r="BB81" s="4194"/>
      <c r="BC81" s="4206"/>
      <c r="BD81" s="4194"/>
      <c r="BE81" s="4206"/>
      <c r="BF81" s="4194"/>
      <c r="BG81" s="4194"/>
      <c r="BH81" s="4194"/>
      <c r="BI81" s="4194"/>
      <c r="BJ81" s="4194"/>
      <c r="BK81" s="4241"/>
      <c r="BL81" s="4194"/>
      <c r="BM81" s="4194"/>
      <c r="BN81" s="4225"/>
      <c r="BO81" s="4259"/>
      <c r="BP81" s="4225"/>
      <c r="BQ81" s="4259"/>
      <c r="BR81" s="4219"/>
    </row>
    <row r="82" spans="1:70" s="593" customFormat="1" ht="18" customHeight="1" x14ac:dyDescent="0.25">
      <c r="A82" s="788"/>
      <c r="B82" s="789"/>
      <c r="C82" s="789"/>
      <c r="D82" s="788"/>
      <c r="E82" s="789"/>
      <c r="F82" s="790"/>
      <c r="G82" s="4271"/>
      <c r="H82" s="4271"/>
      <c r="I82" s="4157"/>
      <c r="J82" s="4135"/>
      <c r="K82" s="4128"/>
      <c r="L82" s="4128"/>
      <c r="M82" s="4194"/>
      <c r="N82" s="4194"/>
      <c r="O82" s="791" t="s">
        <v>655</v>
      </c>
      <c r="P82" s="4130"/>
      <c r="Q82" s="4128"/>
      <c r="R82" s="4272"/>
      <c r="S82" s="4221"/>
      <c r="T82" s="4128"/>
      <c r="U82" s="4128"/>
      <c r="V82" s="4275"/>
      <c r="W82" s="4276"/>
      <c r="X82" s="4278"/>
      <c r="Y82" s="4278"/>
      <c r="Z82" s="4280"/>
      <c r="AA82" s="4280"/>
      <c r="AB82" s="4223"/>
      <c r="AC82" s="4194"/>
      <c r="AD82" s="4194"/>
      <c r="AE82" s="4194"/>
      <c r="AF82" s="4194"/>
      <c r="AG82" s="4194"/>
      <c r="AH82" s="4194"/>
      <c r="AI82" s="4194"/>
      <c r="AJ82" s="4194"/>
      <c r="AK82" s="4194"/>
      <c r="AL82" s="4194"/>
      <c r="AM82" s="4194"/>
      <c r="AN82" s="4194"/>
      <c r="AO82" s="4194"/>
      <c r="AP82" s="4194"/>
      <c r="AQ82" s="4194"/>
      <c r="AR82" s="4194"/>
      <c r="AS82" s="4194"/>
      <c r="AT82" s="4194"/>
      <c r="AU82" s="4194"/>
      <c r="AV82" s="4194"/>
      <c r="AW82" s="4194"/>
      <c r="AX82" s="4194"/>
      <c r="AY82" s="4194"/>
      <c r="AZ82" s="4194"/>
      <c r="BA82" s="4206"/>
      <c r="BB82" s="4194"/>
      <c r="BC82" s="4206"/>
      <c r="BD82" s="4194"/>
      <c r="BE82" s="4206"/>
      <c r="BF82" s="4194"/>
      <c r="BG82" s="4194"/>
      <c r="BH82" s="4194"/>
      <c r="BI82" s="4194"/>
      <c r="BJ82" s="4194"/>
      <c r="BK82" s="4241"/>
      <c r="BL82" s="4194"/>
      <c r="BM82" s="4194"/>
      <c r="BN82" s="4225"/>
      <c r="BO82" s="4259"/>
      <c r="BP82" s="4225"/>
      <c r="BQ82" s="4259"/>
      <c r="BR82" s="4219"/>
    </row>
    <row r="83" spans="1:70" s="593" customFormat="1" ht="15.75" x14ac:dyDescent="0.25">
      <c r="A83" s="788"/>
      <c r="B83" s="789"/>
      <c r="C83" s="789"/>
      <c r="D83" s="788"/>
      <c r="E83" s="789"/>
      <c r="F83" s="790"/>
      <c r="G83" s="4271"/>
      <c r="H83" s="4271"/>
      <c r="I83" s="4157"/>
      <c r="J83" s="4135"/>
      <c r="K83" s="4128"/>
      <c r="L83" s="4128"/>
      <c r="M83" s="4194"/>
      <c r="N83" s="4194"/>
      <c r="O83" s="774" t="s">
        <v>656</v>
      </c>
      <c r="P83" s="4130"/>
      <c r="Q83" s="4128"/>
      <c r="R83" s="4272"/>
      <c r="S83" s="4221"/>
      <c r="T83" s="4128"/>
      <c r="U83" s="4128"/>
      <c r="V83" s="4275"/>
      <c r="W83" s="4276"/>
      <c r="X83" s="4278"/>
      <c r="Y83" s="4278"/>
      <c r="Z83" s="4280"/>
      <c r="AA83" s="4280"/>
      <c r="AB83" s="4223"/>
      <c r="AC83" s="4194"/>
      <c r="AD83" s="4194"/>
      <c r="AE83" s="4194"/>
      <c r="AF83" s="4194"/>
      <c r="AG83" s="4194"/>
      <c r="AH83" s="4194"/>
      <c r="AI83" s="4194"/>
      <c r="AJ83" s="4194"/>
      <c r="AK83" s="4194"/>
      <c r="AL83" s="4194"/>
      <c r="AM83" s="4194"/>
      <c r="AN83" s="4194"/>
      <c r="AO83" s="4194"/>
      <c r="AP83" s="4194"/>
      <c r="AQ83" s="4194"/>
      <c r="AR83" s="4194"/>
      <c r="AS83" s="4194"/>
      <c r="AT83" s="4194"/>
      <c r="AU83" s="4194"/>
      <c r="AV83" s="4194"/>
      <c r="AW83" s="4194"/>
      <c r="AX83" s="4194"/>
      <c r="AY83" s="4194"/>
      <c r="AZ83" s="4194"/>
      <c r="BA83" s="4206"/>
      <c r="BB83" s="4194"/>
      <c r="BC83" s="4206"/>
      <c r="BD83" s="4194"/>
      <c r="BE83" s="4206"/>
      <c r="BF83" s="4194"/>
      <c r="BG83" s="4194"/>
      <c r="BH83" s="4194"/>
      <c r="BI83" s="4194"/>
      <c r="BJ83" s="4194"/>
      <c r="BK83" s="4241"/>
      <c r="BL83" s="4194"/>
      <c r="BM83" s="4194"/>
      <c r="BN83" s="4225"/>
      <c r="BO83" s="4259"/>
      <c r="BP83" s="4225"/>
      <c r="BQ83" s="4259"/>
      <c r="BR83" s="4219"/>
    </row>
    <row r="84" spans="1:70" s="593" customFormat="1" ht="15.75" x14ac:dyDescent="0.25">
      <c r="A84" s="788"/>
      <c r="B84" s="789"/>
      <c r="C84" s="789"/>
      <c r="D84" s="794"/>
      <c r="E84" s="795"/>
      <c r="F84" s="796"/>
      <c r="G84" s="4271"/>
      <c r="H84" s="4271"/>
      <c r="I84" s="4157"/>
      <c r="J84" s="4135"/>
      <c r="K84" s="4128"/>
      <c r="L84" s="4128"/>
      <c r="M84" s="4194"/>
      <c r="N84" s="4208"/>
      <c r="O84" s="791"/>
      <c r="P84" s="4130"/>
      <c r="Q84" s="4128"/>
      <c r="R84" s="4272"/>
      <c r="S84" s="4221"/>
      <c r="T84" s="4128"/>
      <c r="U84" s="4128"/>
      <c r="V84" s="4275"/>
      <c r="W84" s="4276"/>
      <c r="X84" s="4279"/>
      <c r="Y84" s="4279"/>
      <c r="Z84" s="4280"/>
      <c r="AA84" s="4280"/>
      <c r="AB84" s="4223"/>
      <c r="AC84" s="4208"/>
      <c r="AD84" s="4194"/>
      <c r="AE84" s="4208"/>
      <c r="AF84" s="4194"/>
      <c r="AG84" s="4208"/>
      <c r="AH84" s="4194"/>
      <c r="AI84" s="4208"/>
      <c r="AJ84" s="4194"/>
      <c r="AK84" s="4208"/>
      <c r="AL84" s="4194"/>
      <c r="AM84" s="4208"/>
      <c r="AN84" s="4194"/>
      <c r="AO84" s="4208"/>
      <c r="AP84" s="4194"/>
      <c r="AQ84" s="4208"/>
      <c r="AR84" s="4194"/>
      <c r="AS84" s="4208"/>
      <c r="AT84" s="4194"/>
      <c r="AU84" s="4208"/>
      <c r="AV84" s="4194"/>
      <c r="AW84" s="4208"/>
      <c r="AX84" s="4194"/>
      <c r="AY84" s="4208"/>
      <c r="AZ84" s="4194"/>
      <c r="BA84" s="4207"/>
      <c r="BB84" s="4194"/>
      <c r="BC84" s="4207"/>
      <c r="BD84" s="4194"/>
      <c r="BE84" s="4207"/>
      <c r="BF84" s="4194"/>
      <c r="BG84" s="4208"/>
      <c r="BH84" s="4208"/>
      <c r="BI84" s="4208"/>
      <c r="BJ84" s="4208"/>
      <c r="BK84" s="4242"/>
      <c r="BL84" s="4208"/>
      <c r="BM84" s="4208"/>
      <c r="BN84" s="4225"/>
      <c r="BO84" s="4260"/>
      <c r="BP84" s="4225"/>
      <c r="BQ84" s="4260"/>
      <c r="BR84" s="4219"/>
    </row>
    <row r="85" spans="1:70" s="593" customFormat="1" ht="15.75" x14ac:dyDescent="0.25">
      <c r="A85" s="797"/>
      <c r="B85" s="798"/>
      <c r="C85" s="799"/>
      <c r="D85" s="715">
        <v>7</v>
      </c>
      <c r="E85" s="716" t="s">
        <v>657</v>
      </c>
      <c r="F85" s="716"/>
      <c r="G85" s="800"/>
      <c r="H85" s="800"/>
      <c r="I85" s="800"/>
      <c r="J85" s="800"/>
      <c r="K85" s="801"/>
      <c r="L85" s="801"/>
      <c r="M85" s="800"/>
      <c r="N85" s="800"/>
      <c r="O85" s="802"/>
      <c r="P85" s="802"/>
      <c r="Q85" s="803"/>
      <c r="R85" s="804"/>
      <c r="S85" s="805"/>
      <c r="T85" s="801"/>
      <c r="U85" s="801"/>
      <c r="V85" s="801"/>
      <c r="W85" s="806"/>
      <c r="X85" s="806"/>
      <c r="Y85" s="806"/>
      <c r="Z85" s="807"/>
      <c r="AA85" s="808"/>
      <c r="AB85" s="802"/>
      <c r="AC85" s="802"/>
      <c r="AD85" s="802"/>
      <c r="AE85" s="802"/>
      <c r="AF85" s="809"/>
      <c r="AG85" s="809"/>
      <c r="AH85" s="809"/>
      <c r="AI85" s="809"/>
      <c r="AJ85" s="809"/>
      <c r="AK85" s="809"/>
      <c r="AL85" s="809"/>
      <c r="AM85" s="809"/>
      <c r="AN85" s="809"/>
      <c r="AO85" s="809"/>
      <c r="AP85" s="809"/>
      <c r="AQ85" s="809"/>
      <c r="AR85" s="809"/>
      <c r="AS85" s="809"/>
      <c r="AT85" s="810"/>
      <c r="AU85" s="810"/>
      <c r="AV85" s="810"/>
      <c r="AW85" s="810"/>
      <c r="AX85" s="811"/>
      <c r="AY85" s="811"/>
      <c r="AZ85" s="811"/>
      <c r="BA85" s="811"/>
      <c r="BB85" s="811"/>
      <c r="BC85" s="811"/>
      <c r="BD85" s="811"/>
      <c r="BE85" s="811"/>
      <c r="BF85" s="812"/>
      <c r="BG85" s="812"/>
      <c r="BH85" s="812"/>
      <c r="BI85" s="812"/>
      <c r="BJ85" s="812"/>
      <c r="BK85" s="812"/>
      <c r="BL85" s="812"/>
      <c r="BM85" s="812"/>
      <c r="BN85" s="812"/>
      <c r="BO85" s="812"/>
      <c r="BP85" s="812"/>
      <c r="BQ85" s="812"/>
      <c r="BR85" s="813"/>
    </row>
    <row r="86" spans="1:70" s="593" customFormat="1" ht="15.75" x14ac:dyDescent="0.25">
      <c r="A86" s="797"/>
      <c r="B86" s="798"/>
      <c r="C86" s="798"/>
      <c r="D86" s="608"/>
      <c r="E86" s="609"/>
      <c r="F86" s="610"/>
      <c r="G86" s="814">
        <v>23</v>
      </c>
      <c r="H86" s="612" t="s">
        <v>658</v>
      </c>
      <c r="I86" s="815"/>
      <c r="J86" s="815"/>
      <c r="K86" s="816"/>
      <c r="L86" s="816"/>
      <c r="M86" s="654"/>
      <c r="N86" s="654"/>
      <c r="O86" s="655"/>
      <c r="P86" s="654"/>
      <c r="Q86" s="817"/>
      <c r="R86" s="654"/>
      <c r="S86" s="818"/>
      <c r="T86" s="816"/>
      <c r="U86" s="816"/>
      <c r="V86" s="816"/>
      <c r="W86" s="763"/>
      <c r="X86" s="763"/>
      <c r="Y86" s="763"/>
      <c r="Z86" s="655"/>
      <c r="AA86" s="654"/>
      <c r="AB86" s="654"/>
      <c r="AC86" s="654"/>
      <c r="AD86" s="654"/>
      <c r="AE86" s="654"/>
      <c r="AF86" s="654"/>
      <c r="AG86" s="654"/>
      <c r="AH86" s="654"/>
      <c r="AI86" s="654"/>
      <c r="AJ86" s="654"/>
      <c r="AK86" s="654"/>
      <c r="AL86" s="654"/>
      <c r="AM86" s="654"/>
      <c r="AN86" s="654"/>
      <c r="AO86" s="654"/>
      <c r="AP86" s="654"/>
      <c r="AQ86" s="654"/>
      <c r="AR86" s="654"/>
      <c r="AS86" s="654"/>
      <c r="AT86" s="654"/>
      <c r="AU86" s="654"/>
      <c r="AV86" s="654"/>
      <c r="AW86" s="654"/>
      <c r="AX86" s="819"/>
      <c r="AY86" s="819"/>
      <c r="AZ86" s="819"/>
      <c r="BA86" s="819"/>
      <c r="BB86" s="819"/>
      <c r="BC86" s="819"/>
      <c r="BD86" s="819"/>
      <c r="BE86" s="819"/>
      <c r="BF86" s="819"/>
      <c r="BG86" s="819"/>
      <c r="BH86" s="819"/>
      <c r="BI86" s="819"/>
      <c r="BJ86" s="819"/>
      <c r="BK86" s="819"/>
      <c r="BL86" s="819"/>
      <c r="BM86" s="819"/>
      <c r="BN86" s="819"/>
      <c r="BO86" s="819"/>
      <c r="BP86" s="819"/>
      <c r="BQ86" s="819"/>
      <c r="BR86" s="820"/>
    </row>
    <row r="87" spans="1:70" s="593" customFormat="1" ht="89.25" customHeight="1" x14ac:dyDescent="0.25">
      <c r="A87" s="797"/>
      <c r="B87" s="798"/>
      <c r="C87" s="798"/>
      <c r="D87" s="625"/>
      <c r="E87" s="626"/>
      <c r="F87" s="627"/>
      <c r="G87" s="821"/>
      <c r="H87" s="822"/>
      <c r="I87" s="823"/>
      <c r="J87" s="738">
        <v>98</v>
      </c>
      <c r="K87" s="677" t="s">
        <v>659</v>
      </c>
      <c r="L87" s="677" t="s">
        <v>660</v>
      </c>
      <c r="M87" s="739">
        <v>55</v>
      </c>
      <c r="N87" s="58">
        <v>0</v>
      </c>
      <c r="O87" s="791"/>
      <c r="P87" s="4130" t="s">
        <v>661</v>
      </c>
      <c r="Q87" s="4128" t="s">
        <v>662</v>
      </c>
      <c r="R87" s="761"/>
      <c r="S87" s="4221">
        <f>+W89+W91</f>
        <v>0</v>
      </c>
      <c r="T87" s="4128" t="s">
        <v>663</v>
      </c>
      <c r="U87" s="677" t="s">
        <v>664</v>
      </c>
      <c r="V87" s="67" t="s">
        <v>665</v>
      </c>
      <c r="W87" s="752"/>
      <c r="X87" s="756"/>
      <c r="Y87" s="756"/>
      <c r="Z87" s="4205"/>
      <c r="AA87" s="4282"/>
      <c r="AB87" s="4204">
        <v>20555</v>
      </c>
      <c r="AC87" s="4193"/>
      <c r="AD87" s="4204">
        <v>21361</v>
      </c>
      <c r="AE87" s="4193"/>
      <c r="AF87" s="4203">
        <v>30460</v>
      </c>
      <c r="AG87" s="4205"/>
      <c r="AH87" s="4203">
        <v>9593</v>
      </c>
      <c r="AI87" s="4205"/>
      <c r="AJ87" s="4203">
        <v>1762</v>
      </c>
      <c r="AK87" s="4205"/>
      <c r="AL87" s="4203">
        <v>93</v>
      </c>
      <c r="AM87" s="4205"/>
      <c r="AN87" s="4203">
        <v>238</v>
      </c>
      <c r="AO87" s="4205"/>
      <c r="AP87" s="4203">
        <v>245</v>
      </c>
      <c r="AQ87" s="4205"/>
      <c r="AR87" s="4203">
        <v>0</v>
      </c>
      <c r="AS87" s="4205"/>
      <c r="AT87" s="4203">
        <v>0</v>
      </c>
      <c r="AU87" s="4205"/>
      <c r="AV87" s="4203">
        <v>0</v>
      </c>
      <c r="AW87" s="4205"/>
      <c r="AX87" s="4284">
        <v>0</v>
      </c>
      <c r="AY87" s="4209"/>
      <c r="AZ87" s="4284">
        <v>2629</v>
      </c>
      <c r="BA87" s="4209"/>
      <c r="BB87" s="4284">
        <v>2665</v>
      </c>
      <c r="BC87" s="4209"/>
      <c r="BD87" s="4284">
        <v>2683</v>
      </c>
      <c r="BE87" s="4209"/>
      <c r="BF87" s="4291">
        <v>43946</v>
      </c>
      <c r="BG87" s="4230"/>
      <c r="BH87" s="4230"/>
      <c r="BI87" s="4230"/>
      <c r="BJ87" s="4230"/>
      <c r="BK87" s="4230"/>
      <c r="BL87" s="4230"/>
      <c r="BM87" s="4230"/>
      <c r="BN87" s="4258"/>
      <c r="BO87" s="4258"/>
      <c r="BP87" s="4231"/>
      <c r="BQ87" s="4231"/>
      <c r="BR87" s="4220" t="s">
        <v>465</v>
      </c>
    </row>
    <row r="88" spans="1:70" s="593" customFormat="1" ht="81" customHeight="1" x14ac:dyDescent="0.25">
      <c r="A88" s="797"/>
      <c r="B88" s="798"/>
      <c r="C88" s="798"/>
      <c r="D88" s="625"/>
      <c r="E88" s="824"/>
      <c r="F88" s="627"/>
      <c r="G88" s="822"/>
      <c r="H88" s="822"/>
      <c r="I88" s="823"/>
      <c r="J88" s="750">
        <v>99</v>
      </c>
      <c r="K88" s="676" t="s">
        <v>666</v>
      </c>
      <c r="L88" s="676" t="s">
        <v>667</v>
      </c>
      <c r="M88" s="58">
        <v>150</v>
      </c>
      <c r="N88" s="58">
        <v>0</v>
      </c>
      <c r="O88" s="825"/>
      <c r="P88" s="4130"/>
      <c r="Q88" s="4128"/>
      <c r="R88" s="741"/>
      <c r="S88" s="4221"/>
      <c r="T88" s="4128"/>
      <c r="U88" s="676" t="s">
        <v>668</v>
      </c>
      <c r="V88" s="826" t="s">
        <v>669</v>
      </c>
      <c r="W88" s="756"/>
      <c r="X88" s="756"/>
      <c r="Y88" s="756"/>
      <c r="Z88" s="4206"/>
      <c r="AA88" s="4223"/>
      <c r="AB88" s="4204"/>
      <c r="AC88" s="4194"/>
      <c r="AD88" s="4204"/>
      <c r="AE88" s="4194"/>
      <c r="AF88" s="4203"/>
      <c r="AG88" s="4206"/>
      <c r="AH88" s="4203"/>
      <c r="AI88" s="4206"/>
      <c r="AJ88" s="4203"/>
      <c r="AK88" s="4206"/>
      <c r="AL88" s="4203"/>
      <c r="AM88" s="4206"/>
      <c r="AN88" s="4203"/>
      <c r="AO88" s="4206"/>
      <c r="AP88" s="4203"/>
      <c r="AQ88" s="4206"/>
      <c r="AR88" s="4203"/>
      <c r="AS88" s="4206"/>
      <c r="AT88" s="4203"/>
      <c r="AU88" s="4206"/>
      <c r="AV88" s="4203"/>
      <c r="AW88" s="4206"/>
      <c r="AX88" s="4284"/>
      <c r="AY88" s="4210"/>
      <c r="AZ88" s="4284"/>
      <c r="BA88" s="4210"/>
      <c r="BB88" s="4284"/>
      <c r="BC88" s="4210"/>
      <c r="BD88" s="4284"/>
      <c r="BE88" s="4210"/>
      <c r="BF88" s="4291"/>
      <c r="BG88" s="4225"/>
      <c r="BH88" s="4225"/>
      <c r="BI88" s="4225"/>
      <c r="BJ88" s="4225"/>
      <c r="BK88" s="4225"/>
      <c r="BL88" s="4225"/>
      <c r="BM88" s="4225"/>
      <c r="BN88" s="4259"/>
      <c r="BO88" s="4259"/>
      <c r="BP88" s="4232"/>
      <c r="BQ88" s="4232"/>
      <c r="BR88" s="4285"/>
    </row>
    <row r="89" spans="1:70" s="593" customFormat="1" ht="72" customHeight="1" x14ac:dyDescent="0.25">
      <c r="A89" s="4286"/>
      <c r="B89" s="4286"/>
      <c r="C89" s="4286"/>
      <c r="D89" s="4287"/>
      <c r="E89" s="4287"/>
      <c r="F89" s="4287"/>
      <c r="G89" s="822"/>
      <c r="H89" s="822"/>
      <c r="I89" s="823"/>
      <c r="J89" s="750">
        <v>100</v>
      </c>
      <c r="K89" s="676" t="s">
        <v>670</v>
      </c>
      <c r="L89" s="676" t="s">
        <v>671</v>
      </c>
      <c r="M89" s="58">
        <v>6</v>
      </c>
      <c r="N89" s="58">
        <v>11</v>
      </c>
      <c r="O89" s="791"/>
      <c r="P89" s="4130"/>
      <c r="Q89" s="4128"/>
      <c r="R89" s="741"/>
      <c r="S89" s="4221"/>
      <c r="T89" s="4128"/>
      <c r="U89" s="676" t="s">
        <v>670</v>
      </c>
      <c r="V89" s="826" t="s">
        <v>672</v>
      </c>
      <c r="W89" s="689"/>
      <c r="X89" s="689"/>
      <c r="Y89" s="689"/>
      <c r="Z89" s="4206"/>
      <c r="AA89" s="4223"/>
      <c r="AB89" s="4204"/>
      <c r="AC89" s="4194"/>
      <c r="AD89" s="4204"/>
      <c r="AE89" s="4194"/>
      <c r="AF89" s="4203"/>
      <c r="AG89" s="4206"/>
      <c r="AH89" s="4203"/>
      <c r="AI89" s="4206"/>
      <c r="AJ89" s="4203"/>
      <c r="AK89" s="4206"/>
      <c r="AL89" s="4203"/>
      <c r="AM89" s="4206"/>
      <c r="AN89" s="4203"/>
      <c r="AO89" s="4206"/>
      <c r="AP89" s="4203"/>
      <c r="AQ89" s="4206"/>
      <c r="AR89" s="4203"/>
      <c r="AS89" s="4206"/>
      <c r="AT89" s="4203"/>
      <c r="AU89" s="4206"/>
      <c r="AV89" s="4203"/>
      <c r="AW89" s="4206"/>
      <c r="AX89" s="4284"/>
      <c r="AY89" s="4210"/>
      <c r="AZ89" s="4284"/>
      <c r="BA89" s="4210"/>
      <c r="BB89" s="4284"/>
      <c r="BC89" s="4210"/>
      <c r="BD89" s="4284"/>
      <c r="BE89" s="4210"/>
      <c r="BF89" s="4291"/>
      <c r="BG89" s="4225"/>
      <c r="BH89" s="4225"/>
      <c r="BI89" s="4225"/>
      <c r="BJ89" s="4225"/>
      <c r="BK89" s="4225"/>
      <c r="BL89" s="4225"/>
      <c r="BM89" s="4225"/>
      <c r="BN89" s="4259"/>
      <c r="BO89" s="4259"/>
      <c r="BP89" s="4232"/>
      <c r="BQ89" s="4232"/>
      <c r="BR89" s="4285"/>
    </row>
    <row r="90" spans="1:70" s="593" customFormat="1" ht="49.5" customHeight="1" x14ac:dyDescent="0.25">
      <c r="A90" s="4286"/>
      <c r="B90" s="4286"/>
      <c r="C90" s="4286"/>
      <c r="D90" s="4287"/>
      <c r="E90" s="4287"/>
      <c r="F90" s="4287"/>
      <c r="G90" s="822"/>
      <c r="H90" s="822"/>
      <c r="I90" s="823"/>
      <c r="J90" s="750">
        <v>101</v>
      </c>
      <c r="K90" s="676" t="s">
        <v>673</v>
      </c>
      <c r="L90" s="676" t="s">
        <v>674</v>
      </c>
      <c r="M90" s="58">
        <v>54</v>
      </c>
      <c r="N90" s="58">
        <v>0</v>
      </c>
      <c r="O90" s="791"/>
      <c r="P90" s="4130"/>
      <c r="Q90" s="4128"/>
      <c r="R90" s="741"/>
      <c r="S90" s="4221"/>
      <c r="T90" s="4128"/>
      <c r="U90" s="676" t="s">
        <v>675</v>
      </c>
      <c r="V90" s="51" t="s">
        <v>676</v>
      </c>
      <c r="W90" s="756"/>
      <c r="X90" s="756"/>
      <c r="Y90" s="756"/>
      <c r="Z90" s="4206"/>
      <c r="AA90" s="4223"/>
      <c r="AB90" s="4204"/>
      <c r="AC90" s="4194"/>
      <c r="AD90" s="4204"/>
      <c r="AE90" s="4194"/>
      <c r="AF90" s="4203"/>
      <c r="AG90" s="4206"/>
      <c r="AH90" s="4203"/>
      <c r="AI90" s="4206"/>
      <c r="AJ90" s="4203"/>
      <c r="AK90" s="4206"/>
      <c r="AL90" s="4203"/>
      <c r="AM90" s="4206"/>
      <c r="AN90" s="4203"/>
      <c r="AO90" s="4206"/>
      <c r="AP90" s="4203"/>
      <c r="AQ90" s="4206"/>
      <c r="AR90" s="4203"/>
      <c r="AS90" s="4206"/>
      <c r="AT90" s="4203"/>
      <c r="AU90" s="4206"/>
      <c r="AV90" s="4203"/>
      <c r="AW90" s="4206"/>
      <c r="AX90" s="4284"/>
      <c r="AY90" s="4210"/>
      <c r="AZ90" s="4284"/>
      <c r="BA90" s="4210"/>
      <c r="BB90" s="4284"/>
      <c r="BC90" s="4210"/>
      <c r="BD90" s="4284"/>
      <c r="BE90" s="4210"/>
      <c r="BF90" s="4291"/>
      <c r="BG90" s="4225"/>
      <c r="BH90" s="4225"/>
      <c r="BI90" s="4225"/>
      <c r="BJ90" s="4225"/>
      <c r="BK90" s="4225"/>
      <c r="BL90" s="4225"/>
      <c r="BM90" s="4225"/>
      <c r="BN90" s="4259"/>
      <c r="BO90" s="4259"/>
      <c r="BP90" s="4232"/>
      <c r="BQ90" s="4232"/>
      <c r="BR90" s="4285"/>
    </row>
    <row r="91" spans="1:70" s="593" customFormat="1" ht="60.75" customHeight="1" x14ac:dyDescent="0.25">
      <c r="A91" s="4286"/>
      <c r="B91" s="4286"/>
      <c r="C91" s="4286"/>
      <c r="D91" s="4287"/>
      <c r="E91" s="4287"/>
      <c r="F91" s="4287"/>
      <c r="G91" s="822"/>
      <c r="H91" s="822"/>
      <c r="I91" s="823"/>
      <c r="J91" s="760">
        <v>102</v>
      </c>
      <c r="K91" s="692" t="s">
        <v>677</v>
      </c>
      <c r="L91" s="692" t="s">
        <v>678</v>
      </c>
      <c r="M91" s="697">
        <v>1</v>
      </c>
      <c r="N91" s="684">
        <v>0</v>
      </c>
      <c r="O91" s="791"/>
      <c r="P91" s="4130"/>
      <c r="Q91" s="4128"/>
      <c r="R91" s="751"/>
      <c r="S91" s="4221"/>
      <c r="T91" s="4128"/>
      <c r="U91" s="692" t="s">
        <v>679</v>
      </c>
      <c r="V91" s="71" t="s">
        <v>680</v>
      </c>
      <c r="W91" s="827"/>
      <c r="X91" s="828"/>
      <c r="Y91" s="828"/>
      <c r="Z91" s="4207"/>
      <c r="AA91" s="4283"/>
      <c r="AB91" s="4204"/>
      <c r="AC91" s="4208"/>
      <c r="AD91" s="4204"/>
      <c r="AE91" s="4208"/>
      <c r="AF91" s="4203"/>
      <c r="AG91" s="4207"/>
      <c r="AH91" s="4203"/>
      <c r="AI91" s="4207"/>
      <c r="AJ91" s="4203"/>
      <c r="AK91" s="4207"/>
      <c r="AL91" s="4203"/>
      <c r="AM91" s="4207"/>
      <c r="AN91" s="4203"/>
      <c r="AO91" s="4207"/>
      <c r="AP91" s="4203"/>
      <c r="AQ91" s="4207"/>
      <c r="AR91" s="4203"/>
      <c r="AS91" s="4207"/>
      <c r="AT91" s="4203"/>
      <c r="AU91" s="4207"/>
      <c r="AV91" s="4203"/>
      <c r="AW91" s="4207"/>
      <c r="AX91" s="4284"/>
      <c r="AY91" s="4211"/>
      <c r="AZ91" s="4284"/>
      <c r="BA91" s="4211"/>
      <c r="BB91" s="4284"/>
      <c r="BC91" s="4211"/>
      <c r="BD91" s="4284"/>
      <c r="BE91" s="4211"/>
      <c r="BF91" s="4291"/>
      <c r="BG91" s="4226"/>
      <c r="BH91" s="4226"/>
      <c r="BI91" s="4226"/>
      <c r="BJ91" s="4226"/>
      <c r="BK91" s="4226"/>
      <c r="BL91" s="4226"/>
      <c r="BM91" s="4226"/>
      <c r="BN91" s="4260"/>
      <c r="BO91" s="4260"/>
      <c r="BP91" s="4233"/>
      <c r="BQ91" s="4233"/>
      <c r="BR91" s="4218"/>
    </row>
    <row r="92" spans="1:70" s="593" customFormat="1" ht="15.75" x14ac:dyDescent="0.25">
      <c r="A92" s="4286"/>
      <c r="B92" s="4286"/>
      <c r="C92" s="4286"/>
      <c r="D92" s="4287"/>
      <c r="E92" s="4287"/>
      <c r="F92" s="4287"/>
      <c r="G92" s="731">
        <v>24</v>
      </c>
      <c r="H92" s="612" t="s">
        <v>681</v>
      </c>
      <c r="I92" s="612"/>
      <c r="J92" s="612"/>
      <c r="K92" s="613"/>
      <c r="L92" s="613"/>
      <c r="M92" s="612"/>
      <c r="N92" s="612"/>
      <c r="O92" s="732"/>
      <c r="P92" s="612"/>
      <c r="Q92" s="787"/>
      <c r="R92" s="616"/>
      <c r="S92" s="829"/>
      <c r="T92" s="613"/>
      <c r="U92" s="613"/>
      <c r="V92" s="613"/>
      <c r="W92" s="733"/>
      <c r="X92" s="733"/>
      <c r="Y92" s="733"/>
      <c r="Z92" s="830"/>
      <c r="AA92" s="612"/>
      <c r="AB92" s="612"/>
      <c r="AC92" s="612"/>
      <c r="AD92" s="612"/>
      <c r="AE92" s="612"/>
      <c r="AF92" s="612"/>
      <c r="AG92" s="612"/>
      <c r="AH92" s="612"/>
      <c r="AI92" s="612"/>
      <c r="AJ92" s="612"/>
      <c r="AK92" s="612"/>
      <c r="AL92" s="612"/>
      <c r="AM92" s="612"/>
      <c r="AN92" s="612"/>
      <c r="AO92" s="612"/>
      <c r="AP92" s="612"/>
      <c r="AQ92" s="612"/>
      <c r="AR92" s="612"/>
      <c r="AS92" s="612"/>
      <c r="AT92" s="622"/>
      <c r="AU92" s="622"/>
      <c r="AV92" s="622"/>
      <c r="AW92" s="622"/>
      <c r="AX92" s="623"/>
      <c r="AY92" s="623"/>
      <c r="AZ92" s="623"/>
      <c r="BA92" s="623"/>
      <c r="BB92" s="623"/>
      <c r="BC92" s="623"/>
      <c r="BD92" s="623"/>
      <c r="BE92" s="623"/>
      <c r="BF92" s="623"/>
      <c r="BG92" s="623"/>
      <c r="BH92" s="623"/>
      <c r="BI92" s="623"/>
      <c r="BJ92" s="623"/>
      <c r="BK92" s="623"/>
      <c r="BL92" s="623"/>
      <c r="BM92" s="623"/>
      <c r="BN92" s="623"/>
      <c r="BO92" s="623"/>
      <c r="BP92" s="623"/>
      <c r="BQ92" s="623"/>
      <c r="BR92" s="659"/>
    </row>
    <row r="93" spans="1:70" s="593" customFormat="1" ht="58.5" customHeight="1" x14ac:dyDescent="0.25">
      <c r="A93" s="4286"/>
      <c r="B93" s="4286"/>
      <c r="C93" s="4286"/>
      <c r="D93" s="4287"/>
      <c r="E93" s="4287"/>
      <c r="F93" s="4287"/>
      <c r="G93" s="822"/>
      <c r="H93" s="822"/>
      <c r="I93" s="823"/>
      <c r="J93" s="738">
        <v>103</v>
      </c>
      <c r="K93" s="677" t="s">
        <v>682</v>
      </c>
      <c r="L93" s="677" t="s">
        <v>683</v>
      </c>
      <c r="M93" s="739">
        <v>1</v>
      </c>
      <c r="N93" s="58">
        <v>4</v>
      </c>
      <c r="P93" s="4132" t="s">
        <v>684</v>
      </c>
      <c r="Q93" s="4162" t="s">
        <v>685</v>
      </c>
      <c r="R93" s="831">
        <f>+W93/S93</f>
        <v>1.3996309129478067E-2</v>
      </c>
      <c r="S93" s="4289">
        <f>SUM(W93:W99)</f>
        <v>709972887</v>
      </c>
      <c r="T93" s="4141" t="s">
        <v>686</v>
      </c>
      <c r="U93" s="4162" t="s">
        <v>687</v>
      </c>
      <c r="V93" s="832" t="s">
        <v>688</v>
      </c>
      <c r="W93" s="685">
        <v>9937000</v>
      </c>
      <c r="X93" s="833"/>
      <c r="Y93" s="833"/>
      <c r="Z93" s="834" t="s">
        <v>689</v>
      </c>
      <c r="AA93" s="30" t="s">
        <v>71</v>
      </c>
      <c r="AB93" s="4186">
        <v>21554</v>
      </c>
      <c r="AC93" s="4132"/>
      <c r="AD93" s="4132">
        <v>22392</v>
      </c>
      <c r="AE93" s="4132"/>
      <c r="AF93" s="4132">
        <v>31677</v>
      </c>
      <c r="AG93" s="4132"/>
      <c r="AH93" s="4132">
        <v>10302</v>
      </c>
      <c r="AI93" s="4132"/>
      <c r="AJ93" s="4132">
        <v>1874</v>
      </c>
      <c r="AK93" s="4132"/>
      <c r="AL93" s="4132">
        <v>93</v>
      </c>
      <c r="AM93" s="4132"/>
      <c r="AN93" s="4132">
        <v>238</v>
      </c>
      <c r="AO93" s="4132"/>
      <c r="AP93" s="4132">
        <v>245</v>
      </c>
      <c r="AQ93" s="4132"/>
      <c r="AR93" s="4132">
        <v>0</v>
      </c>
      <c r="AS93" s="4132"/>
      <c r="AT93" s="4132">
        <v>0</v>
      </c>
      <c r="AU93" s="4132"/>
      <c r="AV93" s="4132">
        <v>0</v>
      </c>
      <c r="AW93" s="4132"/>
      <c r="AX93" s="4132">
        <v>0</v>
      </c>
      <c r="AY93" s="4132"/>
      <c r="AZ93" s="4132">
        <v>2629</v>
      </c>
      <c r="BA93" s="4132"/>
      <c r="BB93" s="4132">
        <v>2629</v>
      </c>
      <c r="BC93" s="4132"/>
      <c r="BD93" s="4132">
        <v>2683</v>
      </c>
      <c r="BE93" s="4132"/>
      <c r="BF93" s="4132">
        <v>43946</v>
      </c>
      <c r="BG93" s="4132"/>
      <c r="BH93" s="4132">
        <v>1</v>
      </c>
      <c r="BI93" s="4292">
        <f>SUM(X93:X99)</f>
        <v>9924250</v>
      </c>
      <c r="BJ93" s="4292">
        <f>SUM(Y93:Y99)</f>
        <v>2835500</v>
      </c>
      <c r="BK93" s="4293">
        <f>+BJ93/BI93</f>
        <v>0.2857142857142857</v>
      </c>
      <c r="BL93" s="4132" t="s">
        <v>71</v>
      </c>
      <c r="BM93" s="4132" t="s">
        <v>690</v>
      </c>
      <c r="BN93" s="4258">
        <v>43497</v>
      </c>
      <c r="BO93" s="4258">
        <v>43497</v>
      </c>
      <c r="BP93" s="4215">
        <v>43646</v>
      </c>
      <c r="BQ93" s="4215">
        <v>43646</v>
      </c>
      <c r="BR93" s="4215" t="s">
        <v>465</v>
      </c>
    </row>
    <row r="94" spans="1:70" s="593" customFormat="1" ht="56.25" customHeight="1" x14ac:dyDescent="0.25">
      <c r="A94" s="4286"/>
      <c r="B94" s="4286"/>
      <c r="C94" s="4286"/>
      <c r="D94" s="4287"/>
      <c r="E94" s="4287"/>
      <c r="F94" s="4287"/>
      <c r="G94" s="822"/>
      <c r="H94" s="822"/>
      <c r="I94" s="823"/>
      <c r="J94" s="4134">
        <v>104</v>
      </c>
      <c r="K94" s="4132" t="s">
        <v>691</v>
      </c>
      <c r="L94" s="4141" t="s">
        <v>692</v>
      </c>
      <c r="M94" s="2751">
        <v>50</v>
      </c>
      <c r="N94" s="2751">
        <v>5</v>
      </c>
      <c r="O94" s="835"/>
      <c r="P94" s="4130"/>
      <c r="Q94" s="4128"/>
      <c r="R94" s="4296">
        <f>(+W94+W95)/S93</f>
        <v>3.9936736344693684E-2</v>
      </c>
      <c r="S94" s="4146"/>
      <c r="T94" s="4142"/>
      <c r="U94" s="4128"/>
      <c r="V94" s="4141" t="s">
        <v>693</v>
      </c>
      <c r="W94" s="689">
        <v>9937000</v>
      </c>
      <c r="X94" s="836">
        <v>9924250</v>
      </c>
      <c r="Y94" s="836">
        <v>2835500</v>
      </c>
      <c r="Z94" s="834" t="s">
        <v>689</v>
      </c>
      <c r="AA94" s="30" t="s">
        <v>71</v>
      </c>
      <c r="AB94" s="4133"/>
      <c r="AC94" s="4130"/>
      <c r="AD94" s="4130"/>
      <c r="AE94" s="4130"/>
      <c r="AF94" s="4130"/>
      <c r="AG94" s="4130"/>
      <c r="AH94" s="4130"/>
      <c r="AI94" s="4130"/>
      <c r="AJ94" s="4130"/>
      <c r="AK94" s="4130"/>
      <c r="AL94" s="4130"/>
      <c r="AM94" s="4130"/>
      <c r="AN94" s="4130"/>
      <c r="AO94" s="4130"/>
      <c r="AP94" s="4130"/>
      <c r="AQ94" s="4130"/>
      <c r="AR94" s="4130"/>
      <c r="AS94" s="4130"/>
      <c r="AT94" s="4130"/>
      <c r="AU94" s="4130"/>
      <c r="AV94" s="4130"/>
      <c r="AW94" s="4130"/>
      <c r="AX94" s="4130"/>
      <c r="AY94" s="4130"/>
      <c r="AZ94" s="4130"/>
      <c r="BA94" s="4130"/>
      <c r="BB94" s="4130"/>
      <c r="BC94" s="4130"/>
      <c r="BD94" s="4130"/>
      <c r="BE94" s="4130"/>
      <c r="BF94" s="4130"/>
      <c r="BG94" s="4130"/>
      <c r="BH94" s="4130"/>
      <c r="BI94" s="4130"/>
      <c r="BJ94" s="4130"/>
      <c r="BK94" s="4294"/>
      <c r="BL94" s="4130"/>
      <c r="BM94" s="4130"/>
      <c r="BN94" s="4259"/>
      <c r="BO94" s="4259"/>
      <c r="BP94" s="4216"/>
      <c r="BQ94" s="4216"/>
      <c r="BR94" s="4216"/>
    </row>
    <row r="95" spans="1:70" s="593" customFormat="1" ht="33.75" customHeight="1" x14ac:dyDescent="0.25">
      <c r="A95" s="4286"/>
      <c r="B95" s="4286"/>
      <c r="C95" s="4286"/>
      <c r="D95" s="4287"/>
      <c r="E95" s="4287"/>
      <c r="F95" s="4287"/>
      <c r="G95" s="822"/>
      <c r="H95" s="822"/>
      <c r="I95" s="823"/>
      <c r="J95" s="4136"/>
      <c r="K95" s="4131"/>
      <c r="L95" s="4143"/>
      <c r="M95" s="2752"/>
      <c r="N95" s="2752"/>
      <c r="O95" s="835"/>
      <c r="P95" s="4130"/>
      <c r="Q95" s="4128"/>
      <c r="R95" s="4267"/>
      <c r="S95" s="4146"/>
      <c r="T95" s="4142"/>
      <c r="U95" s="4128"/>
      <c r="V95" s="4143"/>
      <c r="W95" s="837">
        <f>0+18417000</f>
        <v>18417000</v>
      </c>
      <c r="X95" s="837"/>
      <c r="Y95" s="837"/>
      <c r="Z95" s="834">
        <v>88</v>
      </c>
      <c r="AA95" s="30" t="s">
        <v>694</v>
      </c>
      <c r="AB95" s="4133"/>
      <c r="AC95" s="4130"/>
      <c r="AD95" s="4130"/>
      <c r="AE95" s="4130"/>
      <c r="AF95" s="4130"/>
      <c r="AG95" s="4130"/>
      <c r="AH95" s="4130"/>
      <c r="AI95" s="4130"/>
      <c r="AJ95" s="4130"/>
      <c r="AK95" s="4130"/>
      <c r="AL95" s="4130"/>
      <c r="AM95" s="4130"/>
      <c r="AN95" s="4130"/>
      <c r="AO95" s="4130"/>
      <c r="AP95" s="4130"/>
      <c r="AQ95" s="4130"/>
      <c r="AR95" s="4130"/>
      <c r="AS95" s="4130"/>
      <c r="AT95" s="4130"/>
      <c r="AU95" s="4130"/>
      <c r="AV95" s="4130"/>
      <c r="AW95" s="4130"/>
      <c r="AX95" s="4130"/>
      <c r="AY95" s="4130"/>
      <c r="AZ95" s="4130"/>
      <c r="BA95" s="4130"/>
      <c r="BB95" s="4130"/>
      <c r="BC95" s="4130"/>
      <c r="BD95" s="4130"/>
      <c r="BE95" s="4130"/>
      <c r="BF95" s="4130"/>
      <c r="BG95" s="4130"/>
      <c r="BH95" s="4130"/>
      <c r="BI95" s="4130"/>
      <c r="BJ95" s="4130"/>
      <c r="BK95" s="4294"/>
      <c r="BL95" s="4130"/>
      <c r="BM95" s="4130"/>
      <c r="BN95" s="4259"/>
      <c r="BO95" s="4259"/>
      <c r="BP95" s="4216"/>
      <c r="BQ95" s="4216"/>
      <c r="BR95" s="4216"/>
    </row>
    <row r="96" spans="1:70" s="593" customFormat="1" ht="47.25" customHeight="1" x14ac:dyDescent="0.25">
      <c r="A96" s="4286"/>
      <c r="B96" s="4286"/>
      <c r="C96" s="4286"/>
      <c r="D96" s="4287"/>
      <c r="E96" s="4287"/>
      <c r="F96" s="4287"/>
      <c r="G96" s="822"/>
      <c r="H96" s="822"/>
      <c r="I96" s="823"/>
      <c r="J96" s="4134">
        <v>105</v>
      </c>
      <c r="K96" s="4141" t="s">
        <v>695</v>
      </c>
      <c r="L96" s="4141" t="s">
        <v>692</v>
      </c>
      <c r="M96" s="2751">
        <v>47</v>
      </c>
      <c r="N96" s="4297">
        <v>49</v>
      </c>
      <c r="O96" s="835" t="s">
        <v>696</v>
      </c>
      <c r="P96" s="4130"/>
      <c r="Q96" s="4128"/>
      <c r="R96" s="4296">
        <f>(+W96+W97)/S93</f>
        <v>0.87564172996369649</v>
      </c>
      <c r="S96" s="4146"/>
      <c r="T96" s="4142"/>
      <c r="U96" s="4128"/>
      <c r="V96" s="3080" t="s">
        <v>697</v>
      </c>
      <c r="W96" s="837">
        <v>9937000</v>
      </c>
      <c r="X96" s="837"/>
      <c r="Y96" s="837"/>
      <c r="Z96" s="834" t="s">
        <v>689</v>
      </c>
      <c r="AA96" s="70" t="s">
        <v>71</v>
      </c>
      <c r="AB96" s="4133"/>
      <c r="AC96" s="4130"/>
      <c r="AD96" s="4130"/>
      <c r="AE96" s="4130"/>
      <c r="AF96" s="4130"/>
      <c r="AG96" s="4130"/>
      <c r="AH96" s="4130"/>
      <c r="AI96" s="4130"/>
      <c r="AJ96" s="4130"/>
      <c r="AK96" s="4130"/>
      <c r="AL96" s="4130"/>
      <c r="AM96" s="4130"/>
      <c r="AN96" s="4130"/>
      <c r="AO96" s="4130"/>
      <c r="AP96" s="4130"/>
      <c r="AQ96" s="4130"/>
      <c r="AR96" s="4130"/>
      <c r="AS96" s="4130"/>
      <c r="AT96" s="4130"/>
      <c r="AU96" s="4130"/>
      <c r="AV96" s="4130"/>
      <c r="AW96" s="4130"/>
      <c r="AX96" s="4130"/>
      <c r="AY96" s="4130"/>
      <c r="AZ96" s="4130"/>
      <c r="BA96" s="4130"/>
      <c r="BB96" s="4130"/>
      <c r="BC96" s="4130"/>
      <c r="BD96" s="4130"/>
      <c r="BE96" s="4130"/>
      <c r="BF96" s="4130"/>
      <c r="BG96" s="4130"/>
      <c r="BH96" s="4130"/>
      <c r="BI96" s="4130"/>
      <c r="BJ96" s="4130"/>
      <c r="BK96" s="4294"/>
      <c r="BL96" s="4130"/>
      <c r="BM96" s="4130"/>
      <c r="BN96" s="4259"/>
      <c r="BO96" s="4259"/>
      <c r="BP96" s="4216"/>
      <c r="BQ96" s="4216"/>
      <c r="BR96" s="4216"/>
    </row>
    <row r="97" spans="1:70" s="593" customFormat="1" ht="42.75" customHeight="1" x14ac:dyDescent="0.25">
      <c r="A97" s="4286"/>
      <c r="B97" s="4286"/>
      <c r="C97" s="4286"/>
      <c r="D97" s="4287"/>
      <c r="E97" s="4287"/>
      <c r="F97" s="4287"/>
      <c r="G97" s="822"/>
      <c r="H97" s="822"/>
      <c r="I97" s="823"/>
      <c r="J97" s="4136"/>
      <c r="K97" s="4143"/>
      <c r="L97" s="4143"/>
      <c r="M97" s="2752"/>
      <c r="N97" s="4298"/>
      <c r="O97" s="838" t="s">
        <v>698</v>
      </c>
      <c r="P97" s="4130"/>
      <c r="Q97" s="4128"/>
      <c r="R97" s="4267"/>
      <c r="S97" s="4146"/>
      <c r="T97" s="4142"/>
      <c r="U97" s="4128"/>
      <c r="V97" s="4169"/>
      <c r="W97" s="672">
        <v>611744887</v>
      </c>
      <c r="X97" s="672"/>
      <c r="Y97" s="672"/>
      <c r="Z97" s="632">
        <v>88</v>
      </c>
      <c r="AA97" s="781" t="s">
        <v>694</v>
      </c>
      <c r="AB97" s="4133"/>
      <c r="AC97" s="4130"/>
      <c r="AD97" s="4130"/>
      <c r="AE97" s="4130"/>
      <c r="AF97" s="4130"/>
      <c r="AG97" s="4130"/>
      <c r="AH97" s="4130"/>
      <c r="AI97" s="4130"/>
      <c r="AJ97" s="4130"/>
      <c r="AK97" s="4130"/>
      <c r="AL97" s="4130"/>
      <c r="AM97" s="4130"/>
      <c r="AN97" s="4130"/>
      <c r="AO97" s="4130"/>
      <c r="AP97" s="4130"/>
      <c r="AQ97" s="4130"/>
      <c r="AR97" s="4130"/>
      <c r="AS97" s="4130"/>
      <c r="AT97" s="4130"/>
      <c r="AU97" s="4130"/>
      <c r="AV97" s="4130"/>
      <c r="AW97" s="4130"/>
      <c r="AX97" s="4130"/>
      <c r="AY97" s="4130"/>
      <c r="AZ97" s="4130"/>
      <c r="BA97" s="4130"/>
      <c r="BB97" s="4130"/>
      <c r="BC97" s="4130"/>
      <c r="BD97" s="4130"/>
      <c r="BE97" s="4130"/>
      <c r="BF97" s="4130"/>
      <c r="BG97" s="4130"/>
      <c r="BH97" s="4130"/>
      <c r="BI97" s="4130"/>
      <c r="BJ97" s="4130"/>
      <c r="BK97" s="4294"/>
      <c r="BL97" s="4130"/>
      <c r="BM97" s="4130"/>
      <c r="BN97" s="4259"/>
      <c r="BO97" s="4259"/>
      <c r="BP97" s="4216"/>
      <c r="BQ97" s="4216"/>
      <c r="BR97" s="4216"/>
    </row>
    <row r="98" spans="1:70" s="593" customFormat="1" ht="33" customHeight="1" x14ac:dyDescent="0.25">
      <c r="A98" s="4286"/>
      <c r="B98" s="4286"/>
      <c r="C98" s="4286"/>
      <c r="D98" s="4287"/>
      <c r="E98" s="4287"/>
      <c r="F98" s="4287"/>
      <c r="G98" s="822"/>
      <c r="H98" s="822"/>
      <c r="I98" s="823"/>
      <c r="J98" s="4134">
        <v>106</v>
      </c>
      <c r="K98" s="4141" t="s">
        <v>699</v>
      </c>
      <c r="L98" s="4141" t="s">
        <v>700</v>
      </c>
      <c r="M98" s="4134">
        <v>1</v>
      </c>
      <c r="N98" s="4134">
        <v>0</v>
      </c>
      <c r="O98" s="835"/>
      <c r="P98" s="4130"/>
      <c r="Q98" s="4128"/>
      <c r="R98" s="4296">
        <f>(+W98+W99)/S93</f>
        <v>7.0425224562131766E-2</v>
      </c>
      <c r="S98" s="4146"/>
      <c r="T98" s="4142"/>
      <c r="U98" s="4128"/>
      <c r="V98" s="4301" t="s">
        <v>701</v>
      </c>
      <c r="W98" s="672">
        <v>15900000</v>
      </c>
      <c r="X98" s="672"/>
      <c r="Y98" s="672"/>
      <c r="Z98" s="632" t="s">
        <v>689</v>
      </c>
      <c r="AA98" s="781" t="s">
        <v>71</v>
      </c>
      <c r="AB98" s="4133"/>
      <c r="AC98" s="4130"/>
      <c r="AD98" s="4130"/>
      <c r="AE98" s="4130"/>
      <c r="AF98" s="4130"/>
      <c r="AG98" s="4130"/>
      <c r="AH98" s="4130"/>
      <c r="AI98" s="4130"/>
      <c r="AJ98" s="4130"/>
      <c r="AK98" s="4130"/>
      <c r="AL98" s="4130"/>
      <c r="AM98" s="4130"/>
      <c r="AN98" s="4130"/>
      <c r="AO98" s="4130"/>
      <c r="AP98" s="4130"/>
      <c r="AQ98" s="4130"/>
      <c r="AR98" s="4130"/>
      <c r="AS98" s="4130"/>
      <c r="AT98" s="4130"/>
      <c r="AU98" s="4130"/>
      <c r="AV98" s="4130"/>
      <c r="AW98" s="4130"/>
      <c r="AX98" s="4130"/>
      <c r="AY98" s="4130"/>
      <c r="AZ98" s="4130"/>
      <c r="BA98" s="4130"/>
      <c r="BB98" s="4130"/>
      <c r="BC98" s="4130"/>
      <c r="BD98" s="4130"/>
      <c r="BE98" s="4130"/>
      <c r="BF98" s="4130"/>
      <c r="BG98" s="4130"/>
      <c r="BH98" s="4130"/>
      <c r="BI98" s="4130"/>
      <c r="BJ98" s="4130"/>
      <c r="BK98" s="4294"/>
      <c r="BL98" s="4130"/>
      <c r="BM98" s="4130"/>
      <c r="BN98" s="4259"/>
      <c r="BO98" s="4259"/>
      <c r="BP98" s="4216"/>
      <c r="BQ98" s="4216"/>
      <c r="BR98" s="4216"/>
    </row>
    <row r="99" spans="1:70" s="593" customFormat="1" ht="45" customHeight="1" x14ac:dyDescent="0.25">
      <c r="A99" s="4286"/>
      <c r="B99" s="4286"/>
      <c r="C99" s="4286"/>
      <c r="D99" s="4287"/>
      <c r="E99" s="4287"/>
      <c r="F99" s="4287"/>
      <c r="G99" s="822"/>
      <c r="H99" s="822"/>
      <c r="I99" s="822"/>
      <c r="J99" s="4136"/>
      <c r="K99" s="4143"/>
      <c r="L99" s="4143"/>
      <c r="M99" s="4136"/>
      <c r="N99" s="4136"/>
      <c r="O99" s="754"/>
      <c r="P99" s="698"/>
      <c r="Q99" s="839"/>
      <c r="R99" s="4267"/>
      <c r="S99" s="4290"/>
      <c r="T99" s="840"/>
      <c r="U99" s="839"/>
      <c r="V99" s="4302"/>
      <c r="W99" s="672">
        <f>0+34100000</f>
        <v>34100000</v>
      </c>
      <c r="X99" s="672"/>
      <c r="Y99" s="672"/>
      <c r="Z99" s="632">
        <v>88</v>
      </c>
      <c r="AA99" s="781" t="s">
        <v>694</v>
      </c>
      <c r="AB99" s="4191"/>
      <c r="AC99" s="4131"/>
      <c r="AD99" s="4131"/>
      <c r="AE99" s="4131"/>
      <c r="AF99" s="4131"/>
      <c r="AG99" s="4131"/>
      <c r="AH99" s="4131"/>
      <c r="AI99" s="4131"/>
      <c r="AJ99" s="4131"/>
      <c r="AK99" s="4131"/>
      <c r="AL99" s="4131"/>
      <c r="AM99" s="4131"/>
      <c r="AN99" s="4131"/>
      <c r="AO99" s="4131"/>
      <c r="AP99" s="4131"/>
      <c r="AQ99" s="4131"/>
      <c r="AR99" s="4131"/>
      <c r="AS99" s="4131"/>
      <c r="AT99" s="4131"/>
      <c r="AU99" s="4131"/>
      <c r="AV99" s="4131"/>
      <c r="AW99" s="4131"/>
      <c r="AX99" s="4131"/>
      <c r="AY99" s="4131"/>
      <c r="AZ99" s="4131"/>
      <c r="BA99" s="4131"/>
      <c r="BB99" s="4131"/>
      <c r="BC99" s="4131"/>
      <c r="BD99" s="4131"/>
      <c r="BE99" s="4131"/>
      <c r="BF99" s="4131"/>
      <c r="BG99" s="4131"/>
      <c r="BH99" s="4131"/>
      <c r="BI99" s="4131"/>
      <c r="BJ99" s="4131"/>
      <c r="BK99" s="4295"/>
      <c r="BL99" s="4131"/>
      <c r="BM99" s="4131"/>
      <c r="BN99" s="4260"/>
      <c r="BO99" s="4260"/>
      <c r="BP99" s="4217"/>
      <c r="BQ99" s="4217"/>
      <c r="BR99" s="4217"/>
    </row>
    <row r="100" spans="1:70" s="593" customFormat="1" ht="41.25" customHeight="1" x14ac:dyDescent="0.25">
      <c r="A100" s="4286"/>
      <c r="B100" s="4286"/>
      <c r="C100" s="4286"/>
      <c r="D100" s="4287"/>
      <c r="E100" s="4287"/>
      <c r="F100" s="4287"/>
      <c r="G100" s="822"/>
      <c r="H100" s="822"/>
      <c r="I100" s="822"/>
      <c r="J100" s="4300">
        <v>107</v>
      </c>
      <c r="K100" s="4299" t="s">
        <v>702</v>
      </c>
      <c r="L100" s="4299" t="s">
        <v>703</v>
      </c>
      <c r="M100" s="4300">
        <v>1</v>
      </c>
      <c r="N100" s="4134">
        <v>0.5</v>
      </c>
      <c r="O100" s="745"/>
      <c r="P100" s="4300" t="s">
        <v>704</v>
      </c>
      <c r="Q100" s="2738" t="s">
        <v>705</v>
      </c>
      <c r="R100" s="4303">
        <f>SUM(W100:W103)/S100</f>
        <v>1</v>
      </c>
      <c r="S100" s="4306">
        <f>SUM(W100:W103)</f>
        <v>294717884</v>
      </c>
      <c r="T100" s="4299" t="s">
        <v>686</v>
      </c>
      <c r="U100" s="4299" t="s">
        <v>687</v>
      </c>
      <c r="V100" s="2746" t="s">
        <v>706</v>
      </c>
      <c r="W100" s="841">
        <v>150000000</v>
      </c>
      <c r="X100" s="841"/>
      <c r="Y100" s="841"/>
      <c r="Z100" s="39">
        <v>35</v>
      </c>
      <c r="AA100" s="842" t="s">
        <v>707</v>
      </c>
      <c r="AB100" s="2748">
        <v>21554</v>
      </c>
      <c r="AC100" s="2744"/>
      <c r="AD100" s="4300">
        <v>22392</v>
      </c>
      <c r="AE100" s="4134"/>
      <c r="AF100" s="4309">
        <v>31677</v>
      </c>
      <c r="AG100" s="4257"/>
      <c r="AH100" s="4308">
        <v>10302</v>
      </c>
      <c r="AI100" s="4254"/>
      <c r="AJ100" s="4309">
        <v>15916</v>
      </c>
      <c r="AK100" s="4257"/>
      <c r="AL100" s="4308">
        <v>15683</v>
      </c>
      <c r="AM100" s="4254"/>
      <c r="AN100" s="4308">
        <v>238</v>
      </c>
      <c r="AO100" s="4254"/>
      <c r="AP100" s="4309">
        <v>245</v>
      </c>
      <c r="AQ100" s="4257"/>
      <c r="AR100" s="4308">
        <v>0</v>
      </c>
      <c r="AS100" s="4254"/>
      <c r="AT100" s="4308">
        <v>0</v>
      </c>
      <c r="AU100" s="4254"/>
      <c r="AV100" s="4308">
        <v>0</v>
      </c>
      <c r="AW100" s="4254"/>
      <c r="AX100" s="4313">
        <v>0</v>
      </c>
      <c r="AY100" s="4310"/>
      <c r="AZ100" s="4313">
        <v>2629</v>
      </c>
      <c r="BA100" s="4310"/>
      <c r="BB100" s="4313">
        <v>2665</v>
      </c>
      <c r="BC100" s="4310"/>
      <c r="BD100" s="4313">
        <v>2683</v>
      </c>
      <c r="BE100" s="4310"/>
      <c r="BF100" s="4285">
        <v>43946</v>
      </c>
      <c r="BG100" s="4218"/>
      <c r="BH100" s="4218"/>
      <c r="BI100" s="4314">
        <f>SUM(X103)</f>
        <v>100000000</v>
      </c>
      <c r="BJ100" s="4314">
        <f>SUM(Y103)</f>
        <v>100000000</v>
      </c>
      <c r="BK100" s="4315">
        <f>BJ100/BI100</f>
        <v>1</v>
      </c>
      <c r="BL100" s="4218"/>
      <c r="BM100" s="4218"/>
      <c r="BN100" s="4258"/>
      <c r="BO100" s="4258"/>
      <c r="BP100" s="4258"/>
      <c r="BQ100" s="4258"/>
      <c r="BR100" s="4285" t="s">
        <v>465</v>
      </c>
    </row>
    <row r="101" spans="1:70" s="593" customFormat="1" ht="32.25" customHeight="1" x14ac:dyDescent="0.25">
      <c r="A101" s="4286"/>
      <c r="B101" s="4286"/>
      <c r="C101" s="4286"/>
      <c r="D101" s="4287"/>
      <c r="E101" s="4287"/>
      <c r="F101" s="4287"/>
      <c r="G101" s="822"/>
      <c r="H101" s="822"/>
      <c r="I101" s="822"/>
      <c r="J101" s="4300"/>
      <c r="K101" s="4299"/>
      <c r="L101" s="4299"/>
      <c r="M101" s="4300"/>
      <c r="N101" s="4135"/>
      <c r="O101" s="843" t="s">
        <v>708</v>
      </c>
      <c r="P101" s="4300"/>
      <c r="Q101" s="2738"/>
      <c r="R101" s="4304"/>
      <c r="S101" s="4306"/>
      <c r="T101" s="4299"/>
      <c r="U101" s="4299"/>
      <c r="V101" s="2747"/>
      <c r="W101" s="844">
        <v>44717884</v>
      </c>
      <c r="X101" s="844"/>
      <c r="Y101" s="844"/>
      <c r="Z101" s="29">
        <v>20</v>
      </c>
      <c r="AA101" s="845" t="s">
        <v>709</v>
      </c>
      <c r="AB101" s="2748"/>
      <c r="AC101" s="3088"/>
      <c r="AD101" s="4300"/>
      <c r="AE101" s="4135"/>
      <c r="AF101" s="4309"/>
      <c r="AG101" s="4307"/>
      <c r="AH101" s="4308"/>
      <c r="AI101" s="4255"/>
      <c r="AJ101" s="4309"/>
      <c r="AK101" s="4307"/>
      <c r="AL101" s="4308"/>
      <c r="AM101" s="4255"/>
      <c r="AN101" s="4308"/>
      <c r="AO101" s="4255"/>
      <c r="AP101" s="4309"/>
      <c r="AQ101" s="4307"/>
      <c r="AR101" s="4308"/>
      <c r="AS101" s="4255"/>
      <c r="AT101" s="4308"/>
      <c r="AU101" s="4255"/>
      <c r="AV101" s="4308"/>
      <c r="AW101" s="4255"/>
      <c r="AX101" s="4313"/>
      <c r="AY101" s="4311"/>
      <c r="AZ101" s="4313"/>
      <c r="BA101" s="4311"/>
      <c r="BB101" s="4313"/>
      <c r="BC101" s="4311"/>
      <c r="BD101" s="4313"/>
      <c r="BE101" s="4311"/>
      <c r="BF101" s="4285"/>
      <c r="BG101" s="4219"/>
      <c r="BH101" s="4219"/>
      <c r="BI101" s="4219"/>
      <c r="BJ101" s="4219"/>
      <c r="BK101" s="4316"/>
      <c r="BL101" s="4219"/>
      <c r="BM101" s="4219"/>
      <c r="BN101" s="4259"/>
      <c r="BO101" s="4259"/>
      <c r="BP101" s="4259"/>
      <c r="BQ101" s="4259"/>
      <c r="BR101" s="4285"/>
    </row>
    <row r="102" spans="1:70" s="593" customFormat="1" ht="41.25" customHeight="1" x14ac:dyDescent="0.25">
      <c r="A102" s="4286"/>
      <c r="B102" s="4286"/>
      <c r="C102" s="4286"/>
      <c r="D102" s="4287"/>
      <c r="E102" s="4287"/>
      <c r="F102" s="4287"/>
      <c r="G102" s="822"/>
      <c r="H102" s="822"/>
      <c r="I102" s="822"/>
      <c r="J102" s="4300"/>
      <c r="K102" s="4299"/>
      <c r="L102" s="4299"/>
      <c r="M102" s="4300"/>
      <c r="N102" s="4135"/>
      <c r="O102" s="698" t="s">
        <v>710</v>
      </c>
      <c r="P102" s="4300"/>
      <c r="Q102" s="2738"/>
      <c r="R102" s="4304"/>
      <c r="S102" s="4306"/>
      <c r="T102" s="4299"/>
      <c r="U102" s="4299"/>
      <c r="V102" s="846" t="s">
        <v>711</v>
      </c>
      <c r="W102" s="844">
        <v>0</v>
      </c>
      <c r="X102" s="844"/>
      <c r="Y102" s="844"/>
      <c r="Z102" s="29"/>
      <c r="AA102" s="845"/>
      <c r="AB102" s="2748"/>
      <c r="AC102" s="3088"/>
      <c r="AD102" s="4300"/>
      <c r="AE102" s="4135"/>
      <c r="AF102" s="4309"/>
      <c r="AG102" s="4307"/>
      <c r="AH102" s="4308"/>
      <c r="AI102" s="4255"/>
      <c r="AJ102" s="4309"/>
      <c r="AK102" s="4307"/>
      <c r="AL102" s="4308"/>
      <c r="AM102" s="4255"/>
      <c r="AN102" s="4308"/>
      <c r="AO102" s="4255"/>
      <c r="AP102" s="4309"/>
      <c r="AQ102" s="4307"/>
      <c r="AR102" s="4308"/>
      <c r="AS102" s="4255"/>
      <c r="AT102" s="4308"/>
      <c r="AU102" s="4255"/>
      <c r="AV102" s="4308"/>
      <c r="AW102" s="4255"/>
      <c r="AX102" s="4313"/>
      <c r="AY102" s="4311"/>
      <c r="AZ102" s="4313"/>
      <c r="BA102" s="4311"/>
      <c r="BB102" s="4313"/>
      <c r="BC102" s="4311"/>
      <c r="BD102" s="4313"/>
      <c r="BE102" s="4311"/>
      <c r="BF102" s="4285"/>
      <c r="BG102" s="4219"/>
      <c r="BH102" s="4219"/>
      <c r="BI102" s="4219"/>
      <c r="BJ102" s="4219"/>
      <c r="BK102" s="4316"/>
      <c r="BL102" s="4219"/>
      <c r="BM102" s="4219"/>
      <c r="BN102" s="4259"/>
      <c r="BO102" s="4259"/>
      <c r="BP102" s="4259"/>
      <c r="BQ102" s="4259"/>
      <c r="BR102" s="4285"/>
    </row>
    <row r="103" spans="1:70" s="593" customFormat="1" ht="76.5" customHeight="1" x14ac:dyDescent="0.25">
      <c r="A103" s="4286"/>
      <c r="B103" s="4286"/>
      <c r="C103" s="4286"/>
      <c r="D103" s="4288"/>
      <c r="E103" s="4288"/>
      <c r="F103" s="4288"/>
      <c r="G103" s="822"/>
      <c r="H103" s="822"/>
      <c r="I103" s="822"/>
      <c r="J103" s="4300"/>
      <c r="K103" s="4299"/>
      <c r="L103" s="4299"/>
      <c r="M103" s="4300"/>
      <c r="N103" s="4136"/>
      <c r="O103" s="842"/>
      <c r="P103" s="4300"/>
      <c r="Q103" s="2738"/>
      <c r="R103" s="4305"/>
      <c r="S103" s="4306"/>
      <c r="T103" s="4299"/>
      <c r="U103" s="4299"/>
      <c r="V103" s="26" t="s">
        <v>712</v>
      </c>
      <c r="W103" s="772">
        <v>100000000</v>
      </c>
      <c r="X103" s="772">
        <v>100000000</v>
      </c>
      <c r="Y103" s="772">
        <v>100000000</v>
      </c>
      <c r="Z103" s="29">
        <v>20</v>
      </c>
      <c r="AA103" s="845" t="s">
        <v>709</v>
      </c>
      <c r="AB103" s="2748"/>
      <c r="AC103" s="2745"/>
      <c r="AD103" s="4300"/>
      <c r="AE103" s="4136"/>
      <c r="AF103" s="4309"/>
      <c r="AG103" s="4264"/>
      <c r="AH103" s="4308"/>
      <c r="AI103" s="4256"/>
      <c r="AJ103" s="4309"/>
      <c r="AK103" s="4264"/>
      <c r="AL103" s="4308"/>
      <c r="AM103" s="4256"/>
      <c r="AN103" s="4308"/>
      <c r="AO103" s="4256"/>
      <c r="AP103" s="4309"/>
      <c r="AQ103" s="4264"/>
      <c r="AR103" s="4308"/>
      <c r="AS103" s="4256"/>
      <c r="AT103" s="4308"/>
      <c r="AU103" s="4256"/>
      <c r="AV103" s="4308"/>
      <c r="AW103" s="4256"/>
      <c r="AX103" s="4313"/>
      <c r="AY103" s="4312"/>
      <c r="AZ103" s="4313"/>
      <c r="BA103" s="4312"/>
      <c r="BB103" s="4313"/>
      <c r="BC103" s="4312"/>
      <c r="BD103" s="4313"/>
      <c r="BE103" s="4312"/>
      <c r="BF103" s="4285"/>
      <c r="BG103" s="4220"/>
      <c r="BH103" s="4220"/>
      <c r="BI103" s="4220"/>
      <c r="BJ103" s="4220"/>
      <c r="BK103" s="4317"/>
      <c r="BL103" s="4220"/>
      <c r="BM103" s="4220"/>
      <c r="BN103" s="4260"/>
      <c r="BO103" s="4260"/>
      <c r="BP103" s="4260"/>
      <c r="BQ103" s="4260"/>
      <c r="BR103" s="4285"/>
    </row>
    <row r="104" spans="1:70" s="593" customFormat="1" ht="15.75" x14ac:dyDescent="0.25">
      <c r="A104" s="797"/>
      <c r="B104" s="798"/>
      <c r="C104" s="799"/>
      <c r="D104" s="715">
        <v>8</v>
      </c>
      <c r="E104" s="716" t="s">
        <v>713</v>
      </c>
      <c r="F104" s="716"/>
      <c r="G104" s="598"/>
      <c r="H104" s="598"/>
      <c r="I104" s="598"/>
      <c r="J104" s="716"/>
      <c r="K104" s="717"/>
      <c r="L104" s="717"/>
      <c r="M104" s="847"/>
      <c r="N104" s="847"/>
      <c r="O104" s="723"/>
      <c r="P104" s="723"/>
      <c r="Q104" s="848"/>
      <c r="R104" s="849"/>
      <c r="S104" s="850"/>
      <c r="T104" s="717"/>
      <c r="U104" s="717"/>
      <c r="V104" s="717"/>
      <c r="W104" s="721"/>
      <c r="X104" s="721"/>
      <c r="Y104" s="721"/>
      <c r="Z104" s="851"/>
      <c r="AA104" s="723"/>
      <c r="AB104" s="723"/>
      <c r="AC104" s="723"/>
      <c r="AD104" s="723"/>
      <c r="AE104" s="723"/>
      <c r="AF104" s="852"/>
      <c r="AG104" s="852"/>
      <c r="AH104" s="852"/>
      <c r="AI104" s="852"/>
      <c r="AJ104" s="852"/>
      <c r="AK104" s="852"/>
      <c r="AL104" s="852"/>
      <c r="AM104" s="852"/>
      <c r="AN104" s="852"/>
      <c r="AO104" s="852"/>
      <c r="AP104" s="852"/>
      <c r="AQ104" s="852"/>
      <c r="AR104" s="852"/>
      <c r="AS104" s="852"/>
      <c r="AT104" s="851"/>
      <c r="AU104" s="851"/>
      <c r="AV104" s="851"/>
      <c r="AW104" s="851"/>
      <c r="AX104" s="853"/>
      <c r="AY104" s="853"/>
      <c r="AZ104" s="853"/>
      <c r="BA104" s="853"/>
      <c r="BB104" s="853"/>
      <c r="BC104" s="853"/>
      <c r="BD104" s="853"/>
      <c r="BE104" s="853"/>
      <c r="BF104" s="854"/>
      <c r="BG104" s="854"/>
      <c r="BH104" s="854"/>
      <c r="BI104" s="854"/>
      <c r="BJ104" s="854"/>
      <c r="BK104" s="854"/>
      <c r="BL104" s="854"/>
      <c r="BM104" s="854"/>
      <c r="BN104" s="854"/>
      <c r="BO104" s="854"/>
      <c r="BP104" s="854"/>
      <c r="BQ104" s="854"/>
      <c r="BR104" s="855"/>
    </row>
    <row r="105" spans="1:70" s="593" customFormat="1" ht="15.75" x14ac:dyDescent="0.25">
      <c r="A105" s="797"/>
      <c r="B105" s="798"/>
      <c r="C105" s="798"/>
      <c r="D105" s="856"/>
      <c r="E105" s="857"/>
      <c r="F105" s="858"/>
      <c r="G105" s="731">
        <v>25</v>
      </c>
      <c r="H105" s="612" t="s">
        <v>714</v>
      </c>
      <c r="I105" s="612"/>
      <c r="J105" s="612"/>
      <c r="K105" s="613"/>
      <c r="L105" s="613"/>
      <c r="M105" s="653"/>
      <c r="N105" s="653"/>
      <c r="O105" s="732"/>
      <c r="P105" s="653"/>
      <c r="Q105" s="787"/>
      <c r="R105" s="653"/>
      <c r="S105" s="656"/>
      <c r="T105" s="613"/>
      <c r="U105" s="613"/>
      <c r="V105" s="613"/>
      <c r="W105" s="733"/>
      <c r="X105" s="733"/>
      <c r="Y105" s="733"/>
      <c r="Z105" s="732"/>
      <c r="AA105" s="653"/>
      <c r="AB105" s="653"/>
      <c r="AC105" s="653"/>
      <c r="AD105" s="653"/>
      <c r="AE105" s="653"/>
      <c r="AF105" s="653"/>
      <c r="AG105" s="653"/>
      <c r="AH105" s="653"/>
      <c r="AI105" s="653"/>
      <c r="AJ105" s="653"/>
      <c r="AK105" s="653"/>
      <c r="AL105" s="653"/>
      <c r="AM105" s="653"/>
      <c r="AN105" s="653"/>
      <c r="AO105" s="653"/>
      <c r="AP105" s="653"/>
      <c r="AQ105" s="653"/>
      <c r="AR105" s="653"/>
      <c r="AS105" s="653"/>
      <c r="AT105" s="653"/>
      <c r="AU105" s="653"/>
      <c r="AV105" s="653"/>
      <c r="AW105" s="653"/>
      <c r="AX105" s="623"/>
      <c r="AY105" s="623"/>
      <c r="AZ105" s="623"/>
      <c r="BA105" s="623"/>
      <c r="BB105" s="623"/>
      <c r="BC105" s="623"/>
      <c r="BD105" s="623"/>
      <c r="BE105" s="623"/>
      <c r="BF105" s="623"/>
      <c r="BG105" s="623"/>
      <c r="BH105" s="623"/>
      <c r="BI105" s="623"/>
      <c r="BJ105" s="623"/>
      <c r="BK105" s="623"/>
      <c r="BL105" s="623"/>
      <c r="BM105" s="623"/>
      <c r="BN105" s="623"/>
      <c r="BO105" s="623"/>
      <c r="BP105" s="623"/>
      <c r="BQ105" s="623"/>
      <c r="BR105" s="659"/>
    </row>
    <row r="106" spans="1:70" s="593" customFormat="1" ht="48" customHeight="1" x14ac:dyDescent="0.25">
      <c r="A106" s="797"/>
      <c r="B106" s="798"/>
      <c r="C106" s="798"/>
      <c r="D106" s="859"/>
      <c r="E106" s="860"/>
      <c r="F106" s="861"/>
      <c r="G106" s="735"/>
      <c r="H106" s="735"/>
      <c r="I106" s="735"/>
      <c r="J106" s="4134">
        <v>108</v>
      </c>
      <c r="K106" s="4141" t="s">
        <v>715</v>
      </c>
      <c r="L106" s="4141" t="s">
        <v>716</v>
      </c>
      <c r="M106" s="2751">
        <v>4</v>
      </c>
      <c r="N106" s="4262">
        <v>0</v>
      </c>
      <c r="O106" s="4132" t="s">
        <v>717</v>
      </c>
      <c r="P106" s="4132" t="s">
        <v>718</v>
      </c>
      <c r="Q106" s="4128" t="s">
        <v>719</v>
      </c>
      <c r="R106" s="4296">
        <f>W106/S106</f>
        <v>0.27072585259981274</v>
      </c>
      <c r="S106" s="4146">
        <f>+W106+W108</f>
        <v>36705028</v>
      </c>
      <c r="T106" s="4128" t="s">
        <v>720</v>
      </c>
      <c r="U106" s="4141" t="s">
        <v>721</v>
      </c>
      <c r="V106" s="3080" t="s">
        <v>722</v>
      </c>
      <c r="W106" s="4324">
        <v>9937000</v>
      </c>
      <c r="X106" s="4324"/>
      <c r="Y106" s="4324"/>
      <c r="Z106" s="4329">
        <v>20</v>
      </c>
      <c r="AA106" s="2737" t="s">
        <v>368</v>
      </c>
      <c r="AB106" s="4193">
        <v>21554</v>
      </c>
      <c r="AC106" s="697"/>
      <c r="AD106" s="4193">
        <v>22392</v>
      </c>
      <c r="AE106" s="697"/>
      <c r="AF106" s="4193">
        <v>31677</v>
      </c>
      <c r="AG106" s="697"/>
      <c r="AH106" s="4193">
        <v>10302</v>
      </c>
      <c r="AI106" s="697"/>
      <c r="AJ106" s="4193">
        <v>15916</v>
      </c>
      <c r="AK106" s="697"/>
      <c r="AL106" s="4193">
        <v>15683</v>
      </c>
      <c r="AM106" s="697"/>
      <c r="AN106" s="4193">
        <v>238</v>
      </c>
      <c r="AO106" s="697"/>
      <c r="AP106" s="4193">
        <v>245</v>
      </c>
      <c r="AQ106" s="697"/>
      <c r="AR106" s="4193">
        <v>0</v>
      </c>
      <c r="AS106" s="697"/>
      <c r="AT106" s="4193">
        <v>0</v>
      </c>
      <c r="AU106" s="697"/>
      <c r="AV106" s="4193">
        <v>0</v>
      </c>
      <c r="AW106" s="697"/>
      <c r="AX106" s="4193">
        <v>0</v>
      </c>
      <c r="AY106" s="697"/>
      <c r="AZ106" s="4193">
        <v>2629</v>
      </c>
      <c r="BA106" s="697"/>
      <c r="BB106" s="4193">
        <v>2665</v>
      </c>
      <c r="BC106" s="697"/>
      <c r="BD106" s="4193">
        <v>2683</v>
      </c>
      <c r="BE106" s="697"/>
      <c r="BF106" s="4193">
        <v>43946</v>
      </c>
      <c r="BG106" s="697"/>
      <c r="BH106" s="697"/>
      <c r="BI106" s="697"/>
      <c r="BJ106" s="697"/>
      <c r="BK106" s="697"/>
      <c r="BL106" s="697"/>
      <c r="BM106" s="697"/>
      <c r="BN106" s="4215"/>
      <c r="BO106" s="4215"/>
      <c r="BP106" s="4215"/>
      <c r="BQ106" s="4215"/>
      <c r="BR106" s="4218" t="s">
        <v>465</v>
      </c>
    </row>
    <row r="107" spans="1:70" s="593" customFormat="1" ht="36" customHeight="1" x14ac:dyDescent="0.25">
      <c r="A107" s="797"/>
      <c r="B107" s="798"/>
      <c r="C107" s="798"/>
      <c r="D107" s="859"/>
      <c r="E107" s="860"/>
      <c r="F107" s="861"/>
      <c r="G107" s="735"/>
      <c r="H107" s="735"/>
      <c r="I107" s="735"/>
      <c r="J107" s="4136"/>
      <c r="K107" s="4143"/>
      <c r="L107" s="4143"/>
      <c r="M107" s="2752"/>
      <c r="N107" s="4262"/>
      <c r="O107" s="4130"/>
      <c r="P107" s="4130"/>
      <c r="Q107" s="4128"/>
      <c r="R107" s="4267"/>
      <c r="S107" s="4146"/>
      <c r="T107" s="4128"/>
      <c r="U107" s="4143"/>
      <c r="V107" s="3081"/>
      <c r="W107" s="4325"/>
      <c r="X107" s="4325"/>
      <c r="Y107" s="4325"/>
      <c r="Z107" s="4329"/>
      <c r="AA107" s="2737"/>
      <c r="AB107" s="4194"/>
      <c r="AC107" s="791"/>
      <c r="AD107" s="4194"/>
      <c r="AE107" s="791"/>
      <c r="AF107" s="4194"/>
      <c r="AG107" s="791"/>
      <c r="AH107" s="4194"/>
      <c r="AI107" s="791"/>
      <c r="AJ107" s="4194"/>
      <c r="AK107" s="791"/>
      <c r="AL107" s="4194"/>
      <c r="AM107" s="791"/>
      <c r="AN107" s="4194"/>
      <c r="AO107" s="791"/>
      <c r="AP107" s="4194"/>
      <c r="AQ107" s="791"/>
      <c r="AR107" s="4194"/>
      <c r="AS107" s="791"/>
      <c r="AT107" s="4194"/>
      <c r="AU107" s="791"/>
      <c r="AV107" s="4194"/>
      <c r="AW107" s="791"/>
      <c r="AX107" s="4194"/>
      <c r="AY107" s="791"/>
      <c r="AZ107" s="4194"/>
      <c r="BA107" s="791"/>
      <c r="BB107" s="4194"/>
      <c r="BC107" s="791"/>
      <c r="BD107" s="4194"/>
      <c r="BE107" s="791"/>
      <c r="BF107" s="4194"/>
      <c r="BG107" s="791"/>
      <c r="BH107" s="791"/>
      <c r="BI107" s="791"/>
      <c r="BJ107" s="791"/>
      <c r="BK107" s="791"/>
      <c r="BL107" s="791"/>
      <c r="BM107" s="791"/>
      <c r="BN107" s="4216"/>
      <c r="BO107" s="4216"/>
      <c r="BP107" s="4216"/>
      <c r="BQ107" s="4216"/>
      <c r="BR107" s="4219"/>
    </row>
    <row r="108" spans="1:70" s="593" customFormat="1" ht="95.25" customHeight="1" x14ac:dyDescent="0.25">
      <c r="A108" s="797"/>
      <c r="B108" s="798"/>
      <c r="C108" s="798"/>
      <c r="D108" s="859"/>
      <c r="E108" s="860"/>
      <c r="F108" s="861"/>
      <c r="G108" s="735"/>
      <c r="H108" s="735"/>
      <c r="I108" s="735"/>
      <c r="J108" s="760">
        <v>109</v>
      </c>
      <c r="K108" s="692" t="s">
        <v>723</v>
      </c>
      <c r="L108" s="692" t="s">
        <v>724</v>
      </c>
      <c r="M108" s="43">
        <v>52</v>
      </c>
      <c r="N108" s="58">
        <v>0</v>
      </c>
      <c r="O108" s="4131"/>
      <c r="P108" s="4131"/>
      <c r="Q108" s="4128"/>
      <c r="R108" s="761">
        <f>W108/S106</f>
        <v>0.72927414740018726</v>
      </c>
      <c r="S108" s="4146"/>
      <c r="T108" s="4128"/>
      <c r="U108" s="692" t="s">
        <v>725</v>
      </c>
      <c r="V108" s="75" t="s">
        <v>726</v>
      </c>
      <c r="W108" s="836">
        <v>26768028</v>
      </c>
      <c r="X108" s="836"/>
      <c r="Y108" s="836"/>
      <c r="Z108" s="757">
        <v>20</v>
      </c>
      <c r="AA108" s="34" t="s">
        <v>71</v>
      </c>
      <c r="AB108" s="4208"/>
      <c r="AC108" s="681"/>
      <c r="AD108" s="4208"/>
      <c r="AE108" s="681"/>
      <c r="AF108" s="4208"/>
      <c r="AG108" s="681"/>
      <c r="AH108" s="4208"/>
      <c r="AI108" s="681"/>
      <c r="AJ108" s="4208"/>
      <c r="AK108" s="681"/>
      <c r="AL108" s="4208"/>
      <c r="AM108" s="681"/>
      <c r="AN108" s="4208"/>
      <c r="AO108" s="681"/>
      <c r="AP108" s="4208"/>
      <c r="AQ108" s="681"/>
      <c r="AR108" s="4208"/>
      <c r="AS108" s="681"/>
      <c r="AT108" s="4208"/>
      <c r="AU108" s="681"/>
      <c r="AV108" s="4208"/>
      <c r="AW108" s="681"/>
      <c r="AX108" s="4208"/>
      <c r="AY108" s="681"/>
      <c r="AZ108" s="4208"/>
      <c r="BA108" s="681"/>
      <c r="BB108" s="4208"/>
      <c r="BC108" s="681"/>
      <c r="BD108" s="4208"/>
      <c r="BE108" s="681"/>
      <c r="BF108" s="4208"/>
      <c r="BG108" s="791"/>
      <c r="BH108" s="791"/>
      <c r="BI108" s="791"/>
      <c r="BJ108" s="791"/>
      <c r="BK108" s="791"/>
      <c r="BL108" s="791"/>
      <c r="BM108" s="791"/>
      <c r="BN108" s="4217"/>
      <c r="BO108" s="4217"/>
      <c r="BP108" s="4217"/>
      <c r="BQ108" s="4217"/>
      <c r="BR108" s="4220"/>
    </row>
    <row r="109" spans="1:70" s="593" customFormat="1" ht="15.75" x14ac:dyDescent="0.25">
      <c r="A109" s="862"/>
      <c r="B109" s="863"/>
      <c r="C109" s="863"/>
      <c r="D109" s="862"/>
      <c r="E109" s="863"/>
      <c r="F109" s="864"/>
      <c r="G109" s="731">
        <v>26</v>
      </c>
      <c r="H109" s="612" t="s">
        <v>727</v>
      </c>
      <c r="I109" s="612"/>
      <c r="J109" s="612"/>
      <c r="K109" s="613"/>
      <c r="L109" s="613"/>
      <c r="M109" s="653"/>
      <c r="N109" s="653"/>
      <c r="O109" s="732"/>
      <c r="P109" s="653"/>
      <c r="Q109" s="787"/>
      <c r="R109" s="653"/>
      <c r="S109" s="656"/>
      <c r="T109" s="613"/>
      <c r="U109" s="613"/>
      <c r="V109" s="613"/>
      <c r="W109" s="733"/>
      <c r="X109" s="733"/>
      <c r="Y109" s="733"/>
      <c r="Z109" s="732"/>
      <c r="AA109" s="653"/>
      <c r="AB109" s="653"/>
      <c r="AC109" s="653"/>
      <c r="AD109" s="653"/>
      <c r="AE109" s="653"/>
      <c r="AF109" s="653"/>
      <c r="AG109" s="653"/>
      <c r="AH109" s="653"/>
      <c r="AI109" s="653"/>
      <c r="AJ109" s="653"/>
      <c r="AK109" s="653"/>
      <c r="AL109" s="653"/>
      <c r="AM109" s="653"/>
      <c r="AN109" s="653"/>
      <c r="AO109" s="653"/>
      <c r="AP109" s="653"/>
      <c r="AQ109" s="653"/>
      <c r="AR109" s="653"/>
      <c r="AS109" s="653"/>
      <c r="AT109" s="653"/>
      <c r="AU109" s="653"/>
      <c r="AV109" s="653"/>
      <c r="AW109" s="653"/>
      <c r="AX109" s="623"/>
      <c r="AY109" s="623"/>
      <c r="AZ109" s="623"/>
      <c r="BA109" s="623"/>
      <c r="BB109" s="623"/>
      <c r="BC109" s="623"/>
      <c r="BD109" s="623"/>
      <c r="BE109" s="623"/>
      <c r="BF109" s="623"/>
      <c r="BG109" s="623"/>
      <c r="BH109" s="623"/>
      <c r="BI109" s="623"/>
      <c r="BJ109" s="623"/>
      <c r="BK109" s="623"/>
      <c r="BL109" s="623"/>
      <c r="BM109" s="623"/>
      <c r="BN109" s="623"/>
      <c r="BO109" s="623"/>
      <c r="BP109" s="623"/>
      <c r="BQ109" s="623"/>
      <c r="BR109" s="659"/>
    </row>
    <row r="110" spans="1:70" s="593" customFormat="1" ht="53.25" customHeight="1" x14ac:dyDescent="0.25">
      <c r="A110" s="797" t="s">
        <v>728</v>
      </c>
      <c r="B110" s="798"/>
      <c r="C110" s="798"/>
      <c r="D110" s="797"/>
      <c r="E110" s="798"/>
      <c r="F110" s="799"/>
      <c r="G110" s="4318"/>
      <c r="H110" s="4319"/>
      <c r="I110" s="4282"/>
      <c r="J110" s="2748">
        <v>110</v>
      </c>
      <c r="K110" s="4173" t="s">
        <v>729</v>
      </c>
      <c r="L110" s="2737" t="s">
        <v>730</v>
      </c>
      <c r="M110" s="2743">
        <v>200</v>
      </c>
      <c r="N110" s="3104">
        <v>268</v>
      </c>
      <c r="O110" s="2737" t="s">
        <v>731</v>
      </c>
      <c r="P110" s="2737" t="s">
        <v>732</v>
      </c>
      <c r="Q110" s="4173" t="s">
        <v>733</v>
      </c>
      <c r="R110" s="4326">
        <f>(+W110+W111+W112)/S110</f>
        <v>1</v>
      </c>
      <c r="S110" s="4327">
        <f>+W110+W111+W112</f>
        <v>650000000</v>
      </c>
      <c r="T110" s="4328" t="s">
        <v>734</v>
      </c>
      <c r="U110" s="4173" t="s">
        <v>735</v>
      </c>
      <c r="V110" s="2738" t="s">
        <v>736</v>
      </c>
      <c r="W110" s="689">
        <v>600000000</v>
      </c>
      <c r="X110" s="689"/>
      <c r="Y110" s="689"/>
      <c r="Z110" s="865">
        <v>25</v>
      </c>
      <c r="AA110" s="34" t="s">
        <v>737</v>
      </c>
      <c r="AB110" s="4193">
        <v>21554</v>
      </c>
      <c r="AC110" s="697"/>
      <c r="AD110" s="4193">
        <v>22392</v>
      </c>
      <c r="AE110" s="697"/>
      <c r="AF110" s="4193">
        <v>31677</v>
      </c>
      <c r="AG110" s="697"/>
      <c r="AH110" s="4193">
        <v>10302</v>
      </c>
      <c r="AI110" s="697"/>
      <c r="AJ110" s="4193">
        <v>15916</v>
      </c>
      <c r="AK110" s="697"/>
      <c r="AL110" s="4193">
        <v>15683</v>
      </c>
      <c r="AM110" s="697"/>
      <c r="AN110" s="4193">
        <v>238</v>
      </c>
      <c r="AO110" s="697"/>
      <c r="AP110" s="4193">
        <v>245</v>
      </c>
      <c r="AQ110" s="697"/>
      <c r="AR110" s="4193">
        <v>0</v>
      </c>
      <c r="AS110" s="697"/>
      <c r="AT110" s="4193">
        <v>0</v>
      </c>
      <c r="AU110" s="697"/>
      <c r="AV110" s="4193">
        <v>0</v>
      </c>
      <c r="AW110" s="697"/>
      <c r="AX110" s="4193">
        <v>0</v>
      </c>
      <c r="AY110" s="697"/>
      <c r="AZ110" s="4193">
        <v>2629</v>
      </c>
      <c r="BA110" s="697"/>
      <c r="BB110" s="4193">
        <v>2665</v>
      </c>
      <c r="BC110" s="697"/>
      <c r="BD110" s="4193">
        <v>2683</v>
      </c>
      <c r="BE110" s="697"/>
      <c r="BF110" s="4193">
        <v>43946</v>
      </c>
      <c r="BG110" s="697"/>
      <c r="BH110" s="4193">
        <v>2</v>
      </c>
      <c r="BI110" s="4281">
        <f>SUM(X110:X112)</f>
        <v>10000000</v>
      </c>
      <c r="BJ110" s="4281">
        <f>SUM(Y110:Y112)</f>
        <v>5000000</v>
      </c>
      <c r="BK110" s="4240">
        <f>+BJ110/BI110</f>
        <v>0.5</v>
      </c>
      <c r="BL110" s="4193" t="s">
        <v>71</v>
      </c>
      <c r="BM110" s="4132" t="s">
        <v>738</v>
      </c>
      <c r="BN110" s="4335">
        <v>43466</v>
      </c>
      <c r="BO110" s="4215">
        <v>43497</v>
      </c>
      <c r="BP110" s="4330">
        <v>43585</v>
      </c>
      <c r="BQ110" s="4330">
        <v>43585</v>
      </c>
      <c r="BR110" s="4218" t="s">
        <v>465</v>
      </c>
    </row>
    <row r="111" spans="1:70" s="593" customFormat="1" ht="53.25" customHeight="1" x14ac:dyDescent="0.25">
      <c r="A111" s="797"/>
      <c r="B111" s="798"/>
      <c r="C111" s="798"/>
      <c r="D111" s="797"/>
      <c r="E111" s="798"/>
      <c r="F111" s="799"/>
      <c r="G111" s="4320"/>
      <c r="H111" s="4321"/>
      <c r="I111" s="4223"/>
      <c r="J111" s="2748"/>
      <c r="K111" s="4173"/>
      <c r="L111" s="2737"/>
      <c r="M111" s="2743"/>
      <c r="N111" s="3105"/>
      <c r="O111" s="2737"/>
      <c r="P111" s="2737"/>
      <c r="Q111" s="4173"/>
      <c r="R111" s="4326"/>
      <c r="S111" s="4327"/>
      <c r="T111" s="4328"/>
      <c r="U111" s="4173"/>
      <c r="V111" s="2738"/>
      <c r="W111" s="689">
        <v>10000000</v>
      </c>
      <c r="X111" s="689">
        <v>10000000</v>
      </c>
      <c r="Y111" s="689">
        <v>5000000</v>
      </c>
      <c r="Z111" s="866">
        <v>20</v>
      </c>
      <c r="AA111" s="867" t="s">
        <v>71</v>
      </c>
      <c r="AB111" s="4194"/>
      <c r="AC111" s="791"/>
      <c r="AD111" s="4194"/>
      <c r="AE111" s="791"/>
      <c r="AF111" s="4194"/>
      <c r="AG111" s="791"/>
      <c r="AH111" s="4194"/>
      <c r="AI111" s="791"/>
      <c r="AJ111" s="4194"/>
      <c r="AK111" s="791"/>
      <c r="AL111" s="4194"/>
      <c r="AM111" s="791"/>
      <c r="AN111" s="4194"/>
      <c r="AO111" s="791"/>
      <c r="AP111" s="4194"/>
      <c r="AQ111" s="791"/>
      <c r="AR111" s="4194"/>
      <c r="AS111" s="791"/>
      <c r="AT111" s="4194"/>
      <c r="AU111" s="791"/>
      <c r="AV111" s="4194"/>
      <c r="AW111" s="791"/>
      <c r="AX111" s="4194"/>
      <c r="AY111" s="791"/>
      <c r="AZ111" s="4194"/>
      <c r="BA111" s="791"/>
      <c r="BB111" s="4194"/>
      <c r="BC111" s="791"/>
      <c r="BD111" s="4194"/>
      <c r="BE111" s="791"/>
      <c r="BF111" s="4194"/>
      <c r="BG111" s="791"/>
      <c r="BH111" s="4194"/>
      <c r="BI111" s="4333"/>
      <c r="BJ111" s="4333"/>
      <c r="BK111" s="4241"/>
      <c r="BL111" s="4194"/>
      <c r="BM111" s="4194"/>
      <c r="BN111" s="4336"/>
      <c r="BO111" s="4216"/>
      <c r="BP111" s="4331"/>
      <c r="BQ111" s="4331"/>
      <c r="BR111" s="4219"/>
    </row>
    <row r="112" spans="1:70" s="593" customFormat="1" ht="48.75" customHeight="1" x14ac:dyDescent="0.25">
      <c r="A112" s="797"/>
      <c r="B112" s="798"/>
      <c r="C112" s="798"/>
      <c r="D112" s="797"/>
      <c r="E112" s="798"/>
      <c r="F112" s="799"/>
      <c r="G112" s="4322"/>
      <c r="H112" s="4323"/>
      <c r="I112" s="4283"/>
      <c r="J112" s="2748"/>
      <c r="K112" s="4173"/>
      <c r="L112" s="2737"/>
      <c r="M112" s="2743"/>
      <c r="N112" s="3106"/>
      <c r="O112" s="2737"/>
      <c r="P112" s="2737"/>
      <c r="Q112" s="4173"/>
      <c r="R112" s="4326"/>
      <c r="S112" s="4327"/>
      <c r="T112" s="4328"/>
      <c r="U112" s="4173"/>
      <c r="V112" s="2738"/>
      <c r="W112" s="690">
        <v>40000000</v>
      </c>
      <c r="X112" s="690"/>
      <c r="Y112" s="690"/>
      <c r="Z112" s="868">
        <v>88</v>
      </c>
      <c r="AA112" s="646" t="s">
        <v>467</v>
      </c>
      <c r="AB112" s="4283"/>
      <c r="AC112" s="869"/>
      <c r="AD112" s="4208"/>
      <c r="AE112" s="681"/>
      <c r="AF112" s="4208"/>
      <c r="AG112" s="681"/>
      <c r="AH112" s="4208"/>
      <c r="AI112" s="681"/>
      <c r="AJ112" s="4208"/>
      <c r="AK112" s="681"/>
      <c r="AL112" s="4208"/>
      <c r="AM112" s="681"/>
      <c r="AN112" s="4208"/>
      <c r="AO112" s="681"/>
      <c r="AP112" s="4208"/>
      <c r="AQ112" s="681"/>
      <c r="AR112" s="4208"/>
      <c r="AS112" s="681"/>
      <c r="AT112" s="4208"/>
      <c r="AU112" s="681"/>
      <c r="AV112" s="4208"/>
      <c r="AW112" s="681"/>
      <c r="AX112" s="4208"/>
      <c r="AY112" s="681"/>
      <c r="AZ112" s="4208"/>
      <c r="BA112" s="681"/>
      <c r="BB112" s="4208"/>
      <c r="BC112" s="681"/>
      <c r="BD112" s="4208"/>
      <c r="BE112" s="681"/>
      <c r="BF112" s="4208"/>
      <c r="BG112" s="681"/>
      <c r="BH112" s="4208"/>
      <c r="BI112" s="4334"/>
      <c r="BJ112" s="4334"/>
      <c r="BK112" s="4242"/>
      <c r="BL112" s="4208"/>
      <c r="BM112" s="4208"/>
      <c r="BN112" s="4337"/>
      <c r="BO112" s="4217"/>
      <c r="BP112" s="4208"/>
      <c r="BQ112" s="4332"/>
      <c r="BR112" s="4219"/>
    </row>
    <row r="113" spans="1:70" s="593" customFormat="1" ht="15.75" x14ac:dyDescent="0.25">
      <c r="A113" s="862"/>
      <c r="B113" s="863"/>
      <c r="C113" s="863"/>
      <c r="D113" s="862"/>
      <c r="E113" s="863"/>
      <c r="F113" s="864"/>
      <c r="G113" s="731">
        <v>27</v>
      </c>
      <c r="H113" s="612" t="s">
        <v>739</v>
      </c>
      <c r="I113" s="612"/>
      <c r="J113" s="612"/>
      <c r="K113" s="613"/>
      <c r="L113" s="613"/>
      <c r="M113" s="653"/>
      <c r="N113" s="653"/>
      <c r="O113" s="732"/>
      <c r="P113" s="653"/>
      <c r="Q113" s="787"/>
      <c r="R113" s="653"/>
      <c r="S113" s="656"/>
      <c r="T113" s="613"/>
      <c r="U113" s="613"/>
      <c r="V113" s="613"/>
      <c r="W113" s="763"/>
      <c r="X113" s="763"/>
      <c r="Y113" s="763"/>
      <c r="Z113" s="655"/>
      <c r="AA113" s="654"/>
      <c r="AB113" s="653"/>
      <c r="AC113" s="653"/>
      <c r="AD113" s="653"/>
      <c r="AE113" s="653"/>
      <c r="AF113" s="653"/>
      <c r="AG113" s="653"/>
      <c r="AH113" s="653"/>
      <c r="AI113" s="653"/>
      <c r="AJ113" s="653"/>
      <c r="AK113" s="653"/>
      <c r="AL113" s="653"/>
      <c r="AM113" s="653"/>
      <c r="AN113" s="653"/>
      <c r="AO113" s="653"/>
      <c r="AP113" s="653"/>
      <c r="AQ113" s="653"/>
      <c r="AR113" s="653"/>
      <c r="AS113" s="653"/>
      <c r="AT113" s="653"/>
      <c r="AU113" s="653"/>
      <c r="AV113" s="653"/>
      <c r="AW113" s="653"/>
      <c r="AX113" s="623"/>
      <c r="AY113" s="623"/>
      <c r="AZ113" s="623"/>
      <c r="BA113" s="623"/>
      <c r="BB113" s="623"/>
      <c r="BC113" s="623"/>
      <c r="BD113" s="623"/>
      <c r="BE113" s="623"/>
      <c r="BF113" s="623"/>
      <c r="BG113" s="623"/>
      <c r="BH113" s="623"/>
      <c r="BI113" s="623"/>
      <c r="BJ113" s="623"/>
      <c r="BK113" s="623"/>
      <c r="BL113" s="623"/>
      <c r="BM113" s="623"/>
      <c r="BN113" s="623"/>
      <c r="BO113" s="623"/>
      <c r="BP113" s="623"/>
      <c r="BQ113" s="623"/>
      <c r="BR113" s="659"/>
    </row>
    <row r="114" spans="1:70" s="593" customFormat="1" ht="120" customHeight="1" x14ac:dyDescent="0.25">
      <c r="A114" s="862"/>
      <c r="B114" s="863"/>
      <c r="C114" s="863"/>
      <c r="D114" s="862"/>
      <c r="E114" s="863"/>
      <c r="F114" s="864"/>
      <c r="G114" s="735"/>
      <c r="H114" s="735"/>
      <c r="I114" s="735"/>
      <c r="J114" s="870">
        <v>111</v>
      </c>
      <c r="K114" s="871" t="s">
        <v>740</v>
      </c>
      <c r="L114" s="871" t="s">
        <v>741</v>
      </c>
      <c r="M114" s="872">
        <v>1</v>
      </c>
      <c r="N114" s="872">
        <v>0.25</v>
      </c>
      <c r="O114" s="55" t="s">
        <v>742</v>
      </c>
      <c r="P114" s="698" t="s">
        <v>743</v>
      </c>
      <c r="Q114" s="839" t="s">
        <v>744</v>
      </c>
      <c r="R114" s="741">
        <f>+W114/S114</f>
        <v>1</v>
      </c>
      <c r="S114" s="873">
        <f>+W114</f>
        <v>3503000000</v>
      </c>
      <c r="T114" s="871" t="s">
        <v>745</v>
      </c>
      <c r="U114" s="871" t="s">
        <v>746</v>
      </c>
      <c r="V114" s="742" t="s">
        <v>747</v>
      </c>
      <c r="W114" s="874">
        <v>3503000000</v>
      </c>
      <c r="X114" s="874">
        <v>446579161</v>
      </c>
      <c r="Y114" s="874">
        <v>438935161</v>
      </c>
      <c r="Z114" s="875">
        <v>25</v>
      </c>
      <c r="AA114" s="698" t="s">
        <v>508</v>
      </c>
      <c r="AB114" s="791">
        <v>21554</v>
      </c>
      <c r="AC114" s="791">
        <v>21554</v>
      </c>
      <c r="AD114" s="791">
        <v>22392</v>
      </c>
      <c r="AE114" s="791">
        <v>22392</v>
      </c>
      <c r="AF114" s="876">
        <v>31677</v>
      </c>
      <c r="AG114" s="876">
        <v>31677</v>
      </c>
      <c r="AH114" s="876">
        <v>10302</v>
      </c>
      <c r="AI114" s="876">
        <v>10302</v>
      </c>
      <c r="AJ114" s="876">
        <v>15916</v>
      </c>
      <c r="AK114" s="876">
        <v>15916</v>
      </c>
      <c r="AL114" s="876">
        <v>15683</v>
      </c>
      <c r="AM114" s="876">
        <v>15683</v>
      </c>
      <c r="AN114" s="876">
        <v>238</v>
      </c>
      <c r="AO114" s="876">
        <v>238</v>
      </c>
      <c r="AP114" s="876">
        <v>245</v>
      </c>
      <c r="AQ114" s="876">
        <v>245</v>
      </c>
      <c r="AR114" s="876">
        <v>0</v>
      </c>
      <c r="AS114" s="876"/>
      <c r="AT114" s="876">
        <v>0</v>
      </c>
      <c r="AU114" s="877"/>
      <c r="AV114" s="877">
        <v>0</v>
      </c>
      <c r="AW114" s="877"/>
      <c r="AX114" s="878">
        <v>0</v>
      </c>
      <c r="AY114" s="878"/>
      <c r="AZ114" s="878">
        <v>2629</v>
      </c>
      <c r="BA114" s="878">
        <v>2629</v>
      </c>
      <c r="BB114" s="878">
        <v>2665</v>
      </c>
      <c r="BC114" s="878">
        <v>2665</v>
      </c>
      <c r="BD114" s="878">
        <v>2683</v>
      </c>
      <c r="BE114" s="878">
        <v>2683</v>
      </c>
      <c r="BF114" s="879">
        <f>AB114+AD114</f>
        <v>43946</v>
      </c>
      <c r="BG114" s="879">
        <v>43946</v>
      </c>
      <c r="BH114" s="879"/>
      <c r="BI114" s="880">
        <f>SUM(X114)</f>
        <v>446579161</v>
      </c>
      <c r="BJ114" s="880">
        <f>SUM(Y114)</f>
        <v>438935161</v>
      </c>
      <c r="BK114" s="881">
        <f>+BJ114/BI114</f>
        <v>0.98288321384526045</v>
      </c>
      <c r="BL114" s="879" t="s">
        <v>508</v>
      </c>
      <c r="BM114" s="882" t="s">
        <v>748</v>
      </c>
      <c r="BN114" s="883">
        <v>43466</v>
      </c>
      <c r="BO114" s="883">
        <v>43466</v>
      </c>
      <c r="BP114" s="883">
        <v>43830</v>
      </c>
      <c r="BQ114" s="883">
        <v>43830</v>
      </c>
      <c r="BR114" s="882" t="s">
        <v>465</v>
      </c>
    </row>
    <row r="115" spans="1:70" s="593" customFormat="1" ht="15.75" x14ac:dyDescent="0.25">
      <c r="A115" s="862"/>
      <c r="B115" s="863"/>
      <c r="C115" s="863"/>
      <c r="D115" s="862"/>
      <c r="E115" s="863"/>
      <c r="F115" s="864"/>
      <c r="G115" s="731">
        <v>28</v>
      </c>
      <c r="H115" s="612" t="s">
        <v>749</v>
      </c>
      <c r="I115" s="612"/>
      <c r="J115" s="612"/>
      <c r="K115" s="613"/>
      <c r="L115" s="613"/>
      <c r="M115" s="653"/>
      <c r="N115" s="653"/>
      <c r="O115" s="732"/>
      <c r="P115" s="732"/>
      <c r="Q115" s="787"/>
      <c r="R115" s="884"/>
      <c r="S115" s="656"/>
      <c r="T115" s="613"/>
      <c r="U115" s="613"/>
      <c r="V115" s="613"/>
      <c r="W115" s="733"/>
      <c r="X115" s="733"/>
      <c r="Y115" s="733"/>
      <c r="Z115" s="885"/>
      <c r="AA115" s="732"/>
      <c r="AB115" s="732"/>
      <c r="AC115" s="732"/>
      <c r="AD115" s="732"/>
      <c r="AE115" s="732"/>
      <c r="AF115" s="653"/>
      <c r="AG115" s="653"/>
      <c r="AH115" s="653"/>
      <c r="AI115" s="653"/>
      <c r="AJ115" s="653"/>
      <c r="AK115" s="653"/>
      <c r="AL115" s="653"/>
      <c r="AM115" s="653"/>
      <c r="AN115" s="653"/>
      <c r="AO115" s="653"/>
      <c r="AP115" s="653"/>
      <c r="AQ115" s="653"/>
      <c r="AR115" s="653"/>
      <c r="AS115" s="653"/>
      <c r="AT115" s="886"/>
      <c r="AU115" s="886"/>
      <c r="AV115" s="886"/>
      <c r="AW115" s="886"/>
      <c r="AX115" s="623"/>
      <c r="AY115" s="623"/>
      <c r="AZ115" s="623"/>
      <c r="BA115" s="623"/>
      <c r="BB115" s="623"/>
      <c r="BC115" s="623"/>
      <c r="BD115" s="623"/>
      <c r="BE115" s="623"/>
      <c r="BF115" s="623"/>
      <c r="BG115" s="623"/>
      <c r="BH115" s="623"/>
      <c r="BI115" s="623"/>
      <c r="BJ115" s="623"/>
      <c r="BK115" s="623"/>
      <c r="BL115" s="623"/>
      <c r="BM115" s="623"/>
      <c r="BN115" s="887"/>
      <c r="BO115" s="888"/>
      <c r="BP115" s="623"/>
      <c r="BQ115" s="623"/>
      <c r="BR115" s="659"/>
    </row>
    <row r="116" spans="1:70" s="593" customFormat="1" ht="48" customHeight="1" x14ac:dyDescent="0.25">
      <c r="A116" s="862"/>
      <c r="B116" s="863"/>
      <c r="C116" s="863"/>
      <c r="D116" s="859"/>
      <c r="E116" s="860"/>
      <c r="F116" s="861"/>
      <c r="G116" s="822"/>
      <c r="H116" s="822"/>
      <c r="I116" s="822"/>
      <c r="J116" s="4135">
        <v>112</v>
      </c>
      <c r="K116" s="4128" t="s">
        <v>750</v>
      </c>
      <c r="L116" s="4128" t="s">
        <v>751</v>
      </c>
      <c r="M116" s="4194">
        <v>12</v>
      </c>
      <c r="N116" s="4204">
        <v>0</v>
      </c>
      <c r="O116" s="4130" t="s">
        <v>752</v>
      </c>
      <c r="P116" s="4130" t="s">
        <v>753</v>
      </c>
      <c r="Q116" s="4128" t="s">
        <v>754</v>
      </c>
      <c r="R116" s="4272">
        <f>+W116/S116</f>
        <v>0.14375937670534561</v>
      </c>
      <c r="S116" s="4221">
        <f>+W116+W118</f>
        <v>20868204</v>
      </c>
      <c r="T116" s="4162" t="s">
        <v>755</v>
      </c>
      <c r="U116" s="4128" t="s">
        <v>756</v>
      </c>
      <c r="V116" s="4128" t="s">
        <v>757</v>
      </c>
      <c r="W116" s="4273">
        <v>3000000</v>
      </c>
      <c r="X116" s="4273"/>
      <c r="Y116" s="4273"/>
      <c r="Z116" s="4329">
        <v>20</v>
      </c>
      <c r="AA116" s="2737" t="s">
        <v>71</v>
      </c>
      <c r="AB116" s="4194">
        <v>21554</v>
      </c>
      <c r="AC116" s="4193"/>
      <c r="AD116" s="4194">
        <v>22392</v>
      </c>
      <c r="AE116" s="4193"/>
      <c r="AF116" s="4194">
        <v>31677</v>
      </c>
      <c r="AG116" s="4193"/>
      <c r="AH116" s="4194">
        <v>10302</v>
      </c>
      <c r="AI116" s="4193"/>
      <c r="AJ116" s="4194">
        <v>15916</v>
      </c>
      <c r="AK116" s="4193"/>
      <c r="AL116" s="4194">
        <v>15683</v>
      </c>
      <c r="AM116" s="4193"/>
      <c r="AN116" s="4194">
        <v>238</v>
      </c>
      <c r="AO116" s="4193"/>
      <c r="AP116" s="4194">
        <v>245</v>
      </c>
      <c r="AQ116" s="4193"/>
      <c r="AR116" s="4194">
        <v>0</v>
      </c>
      <c r="AS116" s="791"/>
      <c r="AT116" s="4194">
        <v>0</v>
      </c>
      <c r="AU116" s="791"/>
      <c r="AV116" s="4194">
        <v>0</v>
      </c>
      <c r="AW116" s="791"/>
      <c r="AX116" s="4194">
        <v>0</v>
      </c>
      <c r="AY116" s="791"/>
      <c r="AZ116" s="4194">
        <v>2629</v>
      </c>
      <c r="BA116" s="4193"/>
      <c r="BB116" s="4194">
        <v>2665</v>
      </c>
      <c r="BC116" s="4193"/>
      <c r="BD116" s="4194">
        <v>2683</v>
      </c>
      <c r="BE116" s="4193"/>
      <c r="BF116" s="4320">
        <f>AB116+AD116</f>
        <v>43946</v>
      </c>
      <c r="BG116" s="4193"/>
      <c r="BH116" s="889"/>
      <c r="BI116" s="889"/>
      <c r="BJ116" s="889"/>
      <c r="BK116" s="889"/>
      <c r="BL116" s="889"/>
      <c r="BM116" s="889"/>
      <c r="BN116" s="4215"/>
      <c r="BO116" s="4215"/>
      <c r="BP116" s="4258"/>
      <c r="BQ116" s="4258"/>
      <c r="BR116" s="4219" t="s">
        <v>465</v>
      </c>
    </row>
    <row r="117" spans="1:70" s="593" customFormat="1" ht="55.5" customHeight="1" x14ac:dyDescent="0.25">
      <c r="A117" s="862"/>
      <c r="B117" s="863"/>
      <c r="C117" s="863"/>
      <c r="D117" s="859"/>
      <c r="E117" s="860"/>
      <c r="F117" s="861"/>
      <c r="G117" s="822"/>
      <c r="H117" s="822"/>
      <c r="I117" s="822"/>
      <c r="J117" s="4136"/>
      <c r="K117" s="4129"/>
      <c r="L117" s="4129"/>
      <c r="M117" s="4208"/>
      <c r="N117" s="4204"/>
      <c r="O117" s="4130"/>
      <c r="P117" s="4130"/>
      <c r="Q117" s="4128"/>
      <c r="R117" s="4267"/>
      <c r="S117" s="4221"/>
      <c r="T117" s="4128"/>
      <c r="U117" s="4129"/>
      <c r="V117" s="4129"/>
      <c r="W117" s="4274"/>
      <c r="X117" s="4274"/>
      <c r="Y117" s="4274"/>
      <c r="Z117" s="4329"/>
      <c r="AA117" s="2737"/>
      <c r="AB117" s="4194"/>
      <c r="AC117" s="4194"/>
      <c r="AD117" s="4194"/>
      <c r="AE117" s="4194"/>
      <c r="AF117" s="4194"/>
      <c r="AG117" s="4194"/>
      <c r="AH117" s="4194"/>
      <c r="AI117" s="4194"/>
      <c r="AJ117" s="4194"/>
      <c r="AK117" s="4194"/>
      <c r="AL117" s="4194"/>
      <c r="AM117" s="4194"/>
      <c r="AN117" s="4194"/>
      <c r="AO117" s="4194"/>
      <c r="AP117" s="4194"/>
      <c r="AQ117" s="4194"/>
      <c r="AR117" s="4194"/>
      <c r="AS117" s="791"/>
      <c r="AT117" s="4194"/>
      <c r="AU117" s="791"/>
      <c r="AV117" s="4194"/>
      <c r="AW117" s="791"/>
      <c r="AX117" s="4194"/>
      <c r="AY117" s="791"/>
      <c r="AZ117" s="4194"/>
      <c r="BA117" s="4194"/>
      <c r="BB117" s="4194"/>
      <c r="BC117" s="4194"/>
      <c r="BD117" s="4194"/>
      <c r="BE117" s="4194"/>
      <c r="BF117" s="4320"/>
      <c r="BG117" s="4194"/>
      <c r="BH117" s="889"/>
      <c r="BI117" s="889"/>
      <c r="BJ117" s="889"/>
      <c r="BK117" s="889"/>
      <c r="BL117" s="889"/>
      <c r="BM117" s="889"/>
      <c r="BN117" s="4216"/>
      <c r="BO117" s="4216"/>
      <c r="BP117" s="4259"/>
      <c r="BQ117" s="4259"/>
      <c r="BR117" s="4219"/>
    </row>
    <row r="118" spans="1:70" s="593" customFormat="1" ht="88.5" customHeight="1" x14ac:dyDescent="0.25">
      <c r="A118" s="862"/>
      <c r="B118" s="863"/>
      <c r="C118" s="863"/>
      <c r="D118" s="859"/>
      <c r="E118" s="860"/>
      <c r="F118" s="861"/>
      <c r="G118" s="822"/>
      <c r="H118" s="822"/>
      <c r="I118" s="822"/>
      <c r="J118" s="760">
        <v>113</v>
      </c>
      <c r="K118" s="786" t="s">
        <v>758</v>
      </c>
      <c r="L118" s="786" t="s">
        <v>759</v>
      </c>
      <c r="M118" s="697">
        <v>1</v>
      </c>
      <c r="N118" s="791">
        <v>0</v>
      </c>
      <c r="O118" s="4130"/>
      <c r="P118" s="4130"/>
      <c r="Q118" s="4128"/>
      <c r="R118" s="761">
        <f>+W118/S116</f>
        <v>0.85624062329465445</v>
      </c>
      <c r="S118" s="4221"/>
      <c r="T118" s="4128"/>
      <c r="U118" s="786" t="s">
        <v>760</v>
      </c>
      <c r="V118" s="786" t="s">
        <v>761</v>
      </c>
      <c r="W118" s="827">
        <v>17868204</v>
      </c>
      <c r="X118" s="827"/>
      <c r="Y118" s="827"/>
      <c r="Z118" s="683">
        <v>20</v>
      </c>
      <c r="AA118" s="684" t="s">
        <v>71</v>
      </c>
      <c r="AB118" s="4194"/>
      <c r="AC118" s="4208"/>
      <c r="AD118" s="4194"/>
      <c r="AE118" s="4208"/>
      <c r="AF118" s="4194"/>
      <c r="AG118" s="4208"/>
      <c r="AH118" s="4194"/>
      <c r="AI118" s="4208"/>
      <c r="AJ118" s="4194"/>
      <c r="AK118" s="4208"/>
      <c r="AL118" s="4194"/>
      <c r="AM118" s="4208"/>
      <c r="AN118" s="4194"/>
      <c r="AO118" s="4208"/>
      <c r="AP118" s="4194"/>
      <c r="AQ118" s="4208"/>
      <c r="AR118" s="4194"/>
      <c r="AS118" s="791"/>
      <c r="AT118" s="4194"/>
      <c r="AU118" s="791"/>
      <c r="AV118" s="4194"/>
      <c r="AW118" s="791"/>
      <c r="AX118" s="4194"/>
      <c r="AY118" s="791"/>
      <c r="AZ118" s="4194"/>
      <c r="BA118" s="4208"/>
      <c r="BB118" s="4194"/>
      <c r="BC118" s="4208"/>
      <c r="BD118" s="4194"/>
      <c r="BE118" s="4208"/>
      <c r="BF118" s="4194"/>
      <c r="BG118" s="4208"/>
      <c r="BH118" s="791"/>
      <c r="BI118" s="791"/>
      <c r="BJ118" s="791"/>
      <c r="BK118" s="791"/>
      <c r="BL118" s="791"/>
      <c r="BM118" s="791"/>
      <c r="BN118" s="4217"/>
      <c r="BO118" s="4217"/>
      <c r="BP118" s="4260"/>
      <c r="BQ118" s="4260"/>
      <c r="BR118" s="4219"/>
    </row>
    <row r="119" spans="1:70" s="593" customFormat="1" ht="15.75" x14ac:dyDescent="0.25">
      <c r="A119" s="4338"/>
      <c r="B119" s="4338"/>
      <c r="C119" s="4338"/>
      <c r="D119" s="715">
        <v>16</v>
      </c>
      <c r="E119" s="716" t="s">
        <v>762</v>
      </c>
      <c r="F119" s="716"/>
      <c r="G119" s="598"/>
      <c r="H119" s="598"/>
      <c r="I119" s="598"/>
      <c r="J119" s="598"/>
      <c r="K119" s="599"/>
      <c r="L119" s="599"/>
      <c r="M119" s="718"/>
      <c r="N119" s="718"/>
      <c r="O119" s="600"/>
      <c r="P119" s="600"/>
      <c r="Q119" s="890"/>
      <c r="R119" s="719"/>
      <c r="S119" s="720"/>
      <c r="T119" s="599"/>
      <c r="U119" s="599"/>
      <c r="V119" s="599"/>
      <c r="W119" s="891"/>
      <c r="X119" s="891"/>
      <c r="Y119" s="891"/>
      <c r="Z119" s="892"/>
      <c r="AA119" s="600"/>
      <c r="AB119" s="600"/>
      <c r="AC119" s="600"/>
      <c r="AD119" s="600"/>
      <c r="AE119" s="600"/>
      <c r="AF119" s="718"/>
      <c r="AG119" s="718"/>
      <c r="AH119" s="718"/>
      <c r="AI119" s="718"/>
      <c r="AJ119" s="718"/>
      <c r="AK119" s="718"/>
      <c r="AL119" s="718"/>
      <c r="AM119" s="718"/>
      <c r="AN119" s="718"/>
      <c r="AO119" s="718"/>
      <c r="AP119" s="718"/>
      <c r="AQ119" s="718"/>
      <c r="AR119" s="718"/>
      <c r="AS119" s="718"/>
      <c r="AT119" s="724"/>
      <c r="AU119" s="724"/>
      <c r="AV119" s="724"/>
      <c r="AW119" s="724"/>
      <c r="AX119" s="604"/>
      <c r="AY119" s="604"/>
      <c r="AZ119" s="604"/>
      <c r="BA119" s="604"/>
      <c r="BB119" s="604"/>
      <c r="BC119" s="604"/>
      <c r="BD119" s="604"/>
      <c r="BE119" s="604"/>
      <c r="BF119" s="604"/>
      <c r="BG119" s="604"/>
      <c r="BH119" s="604"/>
      <c r="BI119" s="604"/>
      <c r="BJ119" s="604"/>
      <c r="BK119" s="604"/>
      <c r="BL119" s="604"/>
      <c r="BM119" s="604"/>
      <c r="BN119" s="604"/>
      <c r="BO119" s="604"/>
      <c r="BP119" s="604"/>
      <c r="BQ119" s="604"/>
      <c r="BR119" s="725"/>
    </row>
    <row r="120" spans="1:70" s="593" customFormat="1" ht="15.75" x14ac:dyDescent="0.25">
      <c r="A120" s="4338"/>
      <c r="B120" s="4338"/>
      <c r="C120" s="4338"/>
      <c r="D120" s="4339"/>
      <c r="E120" s="4339"/>
      <c r="F120" s="4339"/>
      <c r="G120" s="731">
        <v>57</v>
      </c>
      <c r="H120" s="653" t="s">
        <v>763</v>
      </c>
      <c r="I120" s="653"/>
      <c r="J120" s="653"/>
      <c r="K120" s="787"/>
      <c r="L120" s="787"/>
      <c r="M120" s="893"/>
      <c r="N120" s="893"/>
      <c r="O120" s="894"/>
      <c r="P120" s="732"/>
      <c r="Q120" s="787"/>
      <c r="R120" s="884"/>
      <c r="S120" s="656"/>
      <c r="T120" s="613"/>
      <c r="U120" s="613"/>
      <c r="V120" s="613"/>
      <c r="W120" s="733"/>
      <c r="X120" s="733"/>
      <c r="Y120" s="733"/>
      <c r="Z120" s="830"/>
      <c r="AA120" s="732"/>
      <c r="AB120" s="732"/>
      <c r="AC120" s="732"/>
      <c r="AD120" s="732"/>
      <c r="AE120" s="732"/>
      <c r="AF120" s="653"/>
      <c r="AG120" s="653"/>
      <c r="AH120" s="653"/>
      <c r="AI120" s="653"/>
      <c r="AJ120" s="653"/>
      <c r="AK120" s="653"/>
      <c r="AL120" s="653"/>
      <c r="AM120" s="653"/>
      <c r="AN120" s="653"/>
      <c r="AO120" s="653"/>
      <c r="AP120" s="653"/>
      <c r="AQ120" s="653"/>
      <c r="AR120" s="653"/>
      <c r="AS120" s="653"/>
      <c r="AT120" s="886"/>
      <c r="AU120" s="886"/>
      <c r="AV120" s="886"/>
      <c r="AW120" s="886"/>
      <c r="AX120" s="623"/>
      <c r="AY120" s="623"/>
      <c r="AZ120" s="623"/>
      <c r="BA120" s="623"/>
      <c r="BB120" s="623"/>
      <c r="BC120" s="623"/>
      <c r="BD120" s="623"/>
      <c r="BE120" s="623"/>
      <c r="BF120" s="623"/>
      <c r="BG120" s="623"/>
      <c r="BH120" s="623"/>
      <c r="BI120" s="623"/>
      <c r="BJ120" s="623"/>
      <c r="BK120" s="623"/>
      <c r="BL120" s="623"/>
      <c r="BM120" s="623"/>
      <c r="BN120" s="623"/>
      <c r="BO120" s="623"/>
      <c r="BP120" s="623"/>
      <c r="BQ120" s="623"/>
      <c r="BR120" s="659"/>
    </row>
    <row r="121" spans="1:70" s="593" customFormat="1" ht="87" customHeight="1" x14ac:dyDescent="0.25">
      <c r="A121" s="4338"/>
      <c r="B121" s="4338"/>
      <c r="C121" s="4338"/>
      <c r="D121" s="4339"/>
      <c r="E121" s="4339"/>
      <c r="F121" s="4339"/>
      <c r="G121" s="4340"/>
      <c r="H121" s="4340"/>
      <c r="I121" s="4341"/>
      <c r="J121" s="4134">
        <v>182</v>
      </c>
      <c r="K121" s="4193" t="s">
        <v>764</v>
      </c>
      <c r="L121" s="4132" t="s">
        <v>765</v>
      </c>
      <c r="M121" s="4193">
        <v>1</v>
      </c>
      <c r="N121" s="4193">
        <v>0.4</v>
      </c>
      <c r="O121" s="4132" t="s">
        <v>766</v>
      </c>
      <c r="P121" s="4132" t="s">
        <v>767</v>
      </c>
      <c r="Q121" s="4132" t="s">
        <v>768</v>
      </c>
      <c r="R121" s="4296">
        <f>(+W121+W122)/S121</f>
        <v>1</v>
      </c>
      <c r="S121" s="4344">
        <f>W121+W122</f>
        <v>18817998</v>
      </c>
      <c r="T121" s="4141" t="s">
        <v>769</v>
      </c>
      <c r="U121" s="4141" t="s">
        <v>764</v>
      </c>
      <c r="V121" s="895" t="s">
        <v>770</v>
      </c>
      <c r="W121" s="668">
        <f>18817998-11342000</f>
        <v>7475998</v>
      </c>
      <c r="X121" s="668"/>
      <c r="Y121" s="668"/>
      <c r="Z121" s="680">
        <v>20</v>
      </c>
      <c r="AA121" s="896" t="s">
        <v>71</v>
      </c>
      <c r="AB121" s="4193">
        <v>21554</v>
      </c>
      <c r="AC121" s="4193"/>
      <c r="AD121" s="4193">
        <v>22392</v>
      </c>
      <c r="AE121" s="4193"/>
      <c r="AF121" s="4205">
        <v>31677</v>
      </c>
      <c r="AG121" s="4205"/>
      <c r="AH121" s="4205">
        <v>10302</v>
      </c>
      <c r="AI121" s="4205"/>
      <c r="AJ121" s="4205">
        <v>15916</v>
      </c>
      <c r="AK121" s="4205"/>
      <c r="AL121" s="4205">
        <v>15683</v>
      </c>
      <c r="AM121" s="4205"/>
      <c r="AN121" s="4205">
        <v>238</v>
      </c>
      <c r="AO121" s="4205"/>
      <c r="AP121" s="4205">
        <v>245</v>
      </c>
      <c r="AQ121" s="4205"/>
      <c r="AR121" s="4205">
        <v>0</v>
      </c>
      <c r="AS121" s="4205"/>
      <c r="AT121" s="4205">
        <v>0</v>
      </c>
      <c r="AU121" s="4205"/>
      <c r="AV121" s="4205">
        <v>0</v>
      </c>
      <c r="AW121" s="4205"/>
      <c r="AX121" s="4209">
        <v>0</v>
      </c>
      <c r="AY121" s="4209"/>
      <c r="AZ121" s="4209">
        <v>2629</v>
      </c>
      <c r="BA121" s="4209"/>
      <c r="BB121" s="4209">
        <v>2665</v>
      </c>
      <c r="BC121" s="4209"/>
      <c r="BD121" s="4209">
        <v>2683</v>
      </c>
      <c r="BE121" s="4209"/>
      <c r="BF121" s="4230">
        <v>43946</v>
      </c>
      <c r="BG121" s="4230"/>
      <c r="BH121" s="4230"/>
      <c r="BI121" s="4224">
        <f>SUM(X121:X122)</f>
        <v>11342000</v>
      </c>
      <c r="BJ121" s="4224">
        <f>SUM(Y121:Y122)</f>
        <v>2835500</v>
      </c>
      <c r="BK121" s="4230"/>
      <c r="BL121" s="4230"/>
      <c r="BM121" s="4230"/>
      <c r="BN121" s="4258"/>
      <c r="BO121" s="4258"/>
      <c r="BP121" s="4258"/>
      <c r="BQ121" s="4258"/>
      <c r="BR121" s="4218" t="s">
        <v>465</v>
      </c>
    </row>
    <row r="122" spans="1:70" s="593" customFormat="1" ht="73.5" customHeight="1" x14ac:dyDescent="0.25">
      <c r="A122" s="4338"/>
      <c r="B122" s="4338"/>
      <c r="C122" s="4338"/>
      <c r="D122" s="4339"/>
      <c r="E122" s="4339"/>
      <c r="F122" s="4339"/>
      <c r="G122" s="4342"/>
      <c r="H122" s="4342"/>
      <c r="I122" s="4343"/>
      <c r="J122" s="4136"/>
      <c r="K122" s="4208"/>
      <c r="L122" s="4131"/>
      <c r="M122" s="4208"/>
      <c r="N122" s="4208"/>
      <c r="O122" s="4131"/>
      <c r="P122" s="4131"/>
      <c r="Q122" s="4131"/>
      <c r="R122" s="4267"/>
      <c r="S122" s="4345"/>
      <c r="T122" s="4143"/>
      <c r="U122" s="4143"/>
      <c r="V122" s="895" t="s">
        <v>771</v>
      </c>
      <c r="W122" s="668">
        <f>0+11342000</f>
        <v>11342000</v>
      </c>
      <c r="X122" s="668">
        <v>11342000</v>
      </c>
      <c r="Y122" s="668">
        <v>2835500</v>
      </c>
      <c r="Z122" s="680">
        <v>20</v>
      </c>
      <c r="AA122" s="896" t="s">
        <v>71</v>
      </c>
      <c r="AB122" s="4208"/>
      <c r="AC122" s="4208"/>
      <c r="AD122" s="4208"/>
      <c r="AE122" s="4208"/>
      <c r="AF122" s="4207"/>
      <c r="AG122" s="4207"/>
      <c r="AH122" s="4207"/>
      <c r="AI122" s="4207"/>
      <c r="AJ122" s="4207"/>
      <c r="AK122" s="4207"/>
      <c r="AL122" s="4207"/>
      <c r="AM122" s="4207"/>
      <c r="AN122" s="4207"/>
      <c r="AO122" s="4207"/>
      <c r="AP122" s="4207"/>
      <c r="AQ122" s="4207"/>
      <c r="AR122" s="4207"/>
      <c r="AS122" s="4207"/>
      <c r="AT122" s="4207"/>
      <c r="AU122" s="4207"/>
      <c r="AV122" s="4207"/>
      <c r="AW122" s="4207"/>
      <c r="AX122" s="4211"/>
      <c r="AY122" s="4211"/>
      <c r="AZ122" s="4211"/>
      <c r="BA122" s="4211"/>
      <c r="BB122" s="4211"/>
      <c r="BC122" s="4211"/>
      <c r="BD122" s="4211"/>
      <c r="BE122" s="4211"/>
      <c r="BF122" s="4226"/>
      <c r="BG122" s="4226"/>
      <c r="BH122" s="4226"/>
      <c r="BI122" s="4226"/>
      <c r="BJ122" s="4226"/>
      <c r="BK122" s="4226"/>
      <c r="BL122" s="4226"/>
      <c r="BM122" s="4226"/>
      <c r="BN122" s="4260"/>
      <c r="BO122" s="4260"/>
      <c r="BP122" s="4260"/>
      <c r="BQ122" s="4260"/>
      <c r="BR122" s="4220"/>
    </row>
    <row r="123" spans="1:70" s="907" customFormat="1" ht="31.5" customHeight="1" x14ac:dyDescent="0.25">
      <c r="A123" s="4346"/>
      <c r="B123" s="4347"/>
      <c r="C123" s="4347"/>
      <c r="D123" s="4347"/>
      <c r="E123" s="4347"/>
      <c r="F123" s="4347"/>
      <c r="G123" s="4347"/>
      <c r="H123" s="4347"/>
      <c r="I123" s="4348"/>
      <c r="J123" s="575"/>
      <c r="K123" s="897"/>
      <c r="L123" s="897"/>
      <c r="M123" s="898"/>
      <c r="N123" s="899"/>
      <c r="O123" s="898"/>
      <c r="P123" s="900"/>
      <c r="Q123" s="897"/>
      <c r="R123" s="901"/>
      <c r="S123" s="899">
        <f>SUM(S12:S122)</f>
        <v>174356562050.38995</v>
      </c>
      <c r="T123" s="897"/>
      <c r="U123" s="897"/>
      <c r="V123" s="897"/>
      <c r="W123" s="902">
        <f>SUM(W12:W122)</f>
        <v>174356562050.38998</v>
      </c>
      <c r="X123" s="902">
        <f>SUM(X12:X122)</f>
        <v>43611859388</v>
      </c>
      <c r="Y123" s="902">
        <f>SUM(Y12:Y122)</f>
        <v>32490480143</v>
      </c>
      <c r="Z123" s="903"/>
      <c r="AA123" s="903"/>
      <c r="AB123" s="903"/>
      <c r="AC123" s="903"/>
      <c r="AD123" s="903"/>
      <c r="AE123" s="903"/>
      <c r="AF123" s="903"/>
      <c r="AG123" s="903"/>
      <c r="AH123" s="903"/>
      <c r="AI123" s="903"/>
      <c r="AJ123" s="903"/>
      <c r="AK123" s="903"/>
      <c r="AL123" s="903"/>
      <c r="AM123" s="903"/>
      <c r="AN123" s="903"/>
      <c r="AO123" s="903"/>
      <c r="AP123" s="903"/>
      <c r="AQ123" s="903"/>
      <c r="AR123" s="903"/>
      <c r="AS123" s="903"/>
      <c r="AT123" s="903"/>
      <c r="AU123" s="903"/>
      <c r="AV123" s="903"/>
      <c r="AW123" s="903"/>
      <c r="AX123" s="903"/>
      <c r="AY123" s="903"/>
      <c r="AZ123" s="903"/>
      <c r="BA123" s="903"/>
      <c r="BB123" s="903"/>
      <c r="BC123" s="903"/>
      <c r="BD123" s="903"/>
      <c r="BE123" s="903"/>
      <c r="BF123" s="903"/>
      <c r="BG123" s="903"/>
      <c r="BH123" s="903"/>
      <c r="BI123" s="904">
        <f>SUM(BI12:BI122)</f>
        <v>43611859388</v>
      </c>
      <c r="BJ123" s="904">
        <f>SUM(BJ12:BJ122)</f>
        <v>32490480143</v>
      </c>
      <c r="BK123" s="903"/>
      <c r="BL123" s="903"/>
      <c r="BM123" s="903"/>
      <c r="BN123" s="905"/>
      <c r="BO123" s="905"/>
      <c r="BP123" s="905"/>
      <c r="BQ123" s="905"/>
      <c r="BR123" s="906"/>
    </row>
    <row r="124" spans="1:70" s="593" customFormat="1" ht="15.75" x14ac:dyDescent="0.25">
      <c r="A124" s="908"/>
      <c r="B124" s="25"/>
      <c r="C124" s="25"/>
      <c r="D124" s="25"/>
      <c r="E124" s="25"/>
      <c r="F124" s="25"/>
      <c r="G124" s="25"/>
      <c r="H124" s="25"/>
      <c r="I124" s="25"/>
      <c r="J124" s="25"/>
      <c r="K124" s="909"/>
      <c r="L124" s="910"/>
      <c r="M124" s="25"/>
      <c r="N124" s="25"/>
      <c r="O124" s="911"/>
      <c r="P124" s="911"/>
      <c r="Q124" s="909"/>
      <c r="R124" s="912"/>
      <c r="S124" s="913"/>
      <c r="T124" s="909"/>
      <c r="U124" s="909"/>
      <c r="V124" s="909"/>
      <c r="W124" s="914"/>
      <c r="X124" s="914"/>
      <c r="Y124" s="914"/>
      <c r="Z124" s="911"/>
      <c r="AA124" s="25"/>
      <c r="AB124" s="25"/>
      <c r="AC124" s="25"/>
      <c r="AD124" s="25"/>
      <c r="AE124" s="25"/>
      <c r="AF124" s="25"/>
      <c r="AG124" s="25"/>
      <c r="AH124" s="25"/>
      <c r="AI124" s="25"/>
      <c r="AJ124" s="25"/>
      <c r="AK124" s="25"/>
      <c r="AL124" s="25"/>
      <c r="AM124" s="25"/>
      <c r="AN124" s="25"/>
      <c r="AO124" s="25"/>
      <c r="AP124" s="25"/>
      <c r="AQ124" s="25"/>
      <c r="AR124" s="25"/>
      <c r="AS124" s="25"/>
      <c r="BR124" s="915"/>
    </row>
    <row r="125" spans="1:70" s="593" customFormat="1" ht="15.75" x14ac:dyDescent="0.25">
      <c r="A125" s="908"/>
      <c r="B125" s="25"/>
      <c r="C125" s="25"/>
      <c r="D125" s="25"/>
      <c r="E125" s="25"/>
      <c r="F125" s="25"/>
      <c r="G125" s="25"/>
      <c r="H125" s="25"/>
      <c r="I125" s="25"/>
      <c r="J125" s="25"/>
      <c r="K125" s="909"/>
      <c r="L125" s="910"/>
      <c r="M125" s="25"/>
      <c r="N125" s="25"/>
      <c r="O125" s="911"/>
      <c r="P125" s="911"/>
      <c r="Q125" s="909"/>
      <c r="R125" s="912"/>
      <c r="S125" s="916"/>
      <c r="T125" s="909"/>
      <c r="U125" s="909"/>
      <c r="V125" s="909"/>
      <c r="W125" s="916"/>
      <c r="X125" s="916"/>
      <c r="Y125" s="916"/>
      <c r="Z125" s="911"/>
      <c r="AA125" s="25"/>
      <c r="AB125" s="25"/>
      <c r="AC125" s="25"/>
      <c r="AD125" s="25"/>
      <c r="AE125" s="25"/>
      <c r="AF125" s="25"/>
      <c r="AG125" s="25"/>
      <c r="AH125" s="25"/>
      <c r="AI125" s="25"/>
      <c r="AJ125" s="25"/>
      <c r="AK125" s="25"/>
      <c r="AL125" s="25"/>
      <c r="AM125" s="25"/>
      <c r="AN125" s="25"/>
      <c r="AO125" s="25"/>
      <c r="AP125" s="25"/>
      <c r="AQ125" s="25"/>
      <c r="AR125" s="25"/>
      <c r="AS125" s="25"/>
      <c r="BR125" s="915"/>
    </row>
    <row r="126" spans="1:70" s="593" customFormat="1" ht="15.75" x14ac:dyDescent="0.25">
      <c r="A126" s="908"/>
      <c r="B126" s="25"/>
      <c r="C126" s="25"/>
      <c r="D126" s="25"/>
      <c r="E126" s="25"/>
      <c r="F126" s="25"/>
      <c r="G126" s="25"/>
      <c r="H126" s="25"/>
      <c r="I126" s="25"/>
      <c r="J126" s="25"/>
      <c r="K126" s="909"/>
      <c r="L126" s="910"/>
      <c r="M126" s="25"/>
      <c r="N126" s="25"/>
      <c r="O126" s="911"/>
      <c r="P126" s="911"/>
      <c r="Q126" s="909"/>
      <c r="R126" s="912"/>
      <c r="S126" s="914"/>
      <c r="T126" s="909"/>
      <c r="U126" s="909"/>
      <c r="V126" s="909"/>
      <c r="W126" s="917"/>
      <c r="X126" s="917"/>
      <c r="Y126" s="917"/>
      <c r="Z126" s="911"/>
      <c r="AA126" s="25"/>
      <c r="AB126" s="25"/>
      <c r="AC126" s="25"/>
      <c r="AD126" s="25"/>
      <c r="AE126" s="25"/>
      <c r="AF126" s="25"/>
      <c r="AG126" s="25"/>
      <c r="AH126" s="25"/>
      <c r="AI126" s="25"/>
      <c r="AJ126" s="25"/>
      <c r="AK126" s="25"/>
      <c r="AL126" s="25"/>
      <c r="AM126" s="25"/>
      <c r="AN126" s="25"/>
      <c r="AO126" s="25"/>
      <c r="AP126" s="25"/>
      <c r="AQ126" s="25"/>
      <c r="AR126" s="25"/>
      <c r="AS126" s="25"/>
      <c r="BR126" s="915"/>
    </row>
    <row r="127" spans="1:70" s="593" customFormat="1" ht="15.75" x14ac:dyDescent="0.25">
      <c r="A127" s="908"/>
      <c r="B127" s="25"/>
      <c r="C127" s="25"/>
      <c r="D127" s="25"/>
      <c r="E127" s="25"/>
      <c r="F127" s="25"/>
      <c r="G127" s="25"/>
      <c r="H127" s="25"/>
      <c r="I127" s="25"/>
      <c r="J127" s="25"/>
      <c r="K127" s="909"/>
      <c r="L127" s="910"/>
      <c r="M127" s="25"/>
      <c r="N127" s="25"/>
      <c r="O127" s="911"/>
      <c r="P127" s="911"/>
      <c r="Q127" s="909"/>
      <c r="R127" s="912"/>
      <c r="S127" s="914"/>
      <c r="T127" s="909"/>
      <c r="U127" s="909"/>
      <c r="V127" s="909"/>
      <c r="W127" s="918"/>
      <c r="X127" s="918"/>
      <c r="Y127" s="918"/>
      <c r="Z127" s="911"/>
      <c r="AA127" s="25"/>
      <c r="AB127" s="25"/>
      <c r="AC127" s="25"/>
      <c r="AD127" s="25"/>
      <c r="AE127" s="25"/>
      <c r="AF127" s="25"/>
      <c r="AG127" s="25"/>
      <c r="AH127" s="25"/>
      <c r="AI127" s="25"/>
      <c r="AJ127" s="25"/>
      <c r="AK127" s="25"/>
      <c r="AL127" s="25"/>
      <c r="AM127" s="25"/>
      <c r="AN127" s="25"/>
      <c r="AO127" s="25"/>
      <c r="AP127" s="25"/>
      <c r="AQ127" s="25"/>
      <c r="AR127" s="25"/>
      <c r="AS127" s="25"/>
      <c r="BR127" s="915"/>
    </row>
    <row r="128" spans="1:70" s="593" customFormat="1" ht="15.75" x14ac:dyDescent="0.25">
      <c r="A128" s="908"/>
      <c r="B128" s="25"/>
      <c r="C128" s="25"/>
      <c r="D128" s="25"/>
      <c r="E128" s="25"/>
      <c r="F128" s="25"/>
      <c r="G128" s="25"/>
      <c r="H128" s="25"/>
      <c r="I128" s="25"/>
      <c r="J128" s="25"/>
      <c r="K128" s="909"/>
      <c r="L128" s="910"/>
      <c r="M128" s="25"/>
      <c r="N128" s="25"/>
      <c r="O128" s="911"/>
      <c r="P128" s="911"/>
      <c r="Q128" s="909"/>
      <c r="R128" s="912"/>
      <c r="S128" s="914"/>
      <c r="T128" s="909"/>
      <c r="U128" s="909"/>
      <c r="V128" s="909"/>
      <c r="W128" s="909"/>
      <c r="X128" s="909"/>
      <c r="Y128" s="909"/>
      <c r="Z128" s="911"/>
      <c r="AA128" s="25"/>
      <c r="AB128" s="25"/>
      <c r="AC128" s="25"/>
      <c r="AD128" s="25"/>
      <c r="AE128" s="25"/>
      <c r="AF128" s="25"/>
      <c r="AG128" s="25"/>
      <c r="AH128" s="25"/>
      <c r="AI128" s="25"/>
      <c r="AJ128" s="25"/>
      <c r="AK128" s="25"/>
      <c r="AL128" s="25"/>
      <c r="AM128" s="25"/>
      <c r="AN128" s="25"/>
      <c r="AO128" s="25"/>
      <c r="AP128" s="25"/>
      <c r="AQ128" s="25"/>
      <c r="AR128" s="25"/>
      <c r="AS128" s="25"/>
      <c r="BR128" s="915"/>
    </row>
    <row r="129" spans="1:70" s="593" customFormat="1" ht="15.75" x14ac:dyDescent="0.25">
      <c r="A129" s="25"/>
      <c r="B129" s="25"/>
      <c r="C129" s="25"/>
      <c r="D129" s="25"/>
      <c r="E129" s="25"/>
      <c r="F129" s="25"/>
      <c r="G129" s="911"/>
      <c r="H129" s="910"/>
      <c r="I129" s="25"/>
      <c r="J129" s="25"/>
      <c r="K129" s="910"/>
      <c r="L129" s="910"/>
      <c r="M129" s="25"/>
      <c r="N129" s="25"/>
      <c r="O129" s="4349" t="s">
        <v>772</v>
      </c>
      <c r="P129" s="4349"/>
      <c r="Q129" s="4349"/>
      <c r="R129" s="25"/>
      <c r="S129" s="910"/>
      <c r="T129" s="910"/>
      <c r="U129" s="919"/>
      <c r="V129" s="919"/>
      <c r="W129" s="919"/>
      <c r="X129" s="919"/>
      <c r="Y129" s="919"/>
      <c r="Z129" s="911"/>
      <c r="AA129" s="25"/>
      <c r="AB129" s="25"/>
      <c r="AC129" s="25"/>
      <c r="AD129" s="25"/>
      <c r="AE129" s="25"/>
      <c r="AF129" s="25"/>
      <c r="AG129" s="25"/>
      <c r="AH129" s="25"/>
      <c r="AI129" s="25"/>
      <c r="AJ129" s="25"/>
      <c r="AK129" s="25"/>
      <c r="AL129" s="25"/>
      <c r="AM129" s="25"/>
      <c r="AN129" s="25"/>
      <c r="AO129" s="25"/>
      <c r="AP129" s="25"/>
      <c r="AQ129" s="25"/>
      <c r="AR129" s="25"/>
      <c r="AS129" s="25"/>
      <c r="BR129" s="915"/>
    </row>
    <row r="130" spans="1:70" s="593" customFormat="1" ht="15.75" x14ac:dyDescent="0.25">
      <c r="A130" s="25"/>
      <c r="B130" s="25"/>
      <c r="C130" s="25"/>
      <c r="D130" s="25"/>
      <c r="E130" s="25"/>
      <c r="F130" s="25"/>
      <c r="G130" s="911"/>
      <c r="H130" s="910"/>
      <c r="I130" s="25"/>
      <c r="J130" s="25"/>
      <c r="K130" s="910"/>
      <c r="L130" s="910"/>
      <c r="M130" s="25"/>
      <c r="N130" s="25"/>
      <c r="O130" s="920" t="s">
        <v>773</v>
      </c>
      <c r="P130" s="25"/>
      <c r="Q130" s="921"/>
      <c r="R130" s="25"/>
      <c r="S130" s="910"/>
      <c r="T130" s="910"/>
      <c r="U130" s="919"/>
      <c r="V130" s="919"/>
      <c r="W130" s="919"/>
      <c r="X130" s="919"/>
      <c r="Y130" s="919"/>
      <c r="Z130" s="911"/>
      <c r="AA130" s="25"/>
      <c r="AB130" s="25"/>
      <c r="AC130" s="25"/>
      <c r="AD130" s="25"/>
      <c r="AE130" s="25"/>
      <c r="AF130" s="25"/>
      <c r="AG130" s="25"/>
      <c r="AH130" s="25"/>
      <c r="AI130" s="25"/>
      <c r="AJ130" s="25"/>
      <c r="AK130" s="25"/>
      <c r="AL130" s="25"/>
      <c r="AM130" s="25"/>
      <c r="AN130" s="25"/>
      <c r="AO130" s="25"/>
      <c r="AP130" s="25"/>
      <c r="AQ130" s="25"/>
      <c r="AR130" s="25"/>
      <c r="AS130" s="25"/>
      <c r="BR130" s="915"/>
    </row>
    <row r="131" spans="1:70" s="593" customFormat="1" ht="15.75" x14ac:dyDescent="0.25">
      <c r="A131" s="25"/>
      <c r="B131" s="25"/>
      <c r="C131" s="25"/>
      <c r="D131" s="25"/>
      <c r="E131" s="25"/>
      <c r="F131" s="25"/>
      <c r="G131" s="911"/>
      <c r="H131" s="910"/>
      <c r="I131" s="25"/>
      <c r="J131" s="25"/>
      <c r="K131" s="910"/>
      <c r="L131" s="910"/>
      <c r="M131" s="25"/>
      <c r="N131" s="25"/>
      <c r="O131" s="922"/>
      <c r="P131" s="25"/>
      <c r="Q131" s="921"/>
      <c r="R131" s="25"/>
      <c r="S131" s="910"/>
      <c r="T131" s="910"/>
      <c r="U131" s="919"/>
      <c r="V131" s="919"/>
      <c r="W131" s="919"/>
      <c r="X131" s="919"/>
      <c r="Y131" s="919"/>
      <c r="Z131" s="911"/>
      <c r="AA131" s="25"/>
      <c r="AB131" s="25"/>
      <c r="AC131" s="25"/>
      <c r="AD131" s="25"/>
      <c r="AE131" s="25"/>
      <c r="AF131" s="25"/>
      <c r="AG131" s="25"/>
      <c r="AH131" s="25"/>
      <c r="AI131" s="25"/>
      <c r="AJ131" s="25"/>
      <c r="AK131" s="25"/>
      <c r="AL131" s="25"/>
      <c r="AM131" s="25"/>
      <c r="AN131" s="25"/>
      <c r="AO131" s="25"/>
      <c r="AP131" s="25"/>
      <c r="AQ131" s="25"/>
      <c r="AR131" s="25"/>
      <c r="AS131" s="25"/>
      <c r="BR131" s="915"/>
    </row>
  </sheetData>
  <sheetProtection password="F3F4" sheet="1" objects="1" scenarios="1"/>
  <mergeCells count="902">
    <mergeCell ref="BP121:BP122"/>
    <mergeCell ref="BQ121:BQ122"/>
    <mergeCell ref="BR121:BR122"/>
    <mergeCell ref="A123:I123"/>
    <mergeCell ref="O129:Q129"/>
    <mergeCell ref="BJ121:BJ122"/>
    <mergeCell ref="BK121:BK122"/>
    <mergeCell ref="BL121:BL122"/>
    <mergeCell ref="BM121:BM122"/>
    <mergeCell ref="BN121:BN122"/>
    <mergeCell ref="BO121:BO122"/>
    <mergeCell ref="BD121:BD122"/>
    <mergeCell ref="BE121:BE122"/>
    <mergeCell ref="BF121:BF122"/>
    <mergeCell ref="BG121:BG122"/>
    <mergeCell ref="BH121:BH122"/>
    <mergeCell ref="BI121:BI122"/>
    <mergeCell ref="AX121:AX122"/>
    <mergeCell ref="AY121:AY122"/>
    <mergeCell ref="AZ121:AZ122"/>
    <mergeCell ref="BA121:BA122"/>
    <mergeCell ref="BB121:BB122"/>
    <mergeCell ref="BC121:BC122"/>
    <mergeCell ref="AR121:AR122"/>
    <mergeCell ref="AS121:AS122"/>
    <mergeCell ref="AT121:AT122"/>
    <mergeCell ref="AU121:AU122"/>
    <mergeCell ref="AV121:AV122"/>
    <mergeCell ref="AW121:AW122"/>
    <mergeCell ref="AL121:AL122"/>
    <mergeCell ref="AM121:AM122"/>
    <mergeCell ref="AN121:AN122"/>
    <mergeCell ref="AO121:AO122"/>
    <mergeCell ref="AP121:AP122"/>
    <mergeCell ref="AQ121:AQ122"/>
    <mergeCell ref="AF121:AF122"/>
    <mergeCell ref="AG121:AG122"/>
    <mergeCell ref="AH121:AH122"/>
    <mergeCell ref="AI121:AI122"/>
    <mergeCell ref="AJ121:AJ122"/>
    <mergeCell ref="AK121:AK122"/>
    <mergeCell ref="T121:T122"/>
    <mergeCell ref="U121:U122"/>
    <mergeCell ref="AB121:AB122"/>
    <mergeCell ref="AC121:AC122"/>
    <mergeCell ref="AD121:AD122"/>
    <mergeCell ref="AE121:AE122"/>
    <mergeCell ref="N121:N122"/>
    <mergeCell ref="O121:O122"/>
    <mergeCell ref="P121:P122"/>
    <mergeCell ref="Q121:Q122"/>
    <mergeCell ref="R121:R122"/>
    <mergeCell ref="S121:S122"/>
    <mergeCell ref="BP116:BP118"/>
    <mergeCell ref="BQ116:BQ118"/>
    <mergeCell ref="BR116:BR118"/>
    <mergeCell ref="BF116:BF118"/>
    <mergeCell ref="BG116:BG118"/>
    <mergeCell ref="BN116:BN118"/>
    <mergeCell ref="BO116:BO118"/>
    <mergeCell ref="AK116:AK118"/>
    <mergeCell ref="AL116:AL118"/>
    <mergeCell ref="AM116:AM118"/>
    <mergeCell ref="AB116:AB118"/>
    <mergeCell ref="AC116:AC118"/>
    <mergeCell ref="AD116:AD118"/>
    <mergeCell ref="AE116:AE118"/>
    <mergeCell ref="AF116:AF118"/>
    <mergeCell ref="AG116:AG118"/>
    <mergeCell ref="V116:V117"/>
    <mergeCell ref="W116:W117"/>
    <mergeCell ref="A119:C122"/>
    <mergeCell ref="D120:F122"/>
    <mergeCell ref="G121:I122"/>
    <mergeCell ref="J121:J122"/>
    <mergeCell ref="K121:K122"/>
    <mergeCell ref="L121:L122"/>
    <mergeCell ref="M121:M122"/>
    <mergeCell ref="BD116:BD118"/>
    <mergeCell ref="BE116:BE118"/>
    <mergeCell ref="AV116:AV118"/>
    <mergeCell ref="AX116:AX118"/>
    <mergeCell ref="AZ116:AZ118"/>
    <mergeCell ref="BA116:BA118"/>
    <mergeCell ref="BB116:BB118"/>
    <mergeCell ref="BC116:BC118"/>
    <mergeCell ref="AN116:AN118"/>
    <mergeCell ref="AO116:AO118"/>
    <mergeCell ref="AP116:AP118"/>
    <mergeCell ref="AQ116:AQ118"/>
    <mergeCell ref="AR116:AR118"/>
    <mergeCell ref="AT116:AT118"/>
    <mergeCell ref="AH116:AH118"/>
    <mergeCell ref="AI116:AI118"/>
    <mergeCell ref="AJ116:AJ118"/>
    <mergeCell ref="Y116:Y117"/>
    <mergeCell ref="Z116:Z117"/>
    <mergeCell ref="AA116:AA117"/>
    <mergeCell ref="P116:P118"/>
    <mergeCell ref="Q116:Q118"/>
    <mergeCell ref="R116:R117"/>
    <mergeCell ref="S116:S118"/>
    <mergeCell ref="T116:T118"/>
    <mergeCell ref="U116:U117"/>
    <mergeCell ref="BP110:BP112"/>
    <mergeCell ref="BQ110:BQ112"/>
    <mergeCell ref="BR110:BR112"/>
    <mergeCell ref="J116:J117"/>
    <mergeCell ref="K116:K117"/>
    <mergeCell ref="L116:L117"/>
    <mergeCell ref="M116:M117"/>
    <mergeCell ref="N116:N117"/>
    <mergeCell ref="O116:O118"/>
    <mergeCell ref="BI110:BI112"/>
    <mergeCell ref="BJ110:BJ112"/>
    <mergeCell ref="BK110:BK112"/>
    <mergeCell ref="BL110:BL112"/>
    <mergeCell ref="BM110:BM112"/>
    <mergeCell ref="BN110:BN112"/>
    <mergeCell ref="AX110:AX112"/>
    <mergeCell ref="AZ110:AZ112"/>
    <mergeCell ref="BB110:BB112"/>
    <mergeCell ref="BD110:BD112"/>
    <mergeCell ref="BF110:BF112"/>
    <mergeCell ref="BH110:BH112"/>
    <mergeCell ref="AL110:AL112"/>
    <mergeCell ref="AN110:AN112"/>
    <mergeCell ref="X116:X117"/>
    <mergeCell ref="AT110:AT112"/>
    <mergeCell ref="AV110:AV112"/>
    <mergeCell ref="V110:V112"/>
    <mergeCell ref="AB110:AB112"/>
    <mergeCell ref="AD110:AD112"/>
    <mergeCell ref="AF110:AF112"/>
    <mergeCell ref="AH110:AH112"/>
    <mergeCell ref="AJ110:AJ112"/>
    <mergeCell ref="BO110:BO112"/>
    <mergeCell ref="P110:P112"/>
    <mergeCell ref="Q110:Q112"/>
    <mergeCell ref="R110:R112"/>
    <mergeCell ref="S110:S112"/>
    <mergeCell ref="T110:T112"/>
    <mergeCell ref="U110:U112"/>
    <mergeCell ref="BP106:BP108"/>
    <mergeCell ref="BQ106:BQ108"/>
    <mergeCell ref="BR106:BR108"/>
    <mergeCell ref="BD106:BD108"/>
    <mergeCell ref="BF106:BF108"/>
    <mergeCell ref="BN106:BN108"/>
    <mergeCell ref="BO106:BO108"/>
    <mergeCell ref="Y106:Y107"/>
    <mergeCell ref="Z106:Z107"/>
    <mergeCell ref="AA106:AA107"/>
    <mergeCell ref="P106:P108"/>
    <mergeCell ref="Q106:Q108"/>
    <mergeCell ref="R106:R107"/>
    <mergeCell ref="S106:S108"/>
    <mergeCell ref="T106:T108"/>
    <mergeCell ref="U106:U107"/>
    <mergeCell ref="AP110:AP112"/>
    <mergeCell ref="AR110:AR112"/>
    <mergeCell ref="G110:I112"/>
    <mergeCell ref="J110:J112"/>
    <mergeCell ref="K110:K112"/>
    <mergeCell ref="L110:L112"/>
    <mergeCell ref="M110:M112"/>
    <mergeCell ref="N110:N112"/>
    <mergeCell ref="O110:O112"/>
    <mergeCell ref="AZ106:AZ108"/>
    <mergeCell ref="BB106:BB108"/>
    <mergeCell ref="AN106:AN108"/>
    <mergeCell ref="AP106:AP108"/>
    <mergeCell ref="AR106:AR108"/>
    <mergeCell ref="AT106:AT108"/>
    <mergeCell ref="AV106:AV108"/>
    <mergeCell ref="AX106:AX108"/>
    <mergeCell ref="AB106:AB108"/>
    <mergeCell ref="AD106:AD108"/>
    <mergeCell ref="AF106:AF108"/>
    <mergeCell ref="AH106:AH108"/>
    <mergeCell ref="AJ106:AJ108"/>
    <mergeCell ref="AL106:AL108"/>
    <mergeCell ref="V106:V107"/>
    <mergeCell ref="W106:W107"/>
    <mergeCell ref="X106:X107"/>
    <mergeCell ref="BO100:BO103"/>
    <mergeCell ref="BP100:BP103"/>
    <mergeCell ref="BQ100:BQ103"/>
    <mergeCell ref="BR100:BR103"/>
    <mergeCell ref="J106:J107"/>
    <mergeCell ref="K106:K107"/>
    <mergeCell ref="L106:L107"/>
    <mergeCell ref="M106:M107"/>
    <mergeCell ref="N106:N107"/>
    <mergeCell ref="O106:O108"/>
    <mergeCell ref="BI100:BI103"/>
    <mergeCell ref="BJ100:BJ103"/>
    <mergeCell ref="BK100:BK103"/>
    <mergeCell ref="BL100:BL103"/>
    <mergeCell ref="BM100:BM103"/>
    <mergeCell ref="BN100:BN103"/>
    <mergeCell ref="BC100:BC103"/>
    <mergeCell ref="BD100:BD103"/>
    <mergeCell ref="BE100:BE103"/>
    <mergeCell ref="BF100:BF103"/>
    <mergeCell ref="BG100:BG103"/>
    <mergeCell ref="BH100:BH103"/>
    <mergeCell ref="AW100:AW103"/>
    <mergeCell ref="AX100:AX103"/>
    <mergeCell ref="AY100:AY103"/>
    <mergeCell ref="AZ100:AZ103"/>
    <mergeCell ref="BA100:BA103"/>
    <mergeCell ref="BB100:BB103"/>
    <mergeCell ref="AQ100:AQ103"/>
    <mergeCell ref="AR100:AR103"/>
    <mergeCell ref="AS100:AS103"/>
    <mergeCell ref="AT100:AT103"/>
    <mergeCell ref="AU100:AU103"/>
    <mergeCell ref="AV100:AV103"/>
    <mergeCell ref="AK100:AK103"/>
    <mergeCell ref="AL100:AL103"/>
    <mergeCell ref="AM100:AM103"/>
    <mergeCell ref="AN100:AN103"/>
    <mergeCell ref="AO100:AO103"/>
    <mergeCell ref="AP100:AP103"/>
    <mergeCell ref="AE100:AE103"/>
    <mergeCell ref="AF100:AF103"/>
    <mergeCell ref="AG100:AG103"/>
    <mergeCell ref="AH100:AH103"/>
    <mergeCell ref="AI100:AI103"/>
    <mergeCell ref="AJ100:AJ103"/>
    <mergeCell ref="T100:T103"/>
    <mergeCell ref="U100:U103"/>
    <mergeCell ref="V100:V101"/>
    <mergeCell ref="AB100:AB103"/>
    <mergeCell ref="AC100:AC103"/>
    <mergeCell ref="AD100:AD103"/>
    <mergeCell ref="V98:V99"/>
    <mergeCell ref="J100:J103"/>
    <mergeCell ref="K100:K103"/>
    <mergeCell ref="L100:L103"/>
    <mergeCell ref="M100:M103"/>
    <mergeCell ref="N100:N103"/>
    <mergeCell ref="P100:P103"/>
    <mergeCell ref="Q100:Q103"/>
    <mergeCell ref="R100:R103"/>
    <mergeCell ref="S100:S103"/>
    <mergeCell ref="J98:J99"/>
    <mergeCell ref="K98:K99"/>
    <mergeCell ref="L98:L99"/>
    <mergeCell ref="M98:M99"/>
    <mergeCell ref="N98:N99"/>
    <mergeCell ref="R98:R99"/>
    <mergeCell ref="R94:R95"/>
    <mergeCell ref="V94:V95"/>
    <mergeCell ref="J96:J97"/>
    <mergeCell ref="K96:K97"/>
    <mergeCell ref="L96:L97"/>
    <mergeCell ref="M96:M97"/>
    <mergeCell ref="N96:N97"/>
    <mergeCell ref="R96:R97"/>
    <mergeCell ref="V96:V97"/>
    <mergeCell ref="BN93:BN99"/>
    <mergeCell ref="BO93:BO99"/>
    <mergeCell ref="BP93:BP99"/>
    <mergeCell ref="BQ93:BQ99"/>
    <mergeCell ref="BR93:BR99"/>
    <mergeCell ref="J94:J95"/>
    <mergeCell ref="K94:K95"/>
    <mergeCell ref="L94:L95"/>
    <mergeCell ref="M94:M95"/>
    <mergeCell ref="N94:N95"/>
    <mergeCell ref="BH93:BH99"/>
    <mergeCell ref="BI93:BI99"/>
    <mergeCell ref="BJ93:BJ99"/>
    <mergeCell ref="BK93:BK99"/>
    <mergeCell ref="BL93:BL99"/>
    <mergeCell ref="BM93:BM99"/>
    <mergeCell ref="BB93:BB99"/>
    <mergeCell ref="BC93:BC99"/>
    <mergeCell ref="BD93:BD99"/>
    <mergeCell ref="BE93:BE99"/>
    <mergeCell ref="BF93:BF99"/>
    <mergeCell ref="BG93:BG99"/>
    <mergeCell ref="AV93:AV99"/>
    <mergeCell ref="AW93:AW99"/>
    <mergeCell ref="AX93:AX99"/>
    <mergeCell ref="AY93:AY99"/>
    <mergeCell ref="AZ93:AZ99"/>
    <mergeCell ref="BA93:BA99"/>
    <mergeCell ref="AP93:AP99"/>
    <mergeCell ref="AQ93:AQ99"/>
    <mergeCell ref="AR93:AR99"/>
    <mergeCell ref="AS93:AS99"/>
    <mergeCell ref="AT93:AT99"/>
    <mergeCell ref="AU93:AU99"/>
    <mergeCell ref="AJ93:AJ99"/>
    <mergeCell ref="AK93:AK99"/>
    <mergeCell ref="AL93:AL99"/>
    <mergeCell ref="AM93:AM99"/>
    <mergeCell ref="AN93:AN99"/>
    <mergeCell ref="AO93:AO99"/>
    <mergeCell ref="AD93:AD99"/>
    <mergeCell ref="AE93:AE99"/>
    <mergeCell ref="AF93:AF99"/>
    <mergeCell ref="AG93:AG99"/>
    <mergeCell ref="AH93:AH99"/>
    <mergeCell ref="AI93:AI99"/>
    <mergeCell ref="BR87:BR91"/>
    <mergeCell ref="A89:C103"/>
    <mergeCell ref="D89:F103"/>
    <mergeCell ref="P93:P98"/>
    <mergeCell ref="Q93:Q98"/>
    <mergeCell ref="S93:S99"/>
    <mergeCell ref="T93:T98"/>
    <mergeCell ref="U93:U98"/>
    <mergeCell ref="AB93:AB99"/>
    <mergeCell ref="AC93:AC99"/>
    <mergeCell ref="BL87:BL91"/>
    <mergeCell ref="BM87:BM91"/>
    <mergeCell ref="BN87:BN91"/>
    <mergeCell ref="BO87:BO91"/>
    <mergeCell ref="BP87:BP91"/>
    <mergeCell ref="BQ87:BQ91"/>
    <mergeCell ref="BF87:BF91"/>
    <mergeCell ref="BG87:BG91"/>
    <mergeCell ref="BH87:BH91"/>
    <mergeCell ref="BI87:BI91"/>
    <mergeCell ref="BJ87:BJ91"/>
    <mergeCell ref="BK87:BK91"/>
    <mergeCell ref="AZ87:AZ91"/>
    <mergeCell ref="BA87:BA91"/>
    <mergeCell ref="BB87:BB91"/>
    <mergeCell ref="BC87:BC91"/>
    <mergeCell ref="BD87:BD91"/>
    <mergeCell ref="BE87:BE91"/>
    <mergeCell ref="AT87:AT91"/>
    <mergeCell ref="AU87:AU91"/>
    <mergeCell ref="AV87:AV91"/>
    <mergeCell ref="AW87:AW91"/>
    <mergeCell ref="AX87:AX91"/>
    <mergeCell ref="AY87:AY91"/>
    <mergeCell ref="AN87:AN91"/>
    <mergeCell ref="AO87:AO91"/>
    <mergeCell ref="AP87:AP91"/>
    <mergeCell ref="AQ87:AQ91"/>
    <mergeCell ref="AR87:AR91"/>
    <mergeCell ref="AS87:AS91"/>
    <mergeCell ref="AH87:AH91"/>
    <mergeCell ref="AI87:AI91"/>
    <mergeCell ref="AJ87:AJ91"/>
    <mergeCell ref="AK87:AK91"/>
    <mergeCell ref="AL87:AL91"/>
    <mergeCell ref="AM87:AM91"/>
    <mergeCell ref="AB87:AB91"/>
    <mergeCell ref="AC87:AC91"/>
    <mergeCell ref="AD87:AD91"/>
    <mergeCell ref="AE87:AE91"/>
    <mergeCell ref="AF87:AF91"/>
    <mergeCell ref="AG87:AG91"/>
    <mergeCell ref="P87:P91"/>
    <mergeCell ref="Q87:Q91"/>
    <mergeCell ref="S87:S91"/>
    <mergeCell ref="T87:T91"/>
    <mergeCell ref="Z87:Z91"/>
    <mergeCell ref="AA87:AA91"/>
    <mergeCell ref="BP80:BP84"/>
    <mergeCell ref="BQ80:BQ84"/>
    <mergeCell ref="BR80:BR84"/>
    <mergeCell ref="W81:W84"/>
    <mergeCell ref="X81:X84"/>
    <mergeCell ref="Y81:Y84"/>
    <mergeCell ref="Z81:Z84"/>
    <mergeCell ref="AA81:AA84"/>
    <mergeCell ref="BJ80:BJ84"/>
    <mergeCell ref="BK80:BK84"/>
    <mergeCell ref="BL80:BL84"/>
    <mergeCell ref="BM80:BM84"/>
    <mergeCell ref="BN80:BN84"/>
    <mergeCell ref="BO80:BO84"/>
    <mergeCell ref="BD80:BD84"/>
    <mergeCell ref="BE80:BE84"/>
    <mergeCell ref="BF80:BF84"/>
    <mergeCell ref="BG80:BG84"/>
    <mergeCell ref="BH80:BH84"/>
    <mergeCell ref="BI80:BI84"/>
    <mergeCell ref="AX80:AX84"/>
    <mergeCell ref="AY80:AY84"/>
    <mergeCell ref="AZ80:AZ84"/>
    <mergeCell ref="BA80:BA84"/>
    <mergeCell ref="BB80:BB84"/>
    <mergeCell ref="BC80:BC84"/>
    <mergeCell ref="AR80:AR84"/>
    <mergeCell ref="AS80:AS84"/>
    <mergeCell ref="AT80:AT84"/>
    <mergeCell ref="AU80:AU84"/>
    <mergeCell ref="AV80:AV84"/>
    <mergeCell ref="AW80:AW84"/>
    <mergeCell ref="AL80:AL84"/>
    <mergeCell ref="AM80:AM84"/>
    <mergeCell ref="AN80:AN84"/>
    <mergeCell ref="AO80:AO84"/>
    <mergeCell ref="AP80:AP84"/>
    <mergeCell ref="AQ80:AQ84"/>
    <mergeCell ref="AF80:AF84"/>
    <mergeCell ref="AG80:AG84"/>
    <mergeCell ref="AH80:AH84"/>
    <mergeCell ref="AI80:AI84"/>
    <mergeCell ref="AJ80:AJ84"/>
    <mergeCell ref="AK80:AK84"/>
    <mergeCell ref="U80:U84"/>
    <mergeCell ref="V80:V84"/>
    <mergeCell ref="AB80:AB84"/>
    <mergeCell ref="AC80:AC84"/>
    <mergeCell ref="AD80:AD84"/>
    <mergeCell ref="AE80:AE84"/>
    <mergeCell ref="N80:N84"/>
    <mergeCell ref="P80:P84"/>
    <mergeCell ref="Q80:Q84"/>
    <mergeCell ref="R80:R84"/>
    <mergeCell ref="S80:S84"/>
    <mergeCell ref="T80:T84"/>
    <mergeCell ref="W76:W77"/>
    <mergeCell ref="X76:X77"/>
    <mergeCell ref="Y76:Y77"/>
    <mergeCell ref="G80:I84"/>
    <mergeCell ref="J80:J84"/>
    <mergeCell ref="K80:K84"/>
    <mergeCell ref="L80:L84"/>
    <mergeCell ref="M80:M84"/>
    <mergeCell ref="J76:J77"/>
    <mergeCell ref="K76:K77"/>
    <mergeCell ref="L76:L77"/>
    <mergeCell ref="M76:M77"/>
    <mergeCell ref="BO72:BO78"/>
    <mergeCell ref="BP72:BP78"/>
    <mergeCell ref="BQ72:BQ78"/>
    <mergeCell ref="BR72:BR78"/>
    <mergeCell ref="J74:J75"/>
    <mergeCell ref="K74:K75"/>
    <mergeCell ref="L74:L75"/>
    <mergeCell ref="M74:M75"/>
    <mergeCell ref="N74:N75"/>
    <mergeCell ref="R74:R75"/>
    <mergeCell ref="BI72:BI78"/>
    <mergeCell ref="BJ72:BJ78"/>
    <mergeCell ref="BK72:BK78"/>
    <mergeCell ref="BL72:BL78"/>
    <mergeCell ref="BM72:BM78"/>
    <mergeCell ref="BN72:BN78"/>
    <mergeCell ref="BC72:BC78"/>
    <mergeCell ref="BD72:BD78"/>
    <mergeCell ref="BE72:BE78"/>
    <mergeCell ref="BF72:BF78"/>
    <mergeCell ref="BG72:BG78"/>
    <mergeCell ref="BH72:BH78"/>
    <mergeCell ref="AW72:AW78"/>
    <mergeCell ref="AX72:AX78"/>
    <mergeCell ref="AY72:AY78"/>
    <mergeCell ref="AZ72:AZ78"/>
    <mergeCell ref="BA72:BA78"/>
    <mergeCell ref="BB72:BB78"/>
    <mergeCell ref="AQ72:AQ78"/>
    <mergeCell ref="AR72:AR78"/>
    <mergeCell ref="AS72:AS78"/>
    <mergeCell ref="AT72:AT78"/>
    <mergeCell ref="AU72:AU78"/>
    <mergeCell ref="AV72:AV78"/>
    <mergeCell ref="AK72:AK78"/>
    <mergeCell ref="AL72:AL78"/>
    <mergeCell ref="AM72:AM78"/>
    <mergeCell ref="AN72:AN78"/>
    <mergeCell ref="AO72:AO78"/>
    <mergeCell ref="AP72:AP78"/>
    <mergeCell ref="AE72:AE78"/>
    <mergeCell ref="AF72:AF78"/>
    <mergeCell ref="AG72:AG78"/>
    <mergeCell ref="AH72:AH78"/>
    <mergeCell ref="AI72:AI78"/>
    <mergeCell ref="AJ72:AJ78"/>
    <mergeCell ref="AB72:AB78"/>
    <mergeCell ref="AC72:AC78"/>
    <mergeCell ref="AD72:AD78"/>
    <mergeCell ref="U74:U75"/>
    <mergeCell ref="V74:V75"/>
    <mergeCell ref="U76:U77"/>
    <mergeCell ref="V76:V77"/>
    <mergeCell ref="V68:V69"/>
    <mergeCell ref="J72:J73"/>
    <mergeCell ref="K72:K73"/>
    <mergeCell ref="L72:L73"/>
    <mergeCell ref="M72:M73"/>
    <mergeCell ref="N72:N73"/>
    <mergeCell ref="P72:P78"/>
    <mergeCell ref="Q72:Q78"/>
    <mergeCell ref="R72:R73"/>
    <mergeCell ref="S72:S78"/>
    <mergeCell ref="Z76:Z77"/>
    <mergeCell ref="AA76:AA77"/>
    <mergeCell ref="N76:N77"/>
    <mergeCell ref="R76:R77"/>
    <mergeCell ref="T72:T78"/>
    <mergeCell ref="U72:U73"/>
    <mergeCell ref="V72:V73"/>
    <mergeCell ref="U66:U67"/>
    <mergeCell ref="J68:J69"/>
    <mergeCell ref="K68:K69"/>
    <mergeCell ref="L68:L69"/>
    <mergeCell ref="M68:M69"/>
    <mergeCell ref="N68:N69"/>
    <mergeCell ref="R68:R69"/>
    <mergeCell ref="U68:U69"/>
    <mergeCell ref="J66:J67"/>
    <mergeCell ref="K66:K67"/>
    <mergeCell ref="L66:L67"/>
    <mergeCell ref="M66:M67"/>
    <mergeCell ref="N66:N67"/>
    <mergeCell ref="R66:R67"/>
    <mergeCell ref="Q54:Q70"/>
    <mergeCell ref="R54:R55"/>
    <mergeCell ref="S54:S70"/>
    <mergeCell ref="T54:T70"/>
    <mergeCell ref="U54:U55"/>
    <mergeCell ref="AH54:AH70"/>
    <mergeCell ref="AI54:AI70"/>
    <mergeCell ref="AJ54:AJ70"/>
    <mergeCell ref="AK54:AK70"/>
    <mergeCell ref="AL54:AL70"/>
    <mergeCell ref="AM54:AM70"/>
    <mergeCell ref="AB54:AB70"/>
    <mergeCell ref="AC54:AC70"/>
    <mergeCell ref="AD54:AD70"/>
    <mergeCell ref="AE54:AE70"/>
    <mergeCell ref="AF54:AF70"/>
    <mergeCell ref="AG54:AG70"/>
    <mergeCell ref="BM54:BM70"/>
    <mergeCell ref="BN54:BN70"/>
    <mergeCell ref="BO54:BO70"/>
    <mergeCell ref="BP54:BP70"/>
    <mergeCell ref="BQ54:BQ70"/>
    <mergeCell ref="BR54:BR70"/>
    <mergeCell ref="BG54:BG70"/>
    <mergeCell ref="BH54:BH70"/>
    <mergeCell ref="BI54:BI70"/>
    <mergeCell ref="BJ54:BJ70"/>
    <mergeCell ref="BK54:BK70"/>
    <mergeCell ref="BL54:BL70"/>
    <mergeCell ref="BD54:BD70"/>
    <mergeCell ref="BE54:BE70"/>
    <mergeCell ref="BF54:BF70"/>
    <mergeCell ref="AN54:AN70"/>
    <mergeCell ref="AO54:AO70"/>
    <mergeCell ref="AP54:AP70"/>
    <mergeCell ref="AR54:AR70"/>
    <mergeCell ref="AT54:AT70"/>
    <mergeCell ref="AV54:AV70"/>
    <mergeCell ref="AQ55:AQ70"/>
    <mergeCell ref="AS55:AS70"/>
    <mergeCell ref="AU55:AU70"/>
    <mergeCell ref="AW55:AW70"/>
    <mergeCell ref="AY55:AY70"/>
    <mergeCell ref="BA55:BA70"/>
    <mergeCell ref="BC55:BC70"/>
    <mergeCell ref="AX54:AX70"/>
    <mergeCell ref="AZ54:AZ70"/>
    <mergeCell ref="BB54:BB70"/>
    <mergeCell ref="V54:V55"/>
    <mergeCell ref="U58:U59"/>
    <mergeCell ref="V58:V59"/>
    <mergeCell ref="U60:U61"/>
    <mergeCell ref="U62:U64"/>
    <mergeCell ref="R58:R59"/>
    <mergeCell ref="R62:R64"/>
    <mergeCell ref="U45:U46"/>
    <mergeCell ref="V45:V46"/>
    <mergeCell ref="R60:R61"/>
    <mergeCell ref="O46:O52"/>
    <mergeCell ref="G54:I70"/>
    <mergeCell ref="J54:J55"/>
    <mergeCell ref="K54:K55"/>
    <mergeCell ref="L54:L55"/>
    <mergeCell ref="M54:M55"/>
    <mergeCell ref="N54:N55"/>
    <mergeCell ref="P54:P70"/>
    <mergeCell ref="J58:J59"/>
    <mergeCell ref="K58:K59"/>
    <mergeCell ref="L58:L59"/>
    <mergeCell ref="M58:M59"/>
    <mergeCell ref="N58:N59"/>
    <mergeCell ref="J62:J64"/>
    <mergeCell ref="K62:K64"/>
    <mergeCell ref="L62:L64"/>
    <mergeCell ref="M62:M64"/>
    <mergeCell ref="N62:N64"/>
    <mergeCell ref="J60:J61"/>
    <mergeCell ref="K60:K61"/>
    <mergeCell ref="L60:L61"/>
    <mergeCell ref="M60:M61"/>
    <mergeCell ref="N60:N61"/>
    <mergeCell ref="BO44:BO52"/>
    <mergeCell ref="BP44:BP52"/>
    <mergeCell ref="BQ44:BQ52"/>
    <mergeCell ref="BR44:BR52"/>
    <mergeCell ref="J45:J46"/>
    <mergeCell ref="K45:K46"/>
    <mergeCell ref="L45:L46"/>
    <mergeCell ref="M45:M46"/>
    <mergeCell ref="N45:N46"/>
    <mergeCell ref="R45:R46"/>
    <mergeCell ref="BI44:BI52"/>
    <mergeCell ref="BJ44:BJ52"/>
    <mergeCell ref="BK44:BK52"/>
    <mergeCell ref="BL44:BL52"/>
    <mergeCell ref="BM44:BM52"/>
    <mergeCell ref="BN44:BN52"/>
    <mergeCell ref="BC44:BC52"/>
    <mergeCell ref="BD44:BD52"/>
    <mergeCell ref="BE44:BE52"/>
    <mergeCell ref="BF44:BF52"/>
    <mergeCell ref="BG44:BG52"/>
    <mergeCell ref="BH44:BH52"/>
    <mergeCell ref="AW44:AW52"/>
    <mergeCell ref="AX44:AX52"/>
    <mergeCell ref="AY44:AY52"/>
    <mergeCell ref="AZ44:AZ52"/>
    <mergeCell ref="BA44:BA52"/>
    <mergeCell ref="BB44:BB52"/>
    <mergeCell ref="AQ44:AQ52"/>
    <mergeCell ref="AR44:AR52"/>
    <mergeCell ref="AS44:AS52"/>
    <mergeCell ref="AT44:AT52"/>
    <mergeCell ref="AU44:AU52"/>
    <mergeCell ref="AV44:AV52"/>
    <mergeCell ref="AK44:AK52"/>
    <mergeCell ref="AL44:AL52"/>
    <mergeCell ref="AM44:AM52"/>
    <mergeCell ref="AN44:AN52"/>
    <mergeCell ref="AO44:AO52"/>
    <mergeCell ref="AP44:AP52"/>
    <mergeCell ref="AE44:AE52"/>
    <mergeCell ref="AF44:AF52"/>
    <mergeCell ref="AG44:AG52"/>
    <mergeCell ref="AH44:AH52"/>
    <mergeCell ref="AI44:AI52"/>
    <mergeCell ref="AJ44:AJ52"/>
    <mergeCell ref="BP34:BP41"/>
    <mergeCell ref="BQ34:BQ41"/>
    <mergeCell ref="BR34:BR41"/>
    <mergeCell ref="P44:P52"/>
    <mergeCell ref="Q44:Q52"/>
    <mergeCell ref="S44:S52"/>
    <mergeCell ref="T44:T52"/>
    <mergeCell ref="AB44:AB52"/>
    <mergeCell ref="AC44:AC52"/>
    <mergeCell ref="AD44:AD52"/>
    <mergeCell ref="BJ34:BJ41"/>
    <mergeCell ref="BK34:BK41"/>
    <mergeCell ref="BL34:BL41"/>
    <mergeCell ref="BM34:BM41"/>
    <mergeCell ref="BN34:BN41"/>
    <mergeCell ref="BO34:BO41"/>
    <mergeCell ref="BD34:BD41"/>
    <mergeCell ref="BE34:BE41"/>
    <mergeCell ref="BF34:BF41"/>
    <mergeCell ref="BG34:BG41"/>
    <mergeCell ref="BH34:BH41"/>
    <mergeCell ref="BI34:BI41"/>
    <mergeCell ref="AV34:AV41"/>
    <mergeCell ref="AX34:AX41"/>
    <mergeCell ref="AZ34:AZ41"/>
    <mergeCell ref="BA34:BA41"/>
    <mergeCell ref="BB34:BB41"/>
    <mergeCell ref="BC34:BC41"/>
    <mergeCell ref="AN34:AN41"/>
    <mergeCell ref="AO34:AO41"/>
    <mergeCell ref="AP34:AP41"/>
    <mergeCell ref="AQ34:AQ41"/>
    <mergeCell ref="AR34:AR41"/>
    <mergeCell ref="AT34:AT41"/>
    <mergeCell ref="AH34:AH41"/>
    <mergeCell ref="AI34:AI41"/>
    <mergeCell ref="AJ34:AJ41"/>
    <mergeCell ref="AK34:AK41"/>
    <mergeCell ref="AL34:AL41"/>
    <mergeCell ref="AM34:AM41"/>
    <mergeCell ref="AB34:AB41"/>
    <mergeCell ref="AC34:AC41"/>
    <mergeCell ref="AD34:AD41"/>
    <mergeCell ref="AE34:AE41"/>
    <mergeCell ref="AF34:AF41"/>
    <mergeCell ref="AG34:AG41"/>
    <mergeCell ref="Q34:Q41"/>
    <mergeCell ref="R34:R41"/>
    <mergeCell ref="S34:S41"/>
    <mergeCell ref="T34:T41"/>
    <mergeCell ref="U34:U41"/>
    <mergeCell ref="V34:V41"/>
    <mergeCell ref="J34:J41"/>
    <mergeCell ref="K34:K41"/>
    <mergeCell ref="L34:L41"/>
    <mergeCell ref="M34:M41"/>
    <mergeCell ref="N34:N41"/>
    <mergeCell ref="P34:P41"/>
    <mergeCell ref="BQ26:BQ33"/>
    <mergeCell ref="BR26:BR33"/>
    <mergeCell ref="A28:C41"/>
    <mergeCell ref="D28:F41"/>
    <mergeCell ref="G28:I41"/>
    <mergeCell ref="J29:J30"/>
    <mergeCell ref="K29:K30"/>
    <mergeCell ref="L29:L30"/>
    <mergeCell ref="M29:M30"/>
    <mergeCell ref="N29:N30"/>
    <mergeCell ref="BK26:BK33"/>
    <mergeCell ref="BL26:BL33"/>
    <mergeCell ref="BM26:BM33"/>
    <mergeCell ref="BN26:BN33"/>
    <mergeCell ref="BO26:BO33"/>
    <mergeCell ref="BP26:BP33"/>
    <mergeCell ref="BE26:BE33"/>
    <mergeCell ref="BF26:BF33"/>
    <mergeCell ref="BG26:BG33"/>
    <mergeCell ref="BH26:BH33"/>
    <mergeCell ref="BI26:BI33"/>
    <mergeCell ref="BJ26:BJ33"/>
    <mergeCell ref="AY26:AY33"/>
    <mergeCell ref="AZ26:AZ33"/>
    <mergeCell ref="BA26:BA33"/>
    <mergeCell ref="BB26:BB33"/>
    <mergeCell ref="BC26:BC33"/>
    <mergeCell ref="BD26:BD33"/>
    <mergeCell ref="AS26:AS33"/>
    <mergeCell ref="AT26:AT33"/>
    <mergeCell ref="AU26:AU33"/>
    <mergeCell ref="AV26:AV33"/>
    <mergeCell ref="AW26:AW33"/>
    <mergeCell ref="AX26:AX33"/>
    <mergeCell ref="AM26:AM33"/>
    <mergeCell ref="AN26:AN33"/>
    <mergeCell ref="AO26:AO33"/>
    <mergeCell ref="AP26:AP33"/>
    <mergeCell ref="AQ26:AQ33"/>
    <mergeCell ref="AR26:AR33"/>
    <mergeCell ref="AG26:AG33"/>
    <mergeCell ref="AH26:AH33"/>
    <mergeCell ref="AI26:AI33"/>
    <mergeCell ref="AJ26:AJ33"/>
    <mergeCell ref="AK26:AK33"/>
    <mergeCell ref="AL26:AL33"/>
    <mergeCell ref="V26:V27"/>
    <mergeCell ref="AB26:AB33"/>
    <mergeCell ref="AC26:AC33"/>
    <mergeCell ref="AD26:AD33"/>
    <mergeCell ref="AE26:AE33"/>
    <mergeCell ref="AF26:AF33"/>
    <mergeCell ref="P26:P33"/>
    <mergeCell ref="Q26:Q33"/>
    <mergeCell ref="R26:R27"/>
    <mergeCell ref="S26:S33"/>
    <mergeCell ref="T26:T33"/>
    <mergeCell ref="U26:U33"/>
    <mergeCell ref="R29:R30"/>
    <mergeCell ref="J26:J27"/>
    <mergeCell ref="K26:K27"/>
    <mergeCell ref="L26:L27"/>
    <mergeCell ref="M26:M27"/>
    <mergeCell ref="N26:N27"/>
    <mergeCell ref="O26:O33"/>
    <mergeCell ref="J21:J24"/>
    <mergeCell ref="K21:K24"/>
    <mergeCell ref="L21:L24"/>
    <mergeCell ref="M21:M24"/>
    <mergeCell ref="N21:N24"/>
    <mergeCell ref="J17:J20"/>
    <mergeCell ref="K17:K20"/>
    <mergeCell ref="L17:L20"/>
    <mergeCell ref="M17:M20"/>
    <mergeCell ref="N17:N20"/>
    <mergeCell ref="R17:R20"/>
    <mergeCell ref="BM12:BM24"/>
    <mergeCell ref="BN12:BN24"/>
    <mergeCell ref="BA12:BA24"/>
    <mergeCell ref="BB12:BB24"/>
    <mergeCell ref="BC12:BC24"/>
    <mergeCell ref="BD12:BD24"/>
    <mergeCell ref="BE12:BE24"/>
    <mergeCell ref="BF12:BF24"/>
    <mergeCell ref="AU12:AU24"/>
    <mergeCell ref="AV12:AV24"/>
    <mergeCell ref="AW12:AW24"/>
    <mergeCell ref="AX12:AX24"/>
    <mergeCell ref="AY12:AY24"/>
    <mergeCell ref="AZ12:AZ24"/>
    <mergeCell ref="AO12:AO24"/>
    <mergeCell ref="AP12:AP24"/>
    <mergeCell ref="AQ12:AQ24"/>
    <mergeCell ref="J12:J16"/>
    <mergeCell ref="BO12:BO24"/>
    <mergeCell ref="BP12:BP24"/>
    <mergeCell ref="BQ12:BQ24"/>
    <mergeCell ref="BR12:BR24"/>
    <mergeCell ref="BG12:BG24"/>
    <mergeCell ref="BH12:BH24"/>
    <mergeCell ref="BI12:BI24"/>
    <mergeCell ref="BJ12:BJ24"/>
    <mergeCell ref="BK12:BK24"/>
    <mergeCell ref="BL12:BL24"/>
    <mergeCell ref="BH6:BM6"/>
    <mergeCell ref="Q12:Q24"/>
    <mergeCell ref="R12:R16"/>
    <mergeCell ref="S12:S24"/>
    <mergeCell ref="T12:T24"/>
    <mergeCell ref="U12:U16"/>
    <mergeCell ref="V12:V16"/>
    <mergeCell ref="U17:U20"/>
    <mergeCell ref="V17:V19"/>
    <mergeCell ref="U21:U24"/>
    <mergeCell ref="V21:V24"/>
    <mergeCell ref="AC12:AC24"/>
    <mergeCell ref="AD12:AD24"/>
    <mergeCell ref="AE12:AE24"/>
    <mergeCell ref="AF12:AF24"/>
    <mergeCell ref="AG12:AG24"/>
    <mergeCell ref="AH12:AH24"/>
    <mergeCell ref="W12:W13"/>
    <mergeCell ref="X12:X13"/>
    <mergeCell ref="Y12:Y13"/>
    <mergeCell ref="Z12:Z13"/>
    <mergeCell ref="AA12:AA13"/>
    <mergeCell ref="AB12:AB24"/>
    <mergeCell ref="AR12:AR24"/>
    <mergeCell ref="K12:K16"/>
    <mergeCell ref="L12:L16"/>
    <mergeCell ref="M12:M16"/>
    <mergeCell ref="N12:N16"/>
    <mergeCell ref="O12:O24"/>
    <mergeCell ref="P12:P24"/>
    <mergeCell ref="AZ7:BA7"/>
    <mergeCell ref="BB7:BC7"/>
    <mergeCell ref="AN7:AO7"/>
    <mergeCell ref="AP7:AQ7"/>
    <mergeCell ref="AR7:AS7"/>
    <mergeCell ref="AT7:AU7"/>
    <mergeCell ref="AV7:AW7"/>
    <mergeCell ref="AX7:AY7"/>
    <mergeCell ref="AS12:AS24"/>
    <mergeCell ref="AT12:AT24"/>
    <mergeCell ref="AI12:AI24"/>
    <mergeCell ref="AJ12:AJ24"/>
    <mergeCell ref="AK12:AK24"/>
    <mergeCell ref="AL12:AL24"/>
    <mergeCell ref="AM12:AM24"/>
    <mergeCell ref="AN12:AN24"/>
    <mergeCell ref="R21:R24"/>
    <mergeCell ref="BR6:BR7"/>
    <mergeCell ref="W7:W8"/>
    <mergeCell ref="X7:X8"/>
    <mergeCell ref="Y7:Y8"/>
    <mergeCell ref="AB7:AC7"/>
    <mergeCell ref="AD7:AE7"/>
    <mergeCell ref="Z6:Z8"/>
    <mergeCell ref="AA6:AA8"/>
    <mergeCell ref="AB6:AD6"/>
    <mergeCell ref="AF6:AL6"/>
    <mergeCell ref="AN6:AX6"/>
    <mergeCell ref="AZ6:BE6"/>
    <mergeCell ref="AF7:AG7"/>
    <mergeCell ref="AH7:AI7"/>
    <mergeCell ref="AJ7:AK7"/>
    <mergeCell ref="AL7:AM7"/>
    <mergeCell ref="BK7:BK8"/>
    <mergeCell ref="BL7:BL8"/>
    <mergeCell ref="BM7:BM8"/>
    <mergeCell ref="BD7:BE7"/>
    <mergeCell ref="BH7:BH8"/>
    <mergeCell ref="BI7:BI8"/>
    <mergeCell ref="BJ7:BJ8"/>
    <mergeCell ref="BF6:BG7"/>
    <mergeCell ref="A1:BP4"/>
    <mergeCell ref="A5:M5"/>
    <mergeCell ref="Q5:BR5"/>
    <mergeCell ref="A6:A8"/>
    <mergeCell ref="B6:C8"/>
    <mergeCell ref="D6:D8"/>
    <mergeCell ref="E6:F8"/>
    <mergeCell ref="G6:G8"/>
    <mergeCell ref="H6:I8"/>
    <mergeCell ref="J6:J8"/>
    <mergeCell ref="R6:R8"/>
    <mergeCell ref="S6:S8"/>
    <mergeCell ref="T6:T8"/>
    <mergeCell ref="U6:U8"/>
    <mergeCell ref="V6:V8"/>
    <mergeCell ref="W6:Y6"/>
    <mergeCell ref="K6:K8"/>
    <mergeCell ref="L6:L8"/>
    <mergeCell ref="M6:N7"/>
    <mergeCell ref="O6:O8"/>
    <mergeCell ref="P6:P8"/>
    <mergeCell ref="Q6:Q8"/>
    <mergeCell ref="BN6:BO7"/>
    <mergeCell ref="BP6:BQ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W139"/>
  <sheetViews>
    <sheetView showGridLines="0" tabSelected="1" zoomScale="60" zoomScaleNormal="60" workbookViewId="0">
      <selection sqref="A1:BM4"/>
    </sheetView>
  </sheetViews>
  <sheetFormatPr baseColWidth="10" defaultColWidth="11.42578125" defaultRowHeight="15" x14ac:dyDescent="0.2"/>
  <cols>
    <col min="1" max="1" width="14.42578125" style="367" customWidth="1"/>
    <col min="2" max="2" width="21.140625" style="367" customWidth="1"/>
    <col min="3" max="3" width="13.85546875" style="367" customWidth="1"/>
    <col min="4" max="4" width="21.42578125" style="367" customWidth="1"/>
    <col min="5" max="5" width="15.85546875" style="367" customWidth="1"/>
    <col min="6" max="6" width="26.140625" style="1093" customWidth="1"/>
    <col min="7" max="7" width="24.7109375" style="367" customWidth="1"/>
    <col min="8" max="8" width="30.85546875" style="1094" customWidth="1"/>
    <col min="9" max="9" width="20.7109375" style="1094" customWidth="1"/>
    <col min="10" max="10" width="12.140625" style="367" customWidth="1"/>
    <col min="11" max="11" width="12" style="367" customWidth="1"/>
    <col min="12" max="12" width="36.28515625" style="367" customWidth="1"/>
    <col min="13" max="13" width="19.7109375" style="367" customWidth="1"/>
    <col min="14" max="14" width="35.5703125" style="1094" customWidth="1"/>
    <col min="15" max="15" width="18.7109375" style="367" customWidth="1"/>
    <col min="16" max="16" width="35.140625" style="1095" customWidth="1"/>
    <col min="17" max="17" width="29.42578125" style="1094" customWidth="1"/>
    <col min="18" max="18" width="36" style="1094" customWidth="1"/>
    <col min="19" max="19" width="67.140625" style="924" customWidth="1"/>
    <col min="20" max="20" width="30.28515625" style="1096" customWidth="1"/>
    <col min="21" max="21" width="34.7109375" style="1096" customWidth="1"/>
    <col min="22" max="22" width="29" style="1096" customWidth="1"/>
    <col min="23" max="23" width="19.5703125" style="1093" customWidth="1"/>
    <col min="24" max="24" width="25" style="1097" customWidth="1"/>
    <col min="25" max="54" width="9.28515625" style="367" customWidth="1"/>
    <col min="55" max="55" width="12.85546875" style="367" customWidth="1"/>
    <col min="56" max="56" width="15.140625" style="367" bestFit="1" customWidth="1"/>
    <col min="57" max="57" width="15.85546875" style="367" bestFit="1" customWidth="1"/>
    <col min="58" max="58" width="36.140625" style="367" bestFit="1" customWidth="1"/>
    <col min="59" max="59" width="30.42578125" style="367" customWidth="1"/>
    <col min="60" max="60" width="19.42578125" style="367" customWidth="1"/>
    <col min="61" max="61" width="18.7109375" style="367" customWidth="1"/>
    <col min="62" max="62" width="19" style="367" customWidth="1"/>
    <col min="63" max="63" width="18" style="367" customWidth="1"/>
    <col min="64" max="64" width="16.5703125" style="367" customWidth="1"/>
    <col min="65" max="65" width="18.42578125" style="367" customWidth="1"/>
    <col min="66" max="66" width="21.42578125" style="367" customWidth="1"/>
    <col min="67" max="67" width="38.42578125" style="1094" customWidth="1"/>
    <col min="68" max="72" width="11.42578125" style="924"/>
    <col min="73" max="283" width="11.42578125" style="367"/>
    <col min="284" max="284" width="13.5703125" style="367" customWidth="1"/>
    <col min="285" max="285" width="19" style="367" customWidth="1"/>
    <col min="286" max="286" width="13.5703125" style="367" customWidth="1"/>
    <col min="287" max="287" width="19.7109375" style="367" customWidth="1"/>
    <col min="288" max="288" width="13.5703125" style="367" customWidth="1"/>
    <col min="289" max="290" width="14.7109375" style="367" customWidth="1"/>
    <col min="291" max="291" width="36.140625" style="367" customWidth="1"/>
    <col min="292" max="292" width="29.42578125" style="367" customWidth="1"/>
    <col min="293" max="293" width="16" style="367" customWidth="1"/>
    <col min="294" max="294" width="38.28515625" style="367" customWidth="1"/>
    <col min="295" max="295" width="12" style="367" customWidth="1"/>
    <col min="296" max="296" width="38.140625" style="367" customWidth="1"/>
    <col min="297" max="297" width="17.85546875" style="367" bestFit="1" customWidth="1"/>
    <col min="298" max="298" width="24.7109375" style="367" customWidth="1"/>
    <col min="299" max="299" width="36.42578125" style="367" customWidth="1"/>
    <col min="300" max="300" width="46.7109375" style="367" customWidth="1"/>
    <col min="301" max="301" width="43.7109375" style="367" customWidth="1"/>
    <col min="302" max="302" width="25.42578125" style="367" customWidth="1"/>
    <col min="303" max="303" width="12.42578125" style="367" customWidth="1"/>
    <col min="304" max="304" width="16.42578125" style="367" customWidth="1"/>
    <col min="305" max="305" width="13.42578125" style="367" customWidth="1"/>
    <col min="306" max="306" width="8.5703125" style="367" customWidth="1"/>
    <col min="307" max="310" width="11.42578125" style="367" customWidth="1"/>
    <col min="311" max="311" width="12.7109375" style="367" customWidth="1"/>
    <col min="312" max="312" width="11.85546875" style="367" customWidth="1"/>
    <col min="313" max="313" width="7.85546875" style="367" customWidth="1"/>
    <col min="314" max="314" width="7.5703125" style="367" customWidth="1"/>
    <col min="315" max="315" width="8.85546875" style="367" customWidth="1"/>
    <col min="316" max="316" width="8.140625" style="367" customWidth="1"/>
    <col min="317" max="317" width="7.85546875" style="367" customWidth="1"/>
    <col min="318" max="318" width="8.5703125" style="367" customWidth="1"/>
    <col min="319" max="319" width="8.28515625" style="367" customWidth="1"/>
    <col min="320" max="320" width="11.42578125" style="367" customWidth="1"/>
    <col min="321" max="321" width="18" style="367" customWidth="1"/>
    <col min="322" max="322" width="21.42578125" style="367" customWidth="1"/>
    <col min="323" max="323" width="27.85546875" style="367" customWidth="1"/>
    <col min="324" max="539" width="11.42578125" style="367"/>
    <col min="540" max="540" width="13.5703125" style="367" customWidth="1"/>
    <col min="541" max="541" width="19" style="367" customWidth="1"/>
    <col min="542" max="542" width="13.5703125" style="367" customWidth="1"/>
    <col min="543" max="543" width="19.7109375" style="367" customWidth="1"/>
    <col min="544" max="544" width="13.5703125" style="367" customWidth="1"/>
    <col min="545" max="546" width="14.7109375" style="367" customWidth="1"/>
    <col min="547" max="547" width="36.140625" style="367" customWidth="1"/>
    <col min="548" max="548" width="29.42578125" style="367" customWidth="1"/>
    <col min="549" max="549" width="16" style="367" customWidth="1"/>
    <col min="550" max="550" width="38.28515625" style="367" customWidth="1"/>
    <col min="551" max="551" width="12" style="367" customWidth="1"/>
    <col min="552" max="552" width="38.140625" style="367" customWidth="1"/>
    <col min="553" max="553" width="17.85546875" style="367" bestFit="1" customWidth="1"/>
    <col min="554" max="554" width="24.7109375" style="367" customWidth="1"/>
    <col min="555" max="555" width="36.42578125" style="367" customWidth="1"/>
    <col min="556" max="556" width="46.7109375" style="367" customWidth="1"/>
    <col min="557" max="557" width="43.7109375" style="367" customWidth="1"/>
    <col min="558" max="558" width="25.42578125" style="367" customWidth="1"/>
    <col min="559" max="559" width="12.42578125" style="367" customWidth="1"/>
    <col min="560" max="560" width="16.42578125" style="367" customWidth="1"/>
    <col min="561" max="561" width="13.42578125" style="367" customWidth="1"/>
    <col min="562" max="562" width="8.5703125" style="367" customWidth="1"/>
    <col min="563" max="566" width="11.42578125" style="367" customWidth="1"/>
    <col min="567" max="567" width="12.7109375" style="367" customWidth="1"/>
    <col min="568" max="568" width="11.85546875" style="367" customWidth="1"/>
    <col min="569" max="569" width="7.85546875" style="367" customWidth="1"/>
    <col min="570" max="570" width="7.5703125" style="367" customWidth="1"/>
    <col min="571" max="571" width="8.85546875" style="367" customWidth="1"/>
    <col min="572" max="572" width="8.140625" style="367" customWidth="1"/>
    <col min="573" max="573" width="7.85546875" style="367" customWidth="1"/>
    <col min="574" max="574" width="8.5703125" style="367" customWidth="1"/>
    <col min="575" max="575" width="8.28515625" style="367" customWidth="1"/>
    <col min="576" max="576" width="11.42578125" style="367" customWidth="1"/>
    <col min="577" max="577" width="18" style="367" customWidth="1"/>
    <col min="578" max="578" width="21.42578125" style="367" customWidth="1"/>
    <col min="579" max="579" width="27.85546875" style="367" customWidth="1"/>
    <col min="580" max="795" width="11.42578125" style="367"/>
    <col min="796" max="796" width="13.5703125" style="367" customWidth="1"/>
    <col min="797" max="797" width="19" style="367" customWidth="1"/>
    <col min="798" max="798" width="13.5703125" style="367" customWidth="1"/>
    <col min="799" max="799" width="19.7109375" style="367" customWidth="1"/>
    <col min="800" max="800" width="13.5703125" style="367" customWidth="1"/>
    <col min="801" max="802" width="14.7109375" style="367" customWidth="1"/>
    <col min="803" max="803" width="36.140625" style="367" customWidth="1"/>
    <col min="804" max="804" width="29.42578125" style="367" customWidth="1"/>
    <col min="805" max="805" width="16" style="367" customWidth="1"/>
    <col min="806" max="806" width="38.28515625" style="367" customWidth="1"/>
    <col min="807" max="807" width="12" style="367" customWidth="1"/>
    <col min="808" max="808" width="38.140625" style="367" customWidth="1"/>
    <col min="809" max="809" width="17.85546875" style="367" bestFit="1" customWidth="1"/>
    <col min="810" max="810" width="24.7109375" style="367" customWidth="1"/>
    <col min="811" max="811" width="36.42578125" style="367" customWidth="1"/>
    <col min="812" max="812" width="46.7109375" style="367" customWidth="1"/>
    <col min="813" max="813" width="43.7109375" style="367" customWidth="1"/>
    <col min="814" max="814" width="25.42578125" style="367" customWidth="1"/>
    <col min="815" max="815" width="12.42578125" style="367" customWidth="1"/>
    <col min="816" max="816" width="16.42578125" style="367" customWidth="1"/>
    <col min="817" max="817" width="13.42578125" style="367" customWidth="1"/>
    <col min="818" max="818" width="8.5703125" style="367" customWidth="1"/>
    <col min="819" max="822" width="11.42578125" style="367" customWidth="1"/>
    <col min="823" max="823" width="12.7109375" style="367" customWidth="1"/>
    <col min="824" max="824" width="11.85546875" style="367" customWidth="1"/>
    <col min="825" max="825" width="7.85546875" style="367" customWidth="1"/>
    <col min="826" max="826" width="7.5703125" style="367" customWidth="1"/>
    <col min="827" max="827" width="8.85546875" style="367" customWidth="1"/>
    <col min="828" max="828" width="8.140625" style="367" customWidth="1"/>
    <col min="829" max="829" width="7.85546875" style="367" customWidth="1"/>
    <col min="830" max="830" width="8.5703125" style="367" customWidth="1"/>
    <col min="831" max="831" width="8.28515625" style="367" customWidth="1"/>
    <col min="832" max="832" width="11.42578125" style="367" customWidth="1"/>
    <col min="833" max="833" width="18" style="367" customWidth="1"/>
    <col min="834" max="834" width="21.42578125" style="367" customWidth="1"/>
    <col min="835" max="835" width="27.85546875" style="367" customWidth="1"/>
    <col min="836" max="1051" width="11.42578125" style="367"/>
    <col min="1052" max="1052" width="13.5703125" style="367" customWidth="1"/>
    <col min="1053" max="1053" width="19" style="367" customWidth="1"/>
    <col min="1054" max="1054" width="13.5703125" style="367" customWidth="1"/>
    <col min="1055" max="1055" width="19.7109375" style="367" customWidth="1"/>
    <col min="1056" max="1056" width="13.5703125" style="367" customWidth="1"/>
    <col min="1057" max="1058" width="14.7109375" style="367" customWidth="1"/>
    <col min="1059" max="1059" width="36.140625" style="367" customWidth="1"/>
    <col min="1060" max="1060" width="29.42578125" style="367" customWidth="1"/>
    <col min="1061" max="1061" width="16" style="367" customWidth="1"/>
    <col min="1062" max="1062" width="38.28515625" style="367" customWidth="1"/>
    <col min="1063" max="1063" width="12" style="367" customWidth="1"/>
    <col min="1064" max="1064" width="38.140625" style="367" customWidth="1"/>
    <col min="1065" max="1065" width="17.85546875" style="367" bestFit="1" customWidth="1"/>
    <col min="1066" max="1066" width="24.7109375" style="367" customWidth="1"/>
    <col min="1067" max="1067" width="36.42578125" style="367" customWidth="1"/>
    <col min="1068" max="1068" width="46.7109375" style="367" customWidth="1"/>
    <col min="1069" max="1069" width="43.7109375" style="367" customWidth="1"/>
    <col min="1070" max="1070" width="25.42578125" style="367" customWidth="1"/>
    <col min="1071" max="1071" width="12.42578125" style="367" customWidth="1"/>
    <col min="1072" max="1072" width="16.42578125" style="367" customWidth="1"/>
    <col min="1073" max="1073" width="13.42578125" style="367" customWidth="1"/>
    <col min="1074" max="1074" width="8.5703125" style="367" customWidth="1"/>
    <col min="1075" max="1078" width="11.42578125" style="367" customWidth="1"/>
    <col min="1079" max="1079" width="12.7109375" style="367" customWidth="1"/>
    <col min="1080" max="1080" width="11.85546875" style="367" customWidth="1"/>
    <col min="1081" max="1081" width="7.85546875" style="367" customWidth="1"/>
    <col min="1082" max="1082" width="7.5703125" style="367" customWidth="1"/>
    <col min="1083" max="1083" width="8.85546875" style="367" customWidth="1"/>
    <col min="1084" max="1084" width="8.140625" style="367" customWidth="1"/>
    <col min="1085" max="1085" width="7.85546875" style="367" customWidth="1"/>
    <col min="1086" max="1086" width="8.5703125" style="367" customWidth="1"/>
    <col min="1087" max="1087" width="8.28515625" style="367" customWidth="1"/>
    <col min="1088" max="1088" width="11.42578125" style="367" customWidth="1"/>
    <col min="1089" max="1089" width="18" style="367" customWidth="1"/>
    <col min="1090" max="1090" width="21.42578125" style="367" customWidth="1"/>
    <col min="1091" max="1091" width="27.85546875" style="367" customWidth="1"/>
    <col min="1092" max="1307" width="11.42578125" style="367"/>
    <col min="1308" max="1308" width="13.5703125" style="367" customWidth="1"/>
    <col min="1309" max="1309" width="19" style="367" customWidth="1"/>
    <col min="1310" max="1310" width="13.5703125" style="367" customWidth="1"/>
    <col min="1311" max="1311" width="19.7109375" style="367" customWidth="1"/>
    <col min="1312" max="1312" width="13.5703125" style="367" customWidth="1"/>
    <col min="1313" max="1314" width="14.7109375" style="367" customWidth="1"/>
    <col min="1315" max="1315" width="36.140625" style="367" customWidth="1"/>
    <col min="1316" max="1316" width="29.42578125" style="367" customWidth="1"/>
    <col min="1317" max="1317" width="16" style="367" customWidth="1"/>
    <col min="1318" max="1318" width="38.28515625" style="367" customWidth="1"/>
    <col min="1319" max="1319" width="12" style="367" customWidth="1"/>
    <col min="1320" max="1320" width="38.140625" style="367" customWidth="1"/>
    <col min="1321" max="1321" width="17.85546875" style="367" bestFit="1" customWidth="1"/>
    <col min="1322" max="1322" width="24.7109375" style="367" customWidth="1"/>
    <col min="1323" max="1323" width="36.42578125" style="367" customWidth="1"/>
    <col min="1324" max="1324" width="46.7109375" style="367" customWidth="1"/>
    <col min="1325" max="1325" width="43.7109375" style="367" customWidth="1"/>
    <col min="1326" max="1326" width="25.42578125" style="367" customWidth="1"/>
    <col min="1327" max="1327" width="12.42578125" style="367" customWidth="1"/>
    <col min="1328" max="1328" width="16.42578125" style="367" customWidth="1"/>
    <col min="1329" max="1329" width="13.42578125" style="367" customWidth="1"/>
    <col min="1330" max="1330" width="8.5703125" style="367" customWidth="1"/>
    <col min="1331" max="1334" width="11.42578125" style="367" customWidth="1"/>
    <col min="1335" max="1335" width="12.7109375" style="367" customWidth="1"/>
    <col min="1336" max="1336" width="11.85546875" style="367" customWidth="1"/>
    <col min="1337" max="1337" width="7.85546875" style="367" customWidth="1"/>
    <col min="1338" max="1338" width="7.5703125" style="367" customWidth="1"/>
    <col min="1339" max="1339" width="8.85546875" style="367" customWidth="1"/>
    <col min="1340" max="1340" width="8.140625" style="367" customWidth="1"/>
    <col min="1341" max="1341" width="7.85546875" style="367" customWidth="1"/>
    <col min="1342" max="1342" width="8.5703125" style="367" customWidth="1"/>
    <col min="1343" max="1343" width="8.28515625" style="367" customWidth="1"/>
    <col min="1344" max="1344" width="11.42578125" style="367" customWidth="1"/>
    <col min="1345" max="1345" width="18" style="367" customWidth="1"/>
    <col min="1346" max="1346" width="21.42578125" style="367" customWidth="1"/>
    <col min="1347" max="1347" width="27.85546875" style="367" customWidth="1"/>
    <col min="1348" max="1563" width="11.42578125" style="367"/>
    <col min="1564" max="1564" width="13.5703125" style="367" customWidth="1"/>
    <col min="1565" max="1565" width="19" style="367" customWidth="1"/>
    <col min="1566" max="1566" width="13.5703125" style="367" customWidth="1"/>
    <col min="1567" max="1567" width="19.7109375" style="367" customWidth="1"/>
    <col min="1568" max="1568" width="13.5703125" style="367" customWidth="1"/>
    <col min="1569" max="1570" width="14.7109375" style="367" customWidth="1"/>
    <col min="1571" max="1571" width="36.140625" style="367" customWidth="1"/>
    <col min="1572" max="1572" width="29.42578125" style="367" customWidth="1"/>
    <col min="1573" max="1573" width="16" style="367" customWidth="1"/>
    <col min="1574" max="1574" width="38.28515625" style="367" customWidth="1"/>
    <col min="1575" max="1575" width="12" style="367" customWidth="1"/>
    <col min="1576" max="1576" width="38.140625" style="367" customWidth="1"/>
    <col min="1577" max="1577" width="17.85546875" style="367" bestFit="1" customWidth="1"/>
    <col min="1578" max="1578" width="24.7109375" style="367" customWidth="1"/>
    <col min="1579" max="1579" width="36.42578125" style="367" customWidth="1"/>
    <col min="1580" max="1580" width="46.7109375" style="367" customWidth="1"/>
    <col min="1581" max="1581" width="43.7109375" style="367" customWidth="1"/>
    <col min="1582" max="1582" width="25.42578125" style="367" customWidth="1"/>
    <col min="1583" max="1583" width="12.42578125" style="367" customWidth="1"/>
    <col min="1584" max="1584" width="16.42578125" style="367" customWidth="1"/>
    <col min="1585" max="1585" width="13.42578125" style="367" customWidth="1"/>
    <col min="1586" max="1586" width="8.5703125" style="367" customWidth="1"/>
    <col min="1587" max="1590" width="11.42578125" style="367" customWidth="1"/>
    <col min="1591" max="1591" width="12.7109375" style="367" customWidth="1"/>
    <col min="1592" max="1592" width="11.85546875" style="367" customWidth="1"/>
    <col min="1593" max="1593" width="7.85546875" style="367" customWidth="1"/>
    <col min="1594" max="1594" width="7.5703125" style="367" customWidth="1"/>
    <col min="1595" max="1595" width="8.85546875" style="367" customWidth="1"/>
    <col min="1596" max="1596" width="8.140625" style="367" customWidth="1"/>
    <col min="1597" max="1597" width="7.85546875" style="367" customWidth="1"/>
    <col min="1598" max="1598" width="8.5703125" style="367" customWidth="1"/>
    <col min="1599" max="1599" width="8.28515625" style="367" customWidth="1"/>
    <col min="1600" max="1600" width="11.42578125" style="367" customWidth="1"/>
    <col min="1601" max="1601" width="18" style="367" customWidth="1"/>
    <col min="1602" max="1602" width="21.42578125" style="367" customWidth="1"/>
    <col min="1603" max="1603" width="27.85546875" style="367" customWidth="1"/>
    <col min="1604" max="1819" width="11.42578125" style="367"/>
    <col min="1820" max="1820" width="13.5703125" style="367" customWidth="1"/>
    <col min="1821" max="1821" width="19" style="367" customWidth="1"/>
    <col min="1822" max="1822" width="13.5703125" style="367" customWidth="1"/>
    <col min="1823" max="1823" width="19.7109375" style="367" customWidth="1"/>
    <col min="1824" max="1824" width="13.5703125" style="367" customWidth="1"/>
    <col min="1825" max="1826" width="14.7109375" style="367" customWidth="1"/>
    <col min="1827" max="1827" width="36.140625" style="367" customWidth="1"/>
    <col min="1828" max="1828" width="29.42578125" style="367" customWidth="1"/>
    <col min="1829" max="1829" width="16" style="367" customWidth="1"/>
    <col min="1830" max="1830" width="38.28515625" style="367" customWidth="1"/>
    <col min="1831" max="1831" width="12" style="367" customWidth="1"/>
    <col min="1832" max="1832" width="38.140625" style="367" customWidth="1"/>
    <col min="1833" max="1833" width="17.85546875" style="367" bestFit="1" customWidth="1"/>
    <col min="1834" max="1834" width="24.7109375" style="367" customWidth="1"/>
    <col min="1835" max="1835" width="36.42578125" style="367" customWidth="1"/>
    <col min="1836" max="1836" width="46.7109375" style="367" customWidth="1"/>
    <col min="1837" max="1837" width="43.7109375" style="367" customWidth="1"/>
    <col min="1838" max="1838" width="25.42578125" style="367" customWidth="1"/>
    <col min="1839" max="1839" width="12.42578125" style="367" customWidth="1"/>
    <col min="1840" max="1840" width="16.42578125" style="367" customWidth="1"/>
    <col min="1841" max="1841" width="13.42578125" style="367" customWidth="1"/>
    <col min="1842" max="1842" width="8.5703125" style="367" customWidth="1"/>
    <col min="1843" max="1846" width="11.42578125" style="367" customWidth="1"/>
    <col min="1847" max="1847" width="12.7109375" style="367" customWidth="1"/>
    <col min="1848" max="1848" width="11.85546875" style="367" customWidth="1"/>
    <col min="1849" max="1849" width="7.85546875" style="367" customWidth="1"/>
    <col min="1850" max="1850" width="7.5703125" style="367" customWidth="1"/>
    <col min="1851" max="1851" width="8.85546875" style="367" customWidth="1"/>
    <col min="1852" max="1852" width="8.140625" style="367" customWidth="1"/>
    <col min="1853" max="1853" width="7.85546875" style="367" customWidth="1"/>
    <col min="1854" max="1854" width="8.5703125" style="367" customWidth="1"/>
    <col min="1855" max="1855" width="8.28515625" style="367" customWidth="1"/>
    <col min="1856" max="1856" width="11.42578125" style="367" customWidth="1"/>
    <col min="1857" max="1857" width="18" style="367" customWidth="1"/>
    <col min="1858" max="1858" width="21.42578125" style="367" customWidth="1"/>
    <col min="1859" max="1859" width="27.85546875" style="367" customWidth="1"/>
    <col min="1860" max="2075" width="11.42578125" style="367"/>
    <col min="2076" max="2076" width="13.5703125" style="367" customWidth="1"/>
    <col min="2077" max="2077" width="19" style="367" customWidth="1"/>
    <col min="2078" max="2078" width="13.5703125" style="367" customWidth="1"/>
    <col min="2079" max="2079" width="19.7109375" style="367" customWidth="1"/>
    <col min="2080" max="2080" width="13.5703125" style="367" customWidth="1"/>
    <col min="2081" max="2082" width="14.7109375" style="367" customWidth="1"/>
    <col min="2083" max="2083" width="36.140625" style="367" customWidth="1"/>
    <col min="2084" max="2084" width="29.42578125" style="367" customWidth="1"/>
    <col min="2085" max="2085" width="16" style="367" customWidth="1"/>
    <col min="2086" max="2086" width="38.28515625" style="367" customWidth="1"/>
    <col min="2087" max="2087" width="12" style="367" customWidth="1"/>
    <col min="2088" max="2088" width="38.140625" style="367" customWidth="1"/>
    <col min="2089" max="2089" width="17.85546875" style="367" bestFit="1" customWidth="1"/>
    <col min="2090" max="2090" width="24.7109375" style="367" customWidth="1"/>
    <col min="2091" max="2091" width="36.42578125" style="367" customWidth="1"/>
    <col min="2092" max="2092" width="46.7109375" style="367" customWidth="1"/>
    <col min="2093" max="2093" width="43.7109375" style="367" customWidth="1"/>
    <col min="2094" max="2094" width="25.42578125" style="367" customWidth="1"/>
    <col min="2095" max="2095" width="12.42578125" style="367" customWidth="1"/>
    <col min="2096" max="2096" width="16.42578125" style="367" customWidth="1"/>
    <col min="2097" max="2097" width="13.42578125" style="367" customWidth="1"/>
    <col min="2098" max="2098" width="8.5703125" style="367" customWidth="1"/>
    <col min="2099" max="2102" width="11.42578125" style="367" customWidth="1"/>
    <col min="2103" max="2103" width="12.7109375" style="367" customWidth="1"/>
    <col min="2104" max="2104" width="11.85546875" style="367" customWidth="1"/>
    <col min="2105" max="2105" width="7.85546875" style="367" customWidth="1"/>
    <col min="2106" max="2106" width="7.5703125" style="367" customWidth="1"/>
    <col min="2107" max="2107" width="8.85546875" style="367" customWidth="1"/>
    <col min="2108" max="2108" width="8.140625" style="367" customWidth="1"/>
    <col min="2109" max="2109" width="7.85546875" style="367" customWidth="1"/>
    <col min="2110" max="2110" width="8.5703125" style="367" customWidth="1"/>
    <col min="2111" max="2111" width="8.28515625" style="367" customWidth="1"/>
    <col min="2112" max="2112" width="11.42578125" style="367" customWidth="1"/>
    <col min="2113" max="2113" width="18" style="367" customWidth="1"/>
    <col min="2114" max="2114" width="21.42578125" style="367" customWidth="1"/>
    <col min="2115" max="2115" width="27.85546875" style="367" customWidth="1"/>
    <col min="2116" max="2331" width="11.42578125" style="367"/>
    <col min="2332" max="2332" width="13.5703125" style="367" customWidth="1"/>
    <col min="2333" max="2333" width="19" style="367" customWidth="1"/>
    <col min="2334" max="2334" width="13.5703125" style="367" customWidth="1"/>
    <col min="2335" max="2335" width="19.7109375" style="367" customWidth="1"/>
    <col min="2336" max="2336" width="13.5703125" style="367" customWidth="1"/>
    <col min="2337" max="2338" width="14.7109375" style="367" customWidth="1"/>
    <col min="2339" max="2339" width="36.140625" style="367" customWidth="1"/>
    <col min="2340" max="2340" width="29.42578125" style="367" customWidth="1"/>
    <col min="2341" max="2341" width="16" style="367" customWidth="1"/>
    <col min="2342" max="2342" width="38.28515625" style="367" customWidth="1"/>
    <col min="2343" max="2343" width="12" style="367" customWidth="1"/>
    <col min="2344" max="2344" width="38.140625" style="367" customWidth="1"/>
    <col min="2345" max="2345" width="17.85546875" style="367" bestFit="1" customWidth="1"/>
    <col min="2346" max="2346" width="24.7109375" style="367" customWidth="1"/>
    <col min="2347" max="2347" width="36.42578125" style="367" customWidth="1"/>
    <col min="2348" max="2348" width="46.7109375" style="367" customWidth="1"/>
    <col min="2349" max="2349" width="43.7109375" style="367" customWidth="1"/>
    <col min="2350" max="2350" width="25.42578125" style="367" customWidth="1"/>
    <col min="2351" max="2351" width="12.42578125" style="367" customWidth="1"/>
    <col min="2352" max="2352" width="16.42578125" style="367" customWidth="1"/>
    <col min="2353" max="2353" width="13.42578125" style="367" customWidth="1"/>
    <col min="2354" max="2354" width="8.5703125" style="367" customWidth="1"/>
    <col min="2355" max="2358" width="11.42578125" style="367" customWidth="1"/>
    <col min="2359" max="2359" width="12.7109375" style="367" customWidth="1"/>
    <col min="2360" max="2360" width="11.85546875" style="367" customWidth="1"/>
    <col min="2361" max="2361" width="7.85546875" style="367" customWidth="1"/>
    <col min="2362" max="2362" width="7.5703125" style="367" customWidth="1"/>
    <col min="2363" max="2363" width="8.85546875" style="367" customWidth="1"/>
    <col min="2364" max="2364" width="8.140625" style="367" customWidth="1"/>
    <col min="2365" max="2365" width="7.85546875" style="367" customWidth="1"/>
    <col min="2366" max="2366" width="8.5703125" style="367" customWidth="1"/>
    <col min="2367" max="2367" width="8.28515625" style="367" customWidth="1"/>
    <col min="2368" max="2368" width="11.42578125" style="367" customWidth="1"/>
    <col min="2369" max="2369" width="18" style="367" customWidth="1"/>
    <col min="2370" max="2370" width="21.42578125" style="367" customWidth="1"/>
    <col min="2371" max="2371" width="27.85546875" style="367" customWidth="1"/>
    <col min="2372" max="2587" width="11.42578125" style="367"/>
    <col min="2588" max="2588" width="13.5703125" style="367" customWidth="1"/>
    <col min="2589" max="2589" width="19" style="367" customWidth="1"/>
    <col min="2590" max="2590" width="13.5703125" style="367" customWidth="1"/>
    <col min="2591" max="2591" width="19.7109375" style="367" customWidth="1"/>
    <col min="2592" max="2592" width="13.5703125" style="367" customWidth="1"/>
    <col min="2593" max="2594" width="14.7109375" style="367" customWidth="1"/>
    <col min="2595" max="2595" width="36.140625" style="367" customWidth="1"/>
    <col min="2596" max="2596" width="29.42578125" style="367" customWidth="1"/>
    <col min="2597" max="2597" width="16" style="367" customWidth="1"/>
    <col min="2598" max="2598" width="38.28515625" style="367" customWidth="1"/>
    <col min="2599" max="2599" width="12" style="367" customWidth="1"/>
    <col min="2600" max="2600" width="38.140625" style="367" customWidth="1"/>
    <col min="2601" max="2601" width="17.85546875" style="367" bestFit="1" customWidth="1"/>
    <col min="2602" max="2602" width="24.7109375" style="367" customWidth="1"/>
    <col min="2603" max="2603" width="36.42578125" style="367" customWidth="1"/>
    <col min="2604" max="2604" width="46.7109375" style="367" customWidth="1"/>
    <col min="2605" max="2605" width="43.7109375" style="367" customWidth="1"/>
    <col min="2606" max="2606" width="25.42578125" style="367" customWidth="1"/>
    <col min="2607" max="2607" width="12.42578125" style="367" customWidth="1"/>
    <col min="2608" max="2608" width="16.42578125" style="367" customWidth="1"/>
    <col min="2609" max="2609" width="13.42578125" style="367" customWidth="1"/>
    <col min="2610" max="2610" width="8.5703125" style="367" customWidth="1"/>
    <col min="2611" max="2614" width="11.42578125" style="367" customWidth="1"/>
    <col min="2615" max="2615" width="12.7109375" style="367" customWidth="1"/>
    <col min="2616" max="2616" width="11.85546875" style="367" customWidth="1"/>
    <col min="2617" max="2617" width="7.85546875" style="367" customWidth="1"/>
    <col min="2618" max="2618" width="7.5703125" style="367" customWidth="1"/>
    <col min="2619" max="2619" width="8.85546875" style="367" customWidth="1"/>
    <col min="2620" max="2620" width="8.140625" style="367" customWidth="1"/>
    <col min="2621" max="2621" width="7.85546875" style="367" customWidth="1"/>
    <col min="2622" max="2622" width="8.5703125" style="367" customWidth="1"/>
    <col min="2623" max="2623" width="8.28515625" style="367" customWidth="1"/>
    <col min="2624" max="2624" width="11.42578125" style="367" customWidth="1"/>
    <col min="2625" max="2625" width="18" style="367" customWidth="1"/>
    <col min="2626" max="2626" width="21.42578125" style="367" customWidth="1"/>
    <col min="2627" max="2627" width="27.85546875" style="367" customWidth="1"/>
    <col min="2628" max="2843" width="11.42578125" style="367"/>
    <col min="2844" max="2844" width="13.5703125" style="367" customWidth="1"/>
    <col min="2845" max="2845" width="19" style="367" customWidth="1"/>
    <col min="2846" max="2846" width="13.5703125" style="367" customWidth="1"/>
    <col min="2847" max="2847" width="19.7109375" style="367" customWidth="1"/>
    <col min="2848" max="2848" width="13.5703125" style="367" customWidth="1"/>
    <col min="2849" max="2850" width="14.7109375" style="367" customWidth="1"/>
    <col min="2851" max="2851" width="36.140625" style="367" customWidth="1"/>
    <col min="2852" max="2852" width="29.42578125" style="367" customWidth="1"/>
    <col min="2853" max="2853" width="16" style="367" customWidth="1"/>
    <col min="2854" max="2854" width="38.28515625" style="367" customWidth="1"/>
    <col min="2855" max="2855" width="12" style="367" customWidth="1"/>
    <col min="2856" max="2856" width="38.140625" style="367" customWidth="1"/>
    <col min="2857" max="2857" width="17.85546875" style="367" bestFit="1" customWidth="1"/>
    <col min="2858" max="2858" width="24.7109375" style="367" customWidth="1"/>
    <col min="2859" max="2859" width="36.42578125" style="367" customWidth="1"/>
    <col min="2860" max="2860" width="46.7109375" style="367" customWidth="1"/>
    <col min="2861" max="2861" width="43.7109375" style="367" customWidth="1"/>
    <col min="2862" max="2862" width="25.42578125" style="367" customWidth="1"/>
    <col min="2863" max="2863" width="12.42578125" style="367" customWidth="1"/>
    <col min="2864" max="2864" width="16.42578125" style="367" customWidth="1"/>
    <col min="2865" max="2865" width="13.42578125" style="367" customWidth="1"/>
    <col min="2866" max="2866" width="8.5703125" style="367" customWidth="1"/>
    <col min="2867" max="2870" width="11.42578125" style="367" customWidth="1"/>
    <col min="2871" max="2871" width="12.7109375" style="367" customWidth="1"/>
    <col min="2872" max="2872" width="11.85546875" style="367" customWidth="1"/>
    <col min="2873" max="2873" width="7.85546875" style="367" customWidth="1"/>
    <col min="2874" max="2874" width="7.5703125" style="367" customWidth="1"/>
    <col min="2875" max="2875" width="8.85546875" style="367" customWidth="1"/>
    <col min="2876" max="2876" width="8.140625" style="367" customWidth="1"/>
    <col min="2877" max="2877" width="7.85546875" style="367" customWidth="1"/>
    <col min="2878" max="2878" width="8.5703125" style="367" customWidth="1"/>
    <col min="2879" max="2879" width="8.28515625" style="367" customWidth="1"/>
    <col min="2880" max="2880" width="11.42578125" style="367" customWidth="1"/>
    <col min="2881" max="2881" width="18" style="367" customWidth="1"/>
    <col min="2882" max="2882" width="21.42578125" style="367" customWidth="1"/>
    <col min="2883" max="2883" width="27.85546875" style="367" customWidth="1"/>
    <col min="2884" max="3099" width="11.42578125" style="367"/>
    <col min="3100" max="3100" width="13.5703125" style="367" customWidth="1"/>
    <col min="3101" max="3101" width="19" style="367" customWidth="1"/>
    <col min="3102" max="3102" width="13.5703125" style="367" customWidth="1"/>
    <col min="3103" max="3103" width="19.7109375" style="367" customWidth="1"/>
    <col min="3104" max="3104" width="13.5703125" style="367" customWidth="1"/>
    <col min="3105" max="3106" width="14.7109375" style="367" customWidth="1"/>
    <col min="3107" max="3107" width="36.140625" style="367" customWidth="1"/>
    <col min="3108" max="3108" width="29.42578125" style="367" customWidth="1"/>
    <col min="3109" max="3109" width="16" style="367" customWidth="1"/>
    <col min="3110" max="3110" width="38.28515625" style="367" customWidth="1"/>
    <col min="3111" max="3111" width="12" style="367" customWidth="1"/>
    <col min="3112" max="3112" width="38.140625" style="367" customWidth="1"/>
    <col min="3113" max="3113" width="17.85546875" style="367" bestFit="1" customWidth="1"/>
    <col min="3114" max="3114" width="24.7109375" style="367" customWidth="1"/>
    <col min="3115" max="3115" width="36.42578125" style="367" customWidth="1"/>
    <col min="3116" max="3116" width="46.7109375" style="367" customWidth="1"/>
    <col min="3117" max="3117" width="43.7109375" style="367" customWidth="1"/>
    <col min="3118" max="3118" width="25.42578125" style="367" customWidth="1"/>
    <col min="3119" max="3119" width="12.42578125" style="367" customWidth="1"/>
    <col min="3120" max="3120" width="16.42578125" style="367" customWidth="1"/>
    <col min="3121" max="3121" width="13.42578125" style="367" customWidth="1"/>
    <col min="3122" max="3122" width="8.5703125" style="367" customWidth="1"/>
    <col min="3123" max="3126" width="11.42578125" style="367" customWidth="1"/>
    <col min="3127" max="3127" width="12.7109375" style="367" customWidth="1"/>
    <col min="3128" max="3128" width="11.85546875" style="367" customWidth="1"/>
    <col min="3129" max="3129" width="7.85546875" style="367" customWidth="1"/>
    <col min="3130" max="3130" width="7.5703125" style="367" customWidth="1"/>
    <col min="3131" max="3131" width="8.85546875" style="367" customWidth="1"/>
    <col min="3132" max="3132" width="8.140625" style="367" customWidth="1"/>
    <col min="3133" max="3133" width="7.85546875" style="367" customWidth="1"/>
    <col min="3134" max="3134" width="8.5703125" style="367" customWidth="1"/>
    <col min="3135" max="3135" width="8.28515625" style="367" customWidth="1"/>
    <col min="3136" max="3136" width="11.42578125" style="367" customWidth="1"/>
    <col min="3137" max="3137" width="18" style="367" customWidth="1"/>
    <col min="3138" max="3138" width="21.42578125" style="367" customWidth="1"/>
    <col min="3139" max="3139" width="27.85546875" style="367" customWidth="1"/>
    <col min="3140" max="3355" width="11.42578125" style="367"/>
    <col min="3356" max="3356" width="13.5703125" style="367" customWidth="1"/>
    <col min="3357" max="3357" width="19" style="367" customWidth="1"/>
    <col min="3358" max="3358" width="13.5703125" style="367" customWidth="1"/>
    <col min="3359" max="3359" width="19.7109375" style="367" customWidth="1"/>
    <col min="3360" max="3360" width="13.5703125" style="367" customWidth="1"/>
    <col min="3361" max="3362" width="14.7109375" style="367" customWidth="1"/>
    <col min="3363" max="3363" width="36.140625" style="367" customWidth="1"/>
    <col min="3364" max="3364" width="29.42578125" style="367" customWidth="1"/>
    <col min="3365" max="3365" width="16" style="367" customWidth="1"/>
    <col min="3366" max="3366" width="38.28515625" style="367" customWidth="1"/>
    <col min="3367" max="3367" width="12" style="367" customWidth="1"/>
    <col min="3368" max="3368" width="38.140625" style="367" customWidth="1"/>
    <col min="3369" max="3369" width="17.85546875" style="367" bestFit="1" customWidth="1"/>
    <col min="3370" max="3370" width="24.7109375" style="367" customWidth="1"/>
    <col min="3371" max="3371" width="36.42578125" style="367" customWidth="1"/>
    <col min="3372" max="3372" width="46.7109375" style="367" customWidth="1"/>
    <col min="3373" max="3373" width="43.7109375" style="367" customWidth="1"/>
    <col min="3374" max="3374" width="25.42578125" style="367" customWidth="1"/>
    <col min="3375" max="3375" width="12.42578125" style="367" customWidth="1"/>
    <col min="3376" max="3376" width="16.42578125" style="367" customWidth="1"/>
    <col min="3377" max="3377" width="13.42578125" style="367" customWidth="1"/>
    <col min="3378" max="3378" width="8.5703125" style="367" customWidth="1"/>
    <col min="3379" max="3382" width="11.42578125" style="367" customWidth="1"/>
    <col min="3383" max="3383" width="12.7109375" style="367" customWidth="1"/>
    <col min="3384" max="3384" width="11.85546875" style="367" customWidth="1"/>
    <col min="3385" max="3385" width="7.85546875" style="367" customWidth="1"/>
    <col min="3386" max="3386" width="7.5703125" style="367" customWidth="1"/>
    <col min="3387" max="3387" width="8.85546875" style="367" customWidth="1"/>
    <col min="3388" max="3388" width="8.140625" style="367" customWidth="1"/>
    <col min="3389" max="3389" width="7.85546875" style="367" customWidth="1"/>
    <col min="3390" max="3390" width="8.5703125" style="367" customWidth="1"/>
    <col min="3391" max="3391" width="8.28515625" style="367" customWidth="1"/>
    <col min="3392" max="3392" width="11.42578125" style="367" customWidth="1"/>
    <col min="3393" max="3393" width="18" style="367" customWidth="1"/>
    <col min="3394" max="3394" width="21.42578125" style="367" customWidth="1"/>
    <col min="3395" max="3395" width="27.85546875" style="367" customWidth="1"/>
    <col min="3396" max="3611" width="11.42578125" style="367"/>
    <col min="3612" max="3612" width="13.5703125" style="367" customWidth="1"/>
    <col min="3613" max="3613" width="19" style="367" customWidth="1"/>
    <col min="3614" max="3614" width="13.5703125" style="367" customWidth="1"/>
    <col min="3615" max="3615" width="19.7109375" style="367" customWidth="1"/>
    <col min="3616" max="3616" width="13.5703125" style="367" customWidth="1"/>
    <col min="3617" max="3618" width="14.7109375" style="367" customWidth="1"/>
    <col min="3619" max="3619" width="36.140625" style="367" customWidth="1"/>
    <col min="3620" max="3620" width="29.42578125" style="367" customWidth="1"/>
    <col min="3621" max="3621" width="16" style="367" customWidth="1"/>
    <col min="3622" max="3622" width="38.28515625" style="367" customWidth="1"/>
    <col min="3623" max="3623" width="12" style="367" customWidth="1"/>
    <col min="3624" max="3624" width="38.140625" style="367" customWidth="1"/>
    <col min="3625" max="3625" width="17.85546875" style="367" bestFit="1" customWidth="1"/>
    <col min="3626" max="3626" width="24.7109375" style="367" customWidth="1"/>
    <col min="3627" max="3627" width="36.42578125" style="367" customWidth="1"/>
    <col min="3628" max="3628" width="46.7109375" style="367" customWidth="1"/>
    <col min="3629" max="3629" width="43.7109375" style="367" customWidth="1"/>
    <col min="3630" max="3630" width="25.42578125" style="367" customWidth="1"/>
    <col min="3631" max="3631" width="12.42578125" style="367" customWidth="1"/>
    <col min="3632" max="3632" width="16.42578125" style="367" customWidth="1"/>
    <col min="3633" max="3633" width="13.42578125" style="367" customWidth="1"/>
    <col min="3634" max="3634" width="8.5703125" style="367" customWidth="1"/>
    <col min="3635" max="3638" width="11.42578125" style="367" customWidth="1"/>
    <col min="3639" max="3639" width="12.7109375" style="367" customWidth="1"/>
    <col min="3640" max="3640" width="11.85546875" style="367" customWidth="1"/>
    <col min="3641" max="3641" width="7.85546875" style="367" customWidth="1"/>
    <col min="3642" max="3642" width="7.5703125" style="367" customWidth="1"/>
    <col min="3643" max="3643" width="8.85546875" style="367" customWidth="1"/>
    <col min="3644" max="3644" width="8.140625" style="367" customWidth="1"/>
    <col min="3645" max="3645" width="7.85546875" style="367" customWidth="1"/>
    <col min="3646" max="3646" width="8.5703125" style="367" customWidth="1"/>
    <col min="3647" max="3647" width="8.28515625" style="367" customWidth="1"/>
    <col min="3648" max="3648" width="11.42578125" style="367" customWidth="1"/>
    <col min="3649" max="3649" width="18" style="367" customWidth="1"/>
    <col min="3650" max="3650" width="21.42578125" style="367" customWidth="1"/>
    <col min="3651" max="3651" width="27.85546875" style="367" customWidth="1"/>
    <col min="3652" max="3867" width="11.42578125" style="367"/>
    <col min="3868" max="3868" width="13.5703125" style="367" customWidth="1"/>
    <col min="3869" max="3869" width="19" style="367" customWidth="1"/>
    <col min="3870" max="3870" width="13.5703125" style="367" customWidth="1"/>
    <col min="3871" max="3871" width="19.7109375" style="367" customWidth="1"/>
    <col min="3872" max="3872" width="13.5703125" style="367" customWidth="1"/>
    <col min="3873" max="3874" width="14.7109375" style="367" customWidth="1"/>
    <col min="3875" max="3875" width="36.140625" style="367" customWidth="1"/>
    <col min="3876" max="3876" width="29.42578125" style="367" customWidth="1"/>
    <col min="3877" max="3877" width="16" style="367" customWidth="1"/>
    <col min="3878" max="3878" width="38.28515625" style="367" customWidth="1"/>
    <col min="3879" max="3879" width="12" style="367" customWidth="1"/>
    <col min="3880" max="3880" width="38.140625" style="367" customWidth="1"/>
    <col min="3881" max="3881" width="17.85546875" style="367" bestFit="1" customWidth="1"/>
    <col min="3882" max="3882" width="24.7109375" style="367" customWidth="1"/>
    <col min="3883" max="3883" width="36.42578125" style="367" customWidth="1"/>
    <col min="3884" max="3884" width="46.7109375" style="367" customWidth="1"/>
    <col min="3885" max="3885" width="43.7109375" style="367" customWidth="1"/>
    <col min="3886" max="3886" width="25.42578125" style="367" customWidth="1"/>
    <col min="3887" max="3887" width="12.42578125" style="367" customWidth="1"/>
    <col min="3888" max="3888" width="16.42578125" style="367" customWidth="1"/>
    <col min="3889" max="3889" width="13.42578125" style="367" customWidth="1"/>
    <col min="3890" max="3890" width="8.5703125" style="367" customWidth="1"/>
    <col min="3891" max="3894" width="11.42578125" style="367" customWidth="1"/>
    <col min="3895" max="3895" width="12.7109375" style="367" customWidth="1"/>
    <col min="3896" max="3896" width="11.85546875" style="367" customWidth="1"/>
    <col min="3897" max="3897" width="7.85546875" style="367" customWidth="1"/>
    <col min="3898" max="3898" width="7.5703125" style="367" customWidth="1"/>
    <col min="3899" max="3899" width="8.85546875" style="367" customWidth="1"/>
    <col min="3900" max="3900" width="8.140625" style="367" customWidth="1"/>
    <col min="3901" max="3901" width="7.85546875" style="367" customWidth="1"/>
    <col min="3902" max="3902" width="8.5703125" style="367" customWidth="1"/>
    <col min="3903" max="3903" width="8.28515625" style="367" customWidth="1"/>
    <col min="3904" max="3904" width="11.42578125" style="367" customWidth="1"/>
    <col min="3905" max="3905" width="18" style="367" customWidth="1"/>
    <col min="3906" max="3906" width="21.42578125" style="367" customWidth="1"/>
    <col min="3907" max="3907" width="27.85546875" style="367" customWidth="1"/>
    <col min="3908" max="4123" width="11.42578125" style="367"/>
    <col min="4124" max="4124" width="13.5703125" style="367" customWidth="1"/>
    <col min="4125" max="4125" width="19" style="367" customWidth="1"/>
    <col min="4126" max="4126" width="13.5703125" style="367" customWidth="1"/>
    <col min="4127" max="4127" width="19.7109375" style="367" customWidth="1"/>
    <col min="4128" max="4128" width="13.5703125" style="367" customWidth="1"/>
    <col min="4129" max="4130" width="14.7109375" style="367" customWidth="1"/>
    <col min="4131" max="4131" width="36.140625" style="367" customWidth="1"/>
    <col min="4132" max="4132" width="29.42578125" style="367" customWidth="1"/>
    <col min="4133" max="4133" width="16" style="367" customWidth="1"/>
    <col min="4134" max="4134" width="38.28515625" style="367" customWidth="1"/>
    <col min="4135" max="4135" width="12" style="367" customWidth="1"/>
    <col min="4136" max="4136" width="38.140625" style="367" customWidth="1"/>
    <col min="4137" max="4137" width="17.85546875" style="367" bestFit="1" customWidth="1"/>
    <col min="4138" max="4138" width="24.7109375" style="367" customWidth="1"/>
    <col min="4139" max="4139" width="36.42578125" style="367" customWidth="1"/>
    <col min="4140" max="4140" width="46.7109375" style="367" customWidth="1"/>
    <col min="4141" max="4141" width="43.7109375" style="367" customWidth="1"/>
    <col min="4142" max="4142" width="25.42578125" style="367" customWidth="1"/>
    <col min="4143" max="4143" width="12.42578125" style="367" customWidth="1"/>
    <col min="4144" max="4144" width="16.42578125" style="367" customWidth="1"/>
    <col min="4145" max="4145" width="13.42578125" style="367" customWidth="1"/>
    <col min="4146" max="4146" width="8.5703125" style="367" customWidth="1"/>
    <col min="4147" max="4150" width="11.42578125" style="367" customWidth="1"/>
    <col min="4151" max="4151" width="12.7109375" style="367" customWidth="1"/>
    <col min="4152" max="4152" width="11.85546875" style="367" customWidth="1"/>
    <col min="4153" max="4153" width="7.85546875" style="367" customWidth="1"/>
    <col min="4154" max="4154" width="7.5703125" style="367" customWidth="1"/>
    <col min="4155" max="4155" width="8.85546875" style="367" customWidth="1"/>
    <col min="4156" max="4156" width="8.140625" style="367" customWidth="1"/>
    <col min="4157" max="4157" width="7.85546875" style="367" customWidth="1"/>
    <col min="4158" max="4158" width="8.5703125" style="367" customWidth="1"/>
    <col min="4159" max="4159" width="8.28515625" style="367" customWidth="1"/>
    <col min="4160" max="4160" width="11.42578125" style="367" customWidth="1"/>
    <col min="4161" max="4161" width="18" style="367" customWidth="1"/>
    <col min="4162" max="4162" width="21.42578125" style="367" customWidth="1"/>
    <col min="4163" max="4163" width="27.85546875" style="367" customWidth="1"/>
    <col min="4164" max="4379" width="11.42578125" style="367"/>
    <col min="4380" max="4380" width="13.5703125" style="367" customWidth="1"/>
    <col min="4381" max="4381" width="19" style="367" customWidth="1"/>
    <col min="4382" max="4382" width="13.5703125" style="367" customWidth="1"/>
    <col min="4383" max="4383" width="19.7109375" style="367" customWidth="1"/>
    <col min="4384" max="4384" width="13.5703125" style="367" customWidth="1"/>
    <col min="4385" max="4386" width="14.7109375" style="367" customWidth="1"/>
    <col min="4387" max="4387" width="36.140625" style="367" customWidth="1"/>
    <col min="4388" max="4388" width="29.42578125" style="367" customWidth="1"/>
    <col min="4389" max="4389" width="16" style="367" customWidth="1"/>
    <col min="4390" max="4390" width="38.28515625" style="367" customWidth="1"/>
    <col min="4391" max="4391" width="12" style="367" customWidth="1"/>
    <col min="4392" max="4392" width="38.140625" style="367" customWidth="1"/>
    <col min="4393" max="4393" width="17.85546875" style="367" bestFit="1" customWidth="1"/>
    <col min="4394" max="4394" width="24.7109375" style="367" customWidth="1"/>
    <col min="4395" max="4395" width="36.42578125" style="367" customWidth="1"/>
    <col min="4396" max="4396" width="46.7109375" style="367" customWidth="1"/>
    <col min="4397" max="4397" width="43.7109375" style="367" customWidth="1"/>
    <col min="4398" max="4398" width="25.42578125" style="367" customWidth="1"/>
    <col min="4399" max="4399" width="12.42578125" style="367" customWidth="1"/>
    <col min="4400" max="4400" width="16.42578125" style="367" customWidth="1"/>
    <col min="4401" max="4401" width="13.42578125" style="367" customWidth="1"/>
    <col min="4402" max="4402" width="8.5703125" style="367" customWidth="1"/>
    <col min="4403" max="4406" width="11.42578125" style="367" customWidth="1"/>
    <col min="4407" max="4407" width="12.7109375" style="367" customWidth="1"/>
    <col min="4408" max="4408" width="11.85546875" style="367" customWidth="1"/>
    <col min="4409" max="4409" width="7.85546875" style="367" customWidth="1"/>
    <col min="4410" max="4410" width="7.5703125" style="367" customWidth="1"/>
    <col min="4411" max="4411" width="8.85546875" style="367" customWidth="1"/>
    <col min="4412" max="4412" width="8.140625" style="367" customWidth="1"/>
    <col min="4413" max="4413" width="7.85546875" style="367" customWidth="1"/>
    <col min="4414" max="4414" width="8.5703125" style="367" customWidth="1"/>
    <col min="4415" max="4415" width="8.28515625" style="367" customWidth="1"/>
    <col min="4416" max="4416" width="11.42578125" style="367" customWidth="1"/>
    <col min="4417" max="4417" width="18" style="367" customWidth="1"/>
    <col min="4418" max="4418" width="21.42578125" style="367" customWidth="1"/>
    <col min="4419" max="4419" width="27.85546875" style="367" customWidth="1"/>
    <col min="4420" max="4635" width="11.42578125" style="367"/>
    <col min="4636" max="4636" width="13.5703125" style="367" customWidth="1"/>
    <col min="4637" max="4637" width="19" style="367" customWidth="1"/>
    <col min="4638" max="4638" width="13.5703125" style="367" customWidth="1"/>
    <col min="4639" max="4639" width="19.7109375" style="367" customWidth="1"/>
    <col min="4640" max="4640" width="13.5703125" style="367" customWidth="1"/>
    <col min="4641" max="4642" width="14.7109375" style="367" customWidth="1"/>
    <col min="4643" max="4643" width="36.140625" style="367" customWidth="1"/>
    <col min="4644" max="4644" width="29.42578125" style="367" customWidth="1"/>
    <col min="4645" max="4645" width="16" style="367" customWidth="1"/>
    <col min="4646" max="4646" width="38.28515625" style="367" customWidth="1"/>
    <col min="4647" max="4647" width="12" style="367" customWidth="1"/>
    <col min="4648" max="4648" width="38.140625" style="367" customWidth="1"/>
    <col min="4649" max="4649" width="17.85546875" style="367" bestFit="1" customWidth="1"/>
    <col min="4650" max="4650" width="24.7109375" style="367" customWidth="1"/>
    <col min="4651" max="4651" width="36.42578125" style="367" customWidth="1"/>
    <col min="4652" max="4652" width="46.7109375" style="367" customWidth="1"/>
    <col min="4653" max="4653" width="43.7109375" style="367" customWidth="1"/>
    <col min="4654" max="4654" width="25.42578125" style="367" customWidth="1"/>
    <col min="4655" max="4655" width="12.42578125" style="367" customWidth="1"/>
    <col min="4656" max="4656" width="16.42578125" style="367" customWidth="1"/>
    <col min="4657" max="4657" width="13.42578125" style="367" customWidth="1"/>
    <col min="4658" max="4658" width="8.5703125" style="367" customWidth="1"/>
    <col min="4659" max="4662" width="11.42578125" style="367" customWidth="1"/>
    <col min="4663" max="4663" width="12.7109375" style="367" customWidth="1"/>
    <col min="4664" max="4664" width="11.85546875" style="367" customWidth="1"/>
    <col min="4665" max="4665" width="7.85546875" style="367" customWidth="1"/>
    <col min="4666" max="4666" width="7.5703125" style="367" customWidth="1"/>
    <col min="4667" max="4667" width="8.85546875" style="367" customWidth="1"/>
    <col min="4668" max="4668" width="8.140625" style="367" customWidth="1"/>
    <col min="4669" max="4669" width="7.85546875" style="367" customWidth="1"/>
    <col min="4670" max="4670" width="8.5703125" style="367" customWidth="1"/>
    <col min="4671" max="4671" width="8.28515625" style="367" customWidth="1"/>
    <col min="4672" max="4672" width="11.42578125" style="367" customWidth="1"/>
    <col min="4673" max="4673" width="18" style="367" customWidth="1"/>
    <col min="4674" max="4674" width="21.42578125" style="367" customWidth="1"/>
    <col min="4675" max="4675" width="27.85546875" style="367" customWidth="1"/>
    <col min="4676" max="4891" width="11.42578125" style="367"/>
    <col min="4892" max="4892" width="13.5703125" style="367" customWidth="1"/>
    <col min="4893" max="4893" width="19" style="367" customWidth="1"/>
    <col min="4894" max="4894" width="13.5703125" style="367" customWidth="1"/>
    <col min="4895" max="4895" width="19.7109375" style="367" customWidth="1"/>
    <col min="4896" max="4896" width="13.5703125" style="367" customWidth="1"/>
    <col min="4897" max="4898" width="14.7109375" style="367" customWidth="1"/>
    <col min="4899" max="4899" width="36.140625" style="367" customWidth="1"/>
    <col min="4900" max="4900" width="29.42578125" style="367" customWidth="1"/>
    <col min="4901" max="4901" width="16" style="367" customWidth="1"/>
    <col min="4902" max="4902" width="38.28515625" style="367" customWidth="1"/>
    <col min="4903" max="4903" width="12" style="367" customWidth="1"/>
    <col min="4904" max="4904" width="38.140625" style="367" customWidth="1"/>
    <col min="4905" max="4905" width="17.85546875" style="367" bestFit="1" customWidth="1"/>
    <col min="4906" max="4906" width="24.7109375" style="367" customWidth="1"/>
    <col min="4907" max="4907" width="36.42578125" style="367" customWidth="1"/>
    <col min="4908" max="4908" width="46.7109375" style="367" customWidth="1"/>
    <col min="4909" max="4909" width="43.7109375" style="367" customWidth="1"/>
    <col min="4910" max="4910" width="25.42578125" style="367" customWidth="1"/>
    <col min="4911" max="4911" width="12.42578125" style="367" customWidth="1"/>
    <col min="4912" max="4912" width="16.42578125" style="367" customWidth="1"/>
    <col min="4913" max="4913" width="13.42578125" style="367" customWidth="1"/>
    <col min="4914" max="4914" width="8.5703125" style="367" customWidth="1"/>
    <col min="4915" max="4918" width="11.42578125" style="367" customWidth="1"/>
    <col min="4919" max="4919" width="12.7109375" style="367" customWidth="1"/>
    <col min="4920" max="4920" width="11.85546875" style="367" customWidth="1"/>
    <col min="4921" max="4921" width="7.85546875" style="367" customWidth="1"/>
    <col min="4922" max="4922" width="7.5703125" style="367" customWidth="1"/>
    <col min="4923" max="4923" width="8.85546875" style="367" customWidth="1"/>
    <col min="4924" max="4924" width="8.140625" style="367" customWidth="1"/>
    <col min="4925" max="4925" width="7.85546875" style="367" customWidth="1"/>
    <col min="4926" max="4926" width="8.5703125" style="367" customWidth="1"/>
    <col min="4927" max="4927" width="8.28515625" style="367" customWidth="1"/>
    <col min="4928" max="4928" width="11.42578125" style="367" customWidth="1"/>
    <col min="4929" max="4929" width="18" style="367" customWidth="1"/>
    <col min="4930" max="4930" width="21.42578125" style="367" customWidth="1"/>
    <col min="4931" max="4931" width="27.85546875" style="367" customWidth="1"/>
    <col min="4932" max="5147" width="11.42578125" style="367"/>
    <col min="5148" max="5148" width="13.5703125" style="367" customWidth="1"/>
    <col min="5149" max="5149" width="19" style="367" customWidth="1"/>
    <col min="5150" max="5150" width="13.5703125" style="367" customWidth="1"/>
    <col min="5151" max="5151" width="19.7109375" style="367" customWidth="1"/>
    <col min="5152" max="5152" width="13.5703125" style="367" customWidth="1"/>
    <col min="5153" max="5154" width="14.7109375" style="367" customWidth="1"/>
    <col min="5155" max="5155" width="36.140625" style="367" customWidth="1"/>
    <col min="5156" max="5156" width="29.42578125" style="367" customWidth="1"/>
    <col min="5157" max="5157" width="16" style="367" customWidth="1"/>
    <col min="5158" max="5158" width="38.28515625" style="367" customWidth="1"/>
    <col min="5159" max="5159" width="12" style="367" customWidth="1"/>
    <col min="5160" max="5160" width="38.140625" style="367" customWidth="1"/>
    <col min="5161" max="5161" width="17.85546875" style="367" bestFit="1" customWidth="1"/>
    <col min="5162" max="5162" width="24.7109375" style="367" customWidth="1"/>
    <col min="5163" max="5163" width="36.42578125" style="367" customWidth="1"/>
    <col min="5164" max="5164" width="46.7109375" style="367" customWidth="1"/>
    <col min="5165" max="5165" width="43.7109375" style="367" customWidth="1"/>
    <col min="5166" max="5166" width="25.42578125" style="367" customWidth="1"/>
    <col min="5167" max="5167" width="12.42578125" style="367" customWidth="1"/>
    <col min="5168" max="5168" width="16.42578125" style="367" customWidth="1"/>
    <col min="5169" max="5169" width="13.42578125" style="367" customWidth="1"/>
    <col min="5170" max="5170" width="8.5703125" style="367" customWidth="1"/>
    <col min="5171" max="5174" width="11.42578125" style="367" customWidth="1"/>
    <col min="5175" max="5175" width="12.7109375" style="367" customWidth="1"/>
    <col min="5176" max="5176" width="11.85546875" style="367" customWidth="1"/>
    <col min="5177" max="5177" width="7.85546875" style="367" customWidth="1"/>
    <col min="5178" max="5178" width="7.5703125" style="367" customWidth="1"/>
    <col min="5179" max="5179" width="8.85546875" style="367" customWidth="1"/>
    <col min="5180" max="5180" width="8.140625" style="367" customWidth="1"/>
    <col min="5181" max="5181" width="7.85546875" style="367" customWidth="1"/>
    <col min="5182" max="5182" width="8.5703125" style="367" customWidth="1"/>
    <col min="5183" max="5183" width="8.28515625" style="367" customWidth="1"/>
    <col min="5184" max="5184" width="11.42578125" style="367" customWidth="1"/>
    <col min="5185" max="5185" width="18" style="367" customWidth="1"/>
    <col min="5186" max="5186" width="21.42578125" style="367" customWidth="1"/>
    <col min="5187" max="5187" width="27.85546875" style="367" customWidth="1"/>
    <col min="5188" max="5403" width="11.42578125" style="367"/>
    <col min="5404" max="5404" width="13.5703125" style="367" customWidth="1"/>
    <col min="5405" max="5405" width="19" style="367" customWidth="1"/>
    <col min="5406" max="5406" width="13.5703125" style="367" customWidth="1"/>
    <col min="5407" max="5407" width="19.7109375" style="367" customWidth="1"/>
    <col min="5408" max="5408" width="13.5703125" style="367" customWidth="1"/>
    <col min="5409" max="5410" width="14.7109375" style="367" customWidth="1"/>
    <col min="5411" max="5411" width="36.140625" style="367" customWidth="1"/>
    <col min="5412" max="5412" width="29.42578125" style="367" customWidth="1"/>
    <col min="5413" max="5413" width="16" style="367" customWidth="1"/>
    <col min="5414" max="5414" width="38.28515625" style="367" customWidth="1"/>
    <col min="5415" max="5415" width="12" style="367" customWidth="1"/>
    <col min="5416" max="5416" width="38.140625" style="367" customWidth="1"/>
    <col min="5417" max="5417" width="17.85546875" style="367" bestFit="1" customWidth="1"/>
    <col min="5418" max="5418" width="24.7109375" style="367" customWidth="1"/>
    <col min="5419" max="5419" width="36.42578125" style="367" customWidth="1"/>
    <col min="5420" max="5420" width="46.7109375" style="367" customWidth="1"/>
    <col min="5421" max="5421" width="43.7109375" style="367" customWidth="1"/>
    <col min="5422" max="5422" width="25.42578125" style="367" customWidth="1"/>
    <col min="5423" max="5423" width="12.42578125" style="367" customWidth="1"/>
    <col min="5424" max="5424" width="16.42578125" style="367" customWidth="1"/>
    <col min="5425" max="5425" width="13.42578125" style="367" customWidth="1"/>
    <col min="5426" max="5426" width="8.5703125" style="367" customWidth="1"/>
    <col min="5427" max="5430" width="11.42578125" style="367" customWidth="1"/>
    <col min="5431" max="5431" width="12.7109375" style="367" customWidth="1"/>
    <col min="5432" max="5432" width="11.85546875" style="367" customWidth="1"/>
    <col min="5433" max="5433" width="7.85546875" style="367" customWidth="1"/>
    <col min="5434" max="5434" width="7.5703125" style="367" customWidth="1"/>
    <col min="5435" max="5435" width="8.85546875" style="367" customWidth="1"/>
    <col min="5436" max="5436" width="8.140625" style="367" customWidth="1"/>
    <col min="5437" max="5437" width="7.85546875" style="367" customWidth="1"/>
    <col min="5438" max="5438" width="8.5703125" style="367" customWidth="1"/>
    <col min="5439" max="5439" width="8.28515625" style="367" customWidth="1"/>
    <col min="5440" max="5440" width="11.42578125" style="367" customWidth="1"/>
    <col min="5441" max="5441" width="18" style="367" customWidth="1"/>
    <col min="5442" max="5442" width="21.42578125" style="367" customWidth="1"/>
    <col min="5443" max="5443" width="27.85546875" style="367" customWidth="1"/>
    <col min="5444" max="5659" width="11.42578125" style="367"/>
    <col min="5660" max="5660" width="13.5703125" style="367" customWidth="1"/>
    <col min="5661" max="5661" width="19" style="367" customWidth="1"/>
    <col min="5662" max="5662" width="13.5703125" style="367" customWidth="1"/>
    <col min="5663" max="5663" width="19.7109375" style="367" customWidth="1"/>
    <col min="5664" max="5664" width="13.5703125" style="367" customWidth="1"/>
    <col min="5665" max="5666" width="14.7109375" style="367" customWidth="1"/>
    <col min="5667" max="5667" width="36.140625" style="367" customWidth="1"/>
    <col min="5668" max="5668" width="29.42578125" style="367" customWidth="1"/>
    <col min="5669" max="5669" width="16" style="367" customWidth="1"/>
    <col min="5670" max="5670" width="38.28515625" style="367" customWidth="1"/>
    <col min="5671" max="5671" width="12" style="367" customWidth="1"/>
    <col min="5672" max="5672" width="38.140625" style="367" customWidth="1"/>
    <col min="5673" max="5673" width="17.85546875" style="367" bestFit="1" customWidth="1"/>
    <col min="5674" max="5674" width="24.7109375" style="367" customWidth="1"/>
    <col min="5675" max="5675" width="36.42578125" style="367" customWidth="1"/>
    <col min="5676" max="5676" width="46.7109375" style="367" customWidth="1"/>
    <col min="5677" max="5677" width="43.7109375" style="367" customWidth="1"/>
    <col min="5678" max="5678" width="25.42578125" style="367" customWidth="1"/>
    <col min="5679" max="5679" width="12.42578125" style="367" customWidth="1"/>
    <col min="5680" max="5680" width="16.42578125" style="367" customWidth="1"/>
    <col min="5681" max="5681" width="13.42578125" style="367" customWidth="1"/>
    <col min="5682" max="5682" width="8.5703125" style="367" customWidth="1"/>
    <col min="5683" max="5686" width="11.42578125" style="367" customWidth="1"/>
    <col min="5687" max="5687" width="12.7109375" style="367" customWidth="1"/>
    <col min="5688" max="5688" width="11.85546875" style="367" customWidth="1"/>
    <col min="5689" max="5689" width="7.85546875" style="367" customWidth="1"/>
    <col min="5690" max="5690" width="7.5703125" style="367" customWidth="1"/>
    <col min="5691" max="5691" width="8.85546875" style="367" customWidth="1"/>
    <col min="5692" max="5692" width="8.140625" style="367" customWidth="1"/>
    <col min="5693" max="5693" width="7.85546875" style="367" customWidth="1"/>
    <col min="5694" max="5694" width="8.5703125" style="367" customWidth="1"/>
    <col min="5695" max="5695" width="8.28515625" style="367" customWidth="1"/>
    <col min="5696" max="5696" width="11.42578125" style="367" customWidth="1"/>
    <col min="5697" max="5697" width="18" style="367" customWidth="1"/>
    <col min="5698" max="5698" width="21.42578125" style="367" customWidth="1"/>
    <col min="5699" max="5699" width="27.85546875" style="367" customWidth="1"/>
    <col min="5700" max="5915" width="11.42578125" style="367"/>
    <col min="5916" max="5916" width="13.5703125" style="367" customWidth="1"/>
    <col min="5917" max="5917" width="19" style="367" customWidth="1"/>
    <col min="5918" max="5918" width="13.5703125" style="367" customWidth="1"/>
    <col min="5919" max="5919" width="19.7109375" style="367" customWidth="1"/>
    <col min="5920" max="5920" width="13.5703125" style="367" customWidth="1"/>
    <col min="5921" max="5922" width="14.7109375" style="367" customWidth="1"/>
    <col min="5923" max="5923" width="36.140625" style="367" customWidth="1"/>
    <col min="5924" max="5924" width="29.42578125" style="367" customWidth="1"/>
    <col min="5925" max="5925" width="16" style="367" customWidth="1"/>
    <col min="5926" max="5926" width="38.28515625" style="367" customWidth="1"/>
    <col min="5927" max="5927" width="12" style="367" customWidth="1"/>
    <col min="5928" max="5928" width="38.140625" style="367" customWidth="1"/>
    <col min="5929" max="5929" width="17.85546875" style="367" bestFit="1" customWidth="1"/>
    <col min="5930" max="5930" width="24.7109375" style="367" customWidth="1"/>
    <col min="5931" max="5931" width="36.42578125" style="367" customWidth="1"/>
    <col min="5932" max="5932" width="46.7109375" style="367" customWidth="1"/>
    <col min="5933" max="5933" width="43.7109375" style="367" customWidth="1"/>
    <col min="5934" max="5934" width="25.42578125" style="367" customWidth="1"/>
    <col min="5935" max="5935" width="12.42578125" style="367" customWidth="1"/>
    <col min="5936" max="5936" width="16.42578125" style="367" customWidth="1"/>
    <col min="5937" max="5937" width="13.42578125" style="367" customWidth="1"/>
    <col min="5938" max="5938" width="8.5703125" style="367" customWidth="1"/>
    <col min="5939" max="5942" width="11.42578125" style="367" customWidth="1"/>
    <col min="5943" max="5943" width="12.7109375" style="367" customWidth="1"/>
    <col min="5944" max="5944" width="11.85546875" style="367" customWidth="1"/>
    <col min="5945" max="5945" width="7.85546875" style="367" customWidth="1"/>
    <col min="5946" max="5946" width="7.5703125" style="367" customWidth="1"/>
    <col min="5947" max="5947" width="8.85546875" style="367" customWidth="1"/>
    <col min="5948" max="5948" width="8.140625" style="367" customWidth="1"/>
    <col min="5949" max="5949" width="7.85546875" style="367" customWidth="1"/>
    <col min="5950" max="5950" width="8.5703125" style="367" customWidth="1"/>
    <col min="5951" max="5951" width="8.28515625" style="367" customWidth="1"/>
    <col min="5952" max="5952" width="11.42578125" style="367" customWidth="1"/>
    <col min="5953" max="5953" width="18" style="367" customWidth="1"/>
    <col min="5954" max="5954" width="21.42578125" style="367" customWidth="1"/>
    <col min="5955" max="5955" width="27.85546875" style="367" customWidth="1"/>
    <col min="5956" max="6171" width="11.42578125" style="367"/>
    <col min="6172" max="6172" width="13.5703125" style="367" customWidth="1"/>
    <col min="6173" max="6173" width="19" style="367" customWidth="1"/>
    <col min="6174" max="6174" width="13.5703125" style="367" customWidth="1"/>
    <col min="6175" max="6175" width="19.7109375" style="367" customWidth="1"/>
    <col min="6176" max="6176" width="13.5703125" style="367" customWidth="1"/>
    <col min="6177" max="6178" width="14.7109375" style="367" customWidth="1"/>
    <col min="6179" max="6179" width="36.140625" style="367" customWidth="1"/>
    <col min="6180" max="6180" width="29.42578125" style="367" customWidth="1"/>
    <col min="6181" max="6181" width="16" style="367" customWidth="1"/>
    <col min="6182" max="6182" width="38.28515625" style="367" customWidth="1"/>
    <col min="6183" max="6183" width="12" style="367" customWidth="1"/>
    <col min="6184" max="6184" width="38.140625" style="367" customWidth="1"/>
    <col min="6185" max="6185" width="17.85546875" style="367" bestFit="1" customWidth="1"/>
    <col min="6186" max="6186" width="24.7109375" style="367" customWidth="1"/>
    <col min="6187" max="6187" width="36.42578125" style="367" customWidth="1"/>
    <col min="6188" max="6188" width="46.7109375" style="367" customWidth="1"/>
    <col min="6189" max="6189" width="43.7109375" style="367" customWidth="1"/>
    <col min="6190" max="6190" width="25.42578125" style="367" customWidth="1"/>
    <col min="6191" max="6191" width="12.42578125" style="367" customWidth="1"/>
    <col min="6192" max="6192" width="16.42578125" style="367" customWidth="1"/>
    <col min="6193" max="6193" width="13.42578125" style="367" customWidth="1"/>
    <col min="6194" max="6194" width="8.5703125" style="367" customWidth="1"/>
    <col min="6195" max="6198" width="11.42578125" style="367" customWidth="1"/>
    <col min="6199" max="6199" width="12.7109375" style="367" customWidth="1"/>
    <col min="6200" max="6200" width="11.85546875" style="367" customWidth="1"/>
    <col min="6201" max="6201" width="7.85546875" style="367" customWidth="1"/>
    <col min="6202" max="6202" width="7.5703125" style="367" customWidth="1"/>
    <col min="6203" max="6203" width="8.85546875" style="367" customWidth="1"/>
    <col min="6204" max="6204" width="8.140625" style="367" customWidth="1"/>
    <col min="6205" max="6205" width="7.85546875" style="367" customWidth="1"/>
    <col min="6206" max="6206" width="8.5703125" style="367" customWidth="1"/>
    <col min="6207" max="6207" width="8.28515625" style="367" customWidth="1"/>
    <col min="6208" max="6208" width="11.42578125" style="367" customWidth="1"/>
    <col min="6209" max="6209" width="18" style="367" customWidth="1"/>
    <col min="6210" max="6210" width="21.42578125" style="367" customWidth="1"/>
    <col min="6211" max="6211" width="27.85546875" style="367" customWidth="1"/>
    <col min="6212" max="6427" width="11.42578125" style="367"/>
    <col min="6428" max="6428" width="13.5703125" style="367" customWidth="1"/>
    <col min="6429" max="6429" width="19" style="367" customWidth="1"/>
    <col min="6430" max="6430" width="13.5703125" style="367" customWidth="1"/>
    <col min="6431" max="6431" width="19.7109375" style="367" customWidth="1"/>
    <col min="6432" max="6432" width="13.5703125" style="367" customWidth="1"/>
    <col min="6433" max="6434" width="14.7109375" style="367" customWidth="1"/>
    <col min="6435" max="6435" width="36.140625" style="367" customWidth="1"/>
    <col min="6436" max="6436" width="29.42578125" style="367" customWidth="1"/>
    <col min="6437" max="6437" width="16" style="367" customWidth="1"/>
    <col min="6438" max="6438" width="38.28515625" style="367" customWidth="1"/>
    <col min="6439" max="6439" width="12" style="367" customWidth="1"/>
    <col min="6440" max="6440" width="38.140625" style="367" customWidth="1"/>
    <col min="6441" max="6441" width="17.85546875" style="367" bestFit="1" customWidth="1"/>
    <col min="6442" max="6442" width="24.7109375" style="367" customWidth="1"/>
    <col min="6443" max="6443" width="36.42578125" style="367" customWidth="1"/>
    <col min="6444" max="6444" width="46.7109375" style="367" customWidth="1"/>
    <col min="6445" max="6445" width="43.7109375" style="367" customWidth="1"/>
    <col min="6446" max="6446" width="25.42578125" style="367" customWidth="1"/>
    <col min="6447" max="6447" width="12.42578125" style="367" customWidth="1"/>
    <col min="6448" max="6448" width="16.42578125" style="367" customWidth="1"/>
    <col min="6449" max="6449" width="13.42578125" style="367" customWidth="1"/>
    <col min="6450" max="6450" width="8.5703125" style="367" customWidth="1"/>
    <col min="6451" max="6454" width="11.42578125" style="367" customWidth="1"/>
    <col min="6455" max="6455" width="12.7109375" style="367" customWidth="1"/>
    <col min="6456" max="6456" width="11.85546875" style="367" customWidth="1"/>
    <col min="6457" max="6457" width="7.85546875" style="367" customWidth="1"/>
    <col min="6458" max="6458" width="7.5703125" style="367" customWidth="1"/>
    <col min="6459" max="6459" width="8.85546875" style="367" customWidth="1"/>
    <col min="6460" max="6460" width="8.140625" style="367" customWidth="1"/>
    <col min="6461" max="6461" width="7.85546875" style="367" customWidth="1"/>
    <col min="6462" max="6462" width="8.5703125" style="367" customWidth="1"/>
    <col min="6463" max="6463" width="8.28515625" style="367" customWidth="1"/>
    <col min="6464" max="6464" width="11.42578125" style="367" customWidth="1"/>
    <col min="6465" max="6465" width="18" style="367" customWidth="1"/>
    <col min="6466" max="6466" width="21.42578125" style="367" customWidth="1"/>
    <col min="6467" max="6467" width="27.85546875" style="367" customWidth="1"/>
    <col min="6468" max="6683" width="11.42578125" style="367"/>
    <col min="6684" max="6684" width="13.5703125" style="367" customWidth="1"/>
    <col min="6685" max="6685" width="19" style="367" customWidth="1"/>
    <col min="6686" max="6686" width="13.5703125" style="367" customWidth="1"/>
    <col min="6687" max="6687" width="19.7109375" style="367" customWidth="1"/>
    <col min="6688" max="6688" width="13.5703125" style="367" customWidth="1"/>
    <col min="6689" max="6690" width="14.7109375" style="367" customWidth="1"/>
    <col min="6691" max="6691" width="36.140625" style="367" customWidth="1"/>
    <col min="6692" max="6692" width="29.42578125" style="367" customWidth="1"/>
    <col min="6693" max="6693" width="16" style="367" customWidth="1"/>
    <col min="6694" max="6694" width="38.28515625" style="367" customWidth="1"/>
    <col min="6695" max="6695" width="12" style="367" customWidth="1"/>
    <col min="6696" max="6696" width="38.140625" style="367" customWidth="1"/>
    <col min="6697" max="6697" width="17.85546875" style="367" bestFit="1" customWidth="1"/>
    <col min="6698" max="6698" width="24.7109375" style="367" customWidth="1"/>
    <col min="6699" max="6699" width="36.42578125" style="367" customWidth="1"/>
    <col min="6700" max="6700" width="46.7109375" style="367" customWidth="1"/>
    <col min="6701" max="6701" width="43.7109375" style="367" customWidth="1"/>
    <col min="6702" max="6702" width="25.42578125" style="367" customWidth="1"/>
    <col min="6703" max="6703" width="12.42578125" style="367" customWidth="1"/>
    <col min="6704" max="6704" width="16.42578125" style="367" customWidth="1"/>
    <col min="6705" max="6705" width="13.42578125" style="367" customWidth="1"/>
    <col min="6706" max="6706" width="8.5703125" style="367" customWidth="1"/>
    <col min="6707" max="6710" width="11.42578125" style="367" customWidth="1"/>
    <col min="6711" max="6711" width="12.7109375" style="367" customWidth="1"/>
    <col min="6712" max="6712" width="11.85546875" style="367" customWidth="1"/>
    <col min="6713" max="6713" width="7.85546875" style="367" customWidth="1"/>
    <col min="6714" max="6714" width="7.5703125" style="367" customWidth="1"/>
    <col min="6715" max="6715" width="8.85546875" style="367" customWidth="1"/>
    <col min="6716" max="6716" width="8.140625" style="367" customWidth="1"/>
    <col min="6717" max="6717" width="7.85546875" style="367" customWidth="1"/>
    <col min="6718" max="6718" width="8.5703125" style="367" customWidth="1"/>
    <col min="6719" max="6719" width="8.28515625" style="367" customWidth="1"/>
    <col min="6720" max="6720" width="11.42578125" style="367" customWidth="1"/>
    <col min="6721" max="6721" width="18" style="367" customWidth="1"/>
    <col min="6722" max="6722" width="21.42578125" style="367" customWidth="1"/>
    <col min="6723" max="6723" width="27.85546875" style="367" customWidth="1"/>
    <col min="6724" max="6939" width="11.42578125" style="367"/>
    <col min="6940" max="6940" width="13.5703125" style="367" customWidth="1"/>
    <col min="6941" max="6941" width="19" style="367" customWidth="1"/>
    <col min="6942" max="6942" width="13.5703125" style="367" customWidth="1"/>
    <col min="6943" max="6943" width="19.7109375" style="367" customWidth="1"/>
    <col min="6944" max="6944" width="13.5703125" style="367" customWidth="1"/>
    <col min="6945" max="6946" width="14.7109375" style="367" customWidth="1"/>
    <col min="6947" max="6947" width="36.140625" style="367" customWidth="1"/>
    <col min="6948" max="6948" width="29.42578125" style="367" customWidth="1"/>
    <col min="6949" max="6949" width="16" style="367" customWidth="1"/>
    <col min="6950" max="6950" width="38.28515625" style="367" customWidth="1"/>
    <col min="6951" max="6951" width="12" style="367" customWidth="1"/>
    <col min="6952" max="6952" width="38.140625" style="367" customWidth="1"/>
    <col min="6953" max="6953" width="17.85546875" style="367" bestFit="1" customWidth="1"/>
    <col min="6954" max="6954" width="24.7109375" style="367" customWidth="1"/>
    <col min="6955" max="6955" width="36.42578125" style="367" customWidth="1"/>
    <col min="6956" max="6956" width="46.7109375" style="367" customWidth="1"/>
    <col min="6957" max="6957" width="43.7109375" style="367" customWidth="1"/>
    <col min="6958" max="6958" width="25.42578125" style="367" customWidth="1"/>
    <col min="6959" max="6959" width="12.42578125" style="367" customWidth="1"/>
    <col min="6960" max="6960" width="16.42578125" style="367" customWidth="1"/>
    <col min="6961" max="6961" width="13.42578125" style="367" customWidth="1"/>
    <col min="6962" max="6962" width="8.5703125" style="367" customWidth="1"/>
    <col min="6963" max="6966" width="11.42578125" style="367" customWidth="1"/>
    <col min="6967" max="6967" width="12.7109375" style="367" customWidth="1"/>
    <col min="6968" max="6968" width="11.85546875" style="367" customWidth="1"/>
    <col min="6969" max="6969" width="7.85546875" style="367" customWidth="1"/>
    <col min="6970" max="6970" width="7.5703125" style="367" customWidth="1"/>
    <col min="6971" max="6971" width="8.85546875" style="367" customWidth="1"/>
    <col min="6972" max="6972" width="8.140625" style="367" customWidth="1"/>
    <col min="6973" max="6973" width="7.85546875" style="367" customWidth="1"/>
    <col min="6974" max="6974" width="8.5703125" style="367" customWidth="1"/>
    <col min="6975" max="6975" width="8.28515625" style="367" customWidth="1"/>
    <col min="6976" max="6976" width="11.42578125" style="367" customWidth="1"/>
    <col min="6977" max="6977" width="18" style="367" customWidth="1"/>
    <col min="6978" max="6978" width="21.42578125" style="367" customWidth="1"/>
    <col min="6979" max="6979" width="27.85546875" style="367" customWidth="1"/>
    <col min="6980" max="7195" width="11.42578125" style="367"/>
    <col min="7196" max="7196" width="13.5703125" style="367" customWidth="1"/>
    <col min="7197" max="7197" width="19" style="367" customWidth="1"/>
    <col min="7198" max="7198" width="13.5703125" style="367" customWidth="1"/>
    <col min="7199" max="7199" width="19.7109375" style="367" customWidth="1"/>
    <col min="7200" max="7200" width="13.5703125" style="367" customWidth="1"/>
    <col min="7201" max="7202" width="14.7109375" style="367" customWidth="1"/>
    <col min="7203" max="7203" width="36.140625" style="367" customWidth="1"/>
    <col min="7204" max="7204" width="29.42578125" style="367" customWidth="1"/>
    <col min="7205" max="7205" width="16" style="367" customWidth="1"/>
    <col min="7206" max="7206" width="38.28515625" style="367" customWidth="1"/>
    <col min="7207" max="7207" width="12" style="367" customWidth="1"/>
    <col min="7208" max="7208" width="38.140625" style="367" customWidth="1"/>
    <col min="7209" max="7209" width="17.85546875" style="367" bestFit="1" customWidth="1"/>
    <col min="7210" max="7210" width="24.7109375" style="367" customWidth="1"/>
    <col min="7211" max="7211" width="36.42578125" style="367" customWidth="1"/>
    <col min="7212" max="7212" width="46.7109375" style="367" customWidth="1"/>
    <col min="7213" max="7213" width="43.7109375" style="367" customWidth="1"/>
    <col min="7214" max="7214" width="25.42578125" style="367" customWidth="1"/>
    <col min="7215" max="7215" width="12.42578125" style="367" customWidth="1"/>
    <col min="7216" max="7216" width="16.42578125" style="367" customWidth="1"/>
    <col min="7217" max="7217" width="13.42578125" style="367" customWidth="1"/>
    <col min="7218" max="7218" width="8.5703125" style="367" customWidth="1"/>
    <col min="7219" max="7222" width="11.42578125" style="367" customWidth="1"/>
    <col min="7223" max="7223" width="12.7109375" style="367" customWidth="1"/>
    <col min="7224" max="7224" width="11.85546875" style="367" customWidth="1"/>
    <col min="7225" max="7225" width="7.85546875" style="367" customWidth="1"/>
    <col min="7226" max="7226" width="7.5703125" style="367" customWidth="1"/>
    <col min="7227" max="7227" width="8.85546875" style="367" customWidth="1"/>
    <col min="7228" max="7228" width="8.140625" style="367" customWidth="1"/>
    <col min="7229" max="7229" width="7.85546875" style="367" customWidth="1"/>
    <col min="7230" max="7230" width="8.5703125" style="367" customWidth="1"/>
    <col min="7231" max="7231" width="8.28515625" style="367" customWidth="1"/>
    <col min="7232" max="7232" width="11.42578125" style="367" customWidth="1"/>
    <col min="7233" max="7233" width="18" style="367" customWidth="1"/>
    <col min="7234" max="7234" width="21.42578125" style="367" customWidth="1"/>
    <col min="7235" max="7235" width="27.85546875" style="367" customWidth="1"/>
    <col min="7236" max="7451" width="11.42578125" style="367"/>
    <col min="7452" max="7452" width="13.5703125" style="367" customWidth="1"/>
    <col min="7453" max="7453" width="19" style="367" customWidth="1"/>
    <col min="7454" max="7454" width="13.5703125" style="367" customWidth="1"/>
    <col min="7455" max="7455" width="19.7109375" style="367" customWidth="1"/>
    <col min="7456" max="7456" width="13.5703125" style="367" customWidth="1"/>
    <col min="7457" max="7458" width="14.7109375" style="367" customWidth="1"/>
    <col min="7459" max="7459" width="36.140625" style="367" customWidth="1"/>
    <col min="7460" max="7460" width="29.42578125" style="367" customWidth="1"/>
    <col min="7461" max="7461" width="16" style="367" customWidth="1"/>
    <col min="7462" max="7462" width="38.28515625" style="367" customWidth="1"/>
    <col min="7463" max="7463" width="12" style="367" customWidth="1"/>
    <col min="7464" max="7464" width="38.140625" style="367" customWidth="1"/>
    <col min="7465" max="7465" width="17.85546875" style="367" bestFit="1" customWidth="1"/>
    <col min="7466" max="7466" width="24.7109375" style="367" customWidth="1"/>
    <col min="7467" max="7467" width="36.42578125" style="367" customWidth="1"/>
    <col min="7468" max="7468" width="46.7109375" style="367" customWidth="1"/>
    <col min="7469" max="7469" width="43.7109375" style="367" customWidth="1"/>
    <col min="7470" max="7470" width="25.42578125" style="367" customWidth="1"/>
    <col min="7471" max="7471" width="12.42578125" style="367" customWidth="1"/>
    <col min="7472" max="7472" width="16.42578125" style="367" customWidth="1"/>
    <col min="7473" max="7473" width="13.42578125" style="367" customWidth="1"/>
    <col min="7474" max="7474" width="8.5703125" style="367" customWidth="1"/>
    <col min="7475" max="7478" width="11.42578125" style="367" customWidth="1"/>
    <col min="7479" max="7479" width="12.7109375" style="367" customWidth="1"/>
    <col min="7480" max="7480" width="11.85546875" style="367" customWidth="1"/>
    <col min="7481" max="7481" width="7.85546875" style="367" customWidth="1"/>
    <col min="7482" max="7482" width="7.5703125" style="367" customWidth="1"/>
    <col min="7483" max="7483" width="8.85546875" style="367" customWidth="1"/>
    <col min="7484" max="7484" width="8.140625" style="367" customWidth="1"/>
    <col min="7485" max="7485" width="7.85546875" style="367" customWidth="1"/>
    <col min="7486" max="7486" width="8.5703125" style="367" customWidth="1"/>
    <col min="7487" max="7487" width="8.28515625" style="367" customWidth="1"/>
    <col min="7488" max="7488" width="11.42578125" style="367" customWidth="1"/>
    <col min="7489" max="7489" width="18" style="367" customWidth="1"/>
    <col min="7490" max="7490" width="21.42578125" style="367" customWidth="1"/>
    <col min="7491" max="7491" width="27.85546875" style="367" customWidth="1"/>
    <col min="7492" max="7707" width="11.42578125" style="367"/>
    <col min="7708" max="7708" width="13.5703125" style="367" customWidth="1"/>
    <col min="7709" max="7709" width="19" style="367" customWidth="1"/>
    <col min="7710" max="7710" width="13.5703125" style="367" customWidth="1"/>
    <col min="7711" max="7711" width="19.7109375" style="367" customWidth="1"/>
    <col min="7712" max="7712" width="13.5703125" style="367" customWidth="1"/>
    <col min="7713" max="7714" width="14.7109375" style="367" customWidth="1"/>
    <col min="7715" max="7715" width="36.140625" style="367" customWidth="1"/>
    <col min="7716" max="7716" width="29.42578125" style="367" customWidth="1"/>
    <col min="7717" max="7717" width="16" style="367" customWidth="1"/>
    <col min="7718" max="7718" width="38.28515625" style="367" customWidth="1"/>
    <col min="7719" max="7719" width="12" style="367" customWidth="1"/>
    <col min="7720" max="7720" width="38.140625" style="367" customWidth="1"/>
    <col min="7721" max="7721" width="17.85546875" style="367" bestFit="1" customWidth="1"/>
    <col min="7722" max="7722" width="24.7109375" style="367" customWidth="1"/>
    <col min="7723" max="7723" width="36.42578125" style="367" customWidth="1"/>
    <col min="7724" max="7724" width="46.7109375" style="367" customWidth="1"/>
    <col min="7725" max="7725" width="43.7109375" style="367" customWidth="1"/>
    <col min="7726" max="7726" width="25.42578125" style="367" customWidth="1"/>
    <col min="7727" max="7727" width="12.42578125" style="367" customWidth="1"/>
    <col min="7728" max="7728" width="16.42578125" style="367" customWidth="1"/>
    <col min="7729" max="7729" width="13.42578125" style="367" customWidth="1"/>
    <col min="7730" max="7730" width="8.5703125" style="367" customWidth="1"/>
    <col min="7731" max="7734" width="11.42578125" style="367" customWidth="1"/>
    <col min="7735" max="7735" width="12.7109375" style="367" customWidth="1"/>
    <col min="7736" max="7736" width="11.85546875" style="367" customWidth="1"/>
    <col min="7737" max="7737" width="7.85546875" style="367" customWidth="1"/>
    <col min="7738" max="7738" width="7.5703125" style="367" customWidth="1"/>
    <col min="7739" max="7739" width="8.85546875" style="367" customWidth="1"/>
    <col min="7740" max="7740" width="8.140625" style="367" customWidth="1"/>
    <col min="7741" max="7741" width="7.85546875" style="367" customWidth="1"/>
    <col min="7742" max="7742" width="8.5703125" style="367" customWidth="1"/>
    <col min="7743" max="7743" width="8.28515625" style="367" customWidth="1"/>
    <col min="7744" max="7744" width="11.42578125" style="367" customWidth="1"/>
    <col min="7745" max="7745" width="18" style="367" customWidth="1"/>
    <col min="7746" max="7746" width="21.42578125" style="367" customWidth="1"/>
    <col min="7747" max="7747" width="27.85546875" style="367" customWidth="1"/>
    <col min="7748" max="7963" width="11.42578125" style="367"/>
    <col min="7964" max="7964" width="13.5703125" style="367" customWidth="1"/>
    <col min="7965" max="7965" width="19" style="367" customWidth="1"/>
    <col min="7966" max="7966" width="13.5703125" style="367" customWidth="1"/>
    <col min="7967" max="7967" width="19.7109375" style="367" customWidth="1"/>
    <col min="7968" max="7968" width="13.5703125" style="367" customWidth="1"/>
    <col min="7969" max="7970" width="14.7109375" style="367" customWidth="1"/>
    <col min="7971" max="7971" width="36.140625" style="367" customWidth="1"/>
    <col min="7972" max="7972" width="29.42578125" style="367" customWidth="1"/>
    <col min="7973" max="7973" width="16" style="367" customWidth="1"/>
    <col min="7974" max="7974" width="38.28515625" style="367" customWidth="1"/>
    <col min="7975" max="7975" width="12" style="367" customWidth="1"/>
    <col min="7976" max="7976" width="38.140625" style="367" customWidth="1"/>
    <col min="7977" max="7977" width="17.85546875" style="367" bestFit="1" customWidth="1"/>
    <col min="7978" max="7978" width="24.7109375" style="367" customWidth="1"/>
    <col min="7979" max="7979" width="36.42578125" style="367" customWidth="1"/>
    <col min="7980" max="7980" width="46.7109375" style="367" customWidth="1"/>
    <col min="7981" max="7981" width="43.7109375" style="367" customWidth="1"/>
    <col min="7982" max="7982" width="25.42578125" style="367" customWidth="1"/>
    <col min="7983" max="7983" width="12.42578125" style="367" customWidth="1"/>
    <col min="7984" max="7984" width="16.42578125" style="367" customWidth="1"/>
    <col min="7985" max="7985" width="13.42578125" style="367" customWidth="1"/>
    <col min="7986" max="7986" width="8.5703125" style="367" customWidth="1"/>
    <col min="7987" max="7990" width="11.42578125" style="367" customWidth="1"/>
    <col min="7991" max="7991" width="12.7109375" style="367" customWidth="1"/>
    <col min="7992" max="7992" width="11.85546875" style="367" customWidth="1"/>
    <col min="7993" max="7993" width="7.85546875" style="367" customWidth="1"/>
    <col min="7994" max="7994" width="7.5703125" style="367" customWidth="1"/>
    <col min="7995" max="7995" width="8.85546875" style="367" customWidth="1"/>
    <col min="7996" max="7996" width="8.140625" style="367" customWidth="1"/>
    <col min="7997" max="7997" width="7.85546875" style="367" customWidth="1"/>
    <col min="7998" max="7998" width="8.5703125" style="367" customWidth="1"/>
    <col min="7999" max="7999" width="8.28515625" style="367" customWidth="1"/>
    <col min="8000" max="8000" width="11.42578125" style="367" customWidth="1"/>
    <col min="8001" max="8001" width="18" style="367" customWidth="1"/>
    <col min="8002" max="8002" width="21.42578125" style="367" customWidth="1"/>
    <col min="8003" max="8003" width="27.85546875" style="367" customWidth="1"/>
    <col min="8004" max="8219" width="11.42578125" style="367"/>
    <col min="8220" max="8220" width="13.5703125" style="367" customWidth="1"/>
    <col min="8221" max="8221" width="19" style="367" customWidth="1"/>
    <col min="8222" max="8222" width="13.5703125" style="367" customWidth="1"/>
    <col min="8223" max="8223" width="19.7109375" style="367" customWidth="1"/>
    <col min="8224" max="8224" width="13.5703125" style="367" customWidth="1"/>
    <col min="8225" max="8226" width="14.7109375" style="367" customWidth="1"/>
    <col min="8227" max="8227" width="36.140625" style="367" customWidth="1"/>
    <col min="8228" max="8228" width="29.42578125" style="367" customWidth="1"/>
    <col min="8229" max="8229" width="16" style="367" customWidth="1"/>
    <col min="8230" max="8230" width="38.28515625" style="367" customWidth="1"/>
    <col min="8231" max="8231" width="12" style="367" customWidth="1"/>
    <col min="8232" max="8232" width="38.140625" style="367" customWidth="1"/>
    <col min="8233" max="8233" width="17.85546875" style="367" bestFit="1" customWidth="1"/>
    <col min="8234" max="8234" width="24.7109375" style="367" customWidth="1"/>
    <col min="8235" max="8235" width="36.42578125" style="367" customWidth="1"/>
    <col min="8236" max="8236" width="46.7109375" style="367" customWidth="1"/>
    <col min="8237" max="8237" width="43.7109375" style="367" customWidth="1"/>
    <col min="8238" max="8238" width="25.42578125" style="367" customWidth="1"/>
    <col min="8239" max="8239" width="12.42578125" style="367" customWidth="1"/>
    <col min="8240" max="8240" width="16.42578125" style="367" customWidth="1"/>
    <col min="8241" max="8241" width="13.42578125" style="367" customWidth="1"/>
    <col min="8242" max="8242" width="8.5703125" style="367" customWidth="1"/>
    <col min="8243" max="8246" width="11.42578125" style="367" customWidth="1"/>
    <col min="8247" max="8247" width="12.7109375" style="367" customWidth="1"/>
    <col min="8248" max="8248" width="11.85546875" style="367" customWidth="1"/>
    <col min="8249" max="8249" width="7.85546875" style="367" customWidth="1"/>
    <col min="8250" max="8250" width="7.5703125" style="367" customWidth="1"/>
    <col min="8251" max="8251" width="8.85546875" style="367" customWidth="1"/>
    <col min="8252" max="8252" width="8.140625" style="367" customWidth="1"/>
    <col min="8253" max="8253" width="7.85546875" style="367" customWidth="1"/>
    <col min="8254" max="8254" width="8.5703125" style="367" customWidth="1"/>
    <col min="8255" max="8255" width="8.28515625" style="367" customWidth="1"/>
    <col min="8256" max="8256" width="11.42578125" style="367" customWidth="1"/>
    <col min="8257" max="8257" width="18" style="367" customWidth="1"/>
    <col min="8258" max="8258" width="21.42578125" style="367" customWidth="1"/>
    <col min="8259" max="8259" width="27.85546875" style="367" customWidth="1"/>
    <col min="8260" max="8475" width="11.42578125" style="367"/>
    <col min="8476" max="8476" width="13.5703125" style="367" customWidth="1"/>
    <col min="8477" max="8477" width="19" style="367" customWidth="1"/>
    <col min="8478" max="8478" width="13.5703125" style="367" customWidth="1"/>
    <col min="8479" max="8479" width="19.7109375" style="367" customWidth="1"/>
    <col min="8480" max="8480" width="13.5703125" style="367" customWidth="1"/>
    <col min="8481" max="8482" width="14.7109375" style="367" customWidth="1"/>
    <col min="8483" max="8483" width="36.140625" style="367" customWidth="1"/>
    <col min="8484" max="8484" width="29.42578125" style="367" customWidth="1"/>
    <col min="8485" max="8485" width="16" style="367" customWidth="1"/>
    <col min="8486" max="8486" width="38.28515625" style="367" customWidth="1"/>
    <col min="8487" max="8487" width="12" style="367" customWidth="1"/>
    <col min="8488" max="8488" width="38.140625" style="367" customWidth="1"/>
    <col min="8489" max="8489" width="17.85546875" style="367" bestFit="1" customWidth="1"/>
    <col min="8490" max="8490" width="24.7109375" style="367" customWidth="1"/>
    <col min="8491" max="8491" width="36.42578125" style="367" customWidth="1"/>
    <col min="8492" max="8492" width="46.7109375" style="367" customWidth="1"/>
    <col min="8493" max="8493" width="43.7109375" style="367" customWidth="1"/>
    <col min="8494" max="8494" width="25.42578125" style="367" customWidth="1"/>
    <col min="8495" max="8495" width="12.42578125" style="367" customWidth="1"/>
    <col min="8496" max="8496" width="16.42578125" style="367" customWidth="1"/>
    <col min="8497" max="8497" width="13.42578125" style="367" customWidth="1"/>
    <col min="8498" max="8498" width="8.5703125" style="367" customWidth="1"/>
    <col min="8499" max="8502" width="11.42578125" style="367" customWidth="1"/>
    <col min="8503" max="8503" width="12.7109375" style="367" customWidth="1"/>
    <col min="8504" max="8504" width="11.85546875" style="367" customWidth="1"/>
    <col min="8505" max="8505" width="7.85546875" style="367" customWidth="1"/>
    <col min="8506" max="8506" width="7.5703125" style="367" customWidth="1"/>
    <col min="8507" max="8507" width="8.85546875" style="367" customWidth="1"/>
    <col min="8508" max="8508" width="8.140625" style="367" customWidth="1"/>
    <col min="8509" max="8509" width="7.85546875" style="367" customWidth="1"/>
    <col min="8510" max="8510" width="8.5703125" style="367" customWidth="1"/>
    <col min="8511" max="8511" width="8.28515625" style="367" customWidth="1"/>
    <col min="8512" max="8512" width="11.42578125" style="367" customWidth="1"/>
    <col min="8513" max="8513" width="18" style="367" customWidth="1"/>
    <col min="8514" max="8514" width="21.42578125" style="367" customWidth="1"/>
    <col min="8515" max="8515" width="27.85546875" style="367" customWidth="1"/>
    <col min="8516" max="8731" width="11.42578125" style="367"/>
    <col min="8732" max="8732" width="13.5703125" style="367" customWidth="1"/>
    <col min="8733" max="8733" width="19" style="367" customWidth="1"/>
    <col min="8734" max="8734" width="13.5703125" style="367" customWidth="1"/>
    <col min="8735" max="8735" width="19.7109375" style="367" customWidth="1"/>
    <col min="8736" max="8736" width="13.5703125" style="367" customWidth="1"/>
    <col min="8737" max="8738" width="14.7109375" style="367" customWidth="1"/>
    <col min="8739" max="8739" width="36.140625" style="367" customWidth="1"/>
    <col min="8740" max="8740" width="29.42578125" style="367" customWidth="1"/>
    <col min="8741" max="8741" width="16" style="367" customWidth="1"/>
    <col min="8742" max="8742" width="38.28515625" style="367" customWidth="1"/>
    <col min="8743" max="8743" width="12" style="367" customWidth="1"/>
    <col min="8744" max="8744" width="38.140625" style="367" customWidth="1"/>
    <col min="8745" max="8745" width="17.85546875" style="367" bestFit="1" customWidth="1"/>
    <col min="8746" max="8746" width="24.7109375" style="367" customWidth="1"/>
    <col min="8747" max="8747" width="36.42578125" style="367" customWidth="1"/>
    <col min="8748" max="8748" width="46.7109375" style="367" customWidth="1"/>
    <col min="8749" max="8749" width="43.7109375" style="367" customWidth="1"/>
    <col min="8750" max="8750" width="25.42578125" style="367" customWidth="1"/>
    <col min="8751" max="8751" width="12.42578125" style="367" customWidth="1"/>
    <col min="8752" max="8752" width="16.42578125" style="367" customWidth="1"/>
    <col min="8753" max="8753" width="13.42578125" style="367" customWidth="1"/>
    <col min="8754" max="8754" width="8.5703125" style="367" customWidth="1"/>
    <col min="8755" max="8758" width="11.42578125" style="367" customWidth="1"/>
    <col min="8759" max="8759" width="12.7109375" style="367" customWidth="1"/>
    <col min="8760" max="8760" width="11.85546875" style="367" customWidth="1"/>
    <col min="8761" max="8761" width="7.85546875" style="367" customWidth="1"/>
    <col min="8762" max="8762" width="7.5703125" style="367" customWidth="1"/>
    <col min="8763" max="8763" width="8.85546875" style="367" customWidth="1"/>
    <col min="8764" max="8764" width="8.140625" style="367" customWidth="1"/>
    <col min="8765" max="8765" width="7.85546875" style="367" customWidth="1"/>
    <col min="8766" max="8766" width="8.5703125" style="367" customWidth="1"/>
    <col min="8767" max="8767" width="8.28515625" style="367" customWidth="1"/>
    <col min="8768" max="8768" width="11.42578125" style="367" customWidth="1"/>
    <col min="8769" max="8769" width="18" style="367" customWidth="1"/>
    <col min="8770" max="8770" width="21.42578125" style="367" customWidth="1"/>
    <col min="8771" max="8771" width="27.85546875" style="367" customWidth="1"/>
    <col min="8772" max="8987" width="11.42578125" style="367"/>
    <col min="8988" max="8988" width="13.5703125" style="367" customWidth="1"/>
    <col min="8989" max="8989" width="19" style="367" customWidth="1"/>
    <col min="8990" max="8990" width="13.5703125" style="367" customWidth="1"/>
    <col min="8991" max="8991" width="19.7109375" style="367" customWidth="1"/>
    <col min="8992" max="8992" width="13.5703125" style="367" customWidth="1"/>
    <col min="8993" max="8994" width="14.7109375" style="367" customWidth="1"/>
    <col min="8995" max="8995" width="36.140625" style="367" customWidth="1"/>
    <col min="8996" max="8996" width="29.42578125" style="367" customWidth="1"/>
    <col min="8997" max="8997" width="16" style="367" customWidth="1"/>
    <col min="8998" max="8998" width="38.28515625" style="367" customWidth="1"/>
    <col min="8999" max="8999" width="12" style="367" customWidth="1"/>
    <col min="9000" max="9000" width="38.140625" style="367" customWidth="1"/>
    <col min="9001" max="9001" width="17.85546875" style="367" bestFit="1" customWidth="1"/>
    <col min="9002" max="9002" width="24.7109375" style="367" customWidth="1"/>
    <col min="9003" max="9003" width="36.42578125" style="367" customWidth="1"/>
    <col min="9004" max="9004" width="46.7109375" style="367" customWidth="1"/>
    <col min="9005" max="9005" width="43.7109375" style="367" customWidth="1"/>
    <col min="9006" max="9006" width="25.42578125" style="367" customWidth="1"/>
    <col min="9007" max="9007" width="12.42578125" style="367" customWidth="1"/>
    <col min="9008" max="9008" width="16.42578125" style="367" customWidth="1"/>
    <col min="9009" max="9009" width="13.42578125" style="367" customWidth="1"/>
    <col min="9010" max="9010" width="8.5703125" style="367" customWidth="1"/>
    <col min="9011" max="9014" width="11.42578125" style="367" customWidth="1"/>
    <col min="9015" max="9015" width="12.7109375" style="367" customWidth="1"/>
    <col min="9016" max="9016" width="11.85546875" style="367" customWidth="1"/>
    <col min="9017" max="9017" width="7.85546875" style="367" customWidth="1"/>
    <col min="9018" max="9018" width="7.5703125" style="367" customWidth="1"/>
    <col min="9019" max="9019" width="8.85546875" style="367" customWidth="1"/>
    <col min="9020" max="9020" width="8.140625" style="367" customWidth="1"/>
    <col min="9021" max="9021" width="7.85546875" style="367" customWidth="1"/>
    <col min="9022" max="9022" width="8.5703125" style="367" customWidth="1"/>
    <col min="9023" max="9023" width="8.28515625" style="367" customWidth="1"/>
    <col min="9024" max="9024" width="11.42578125" style="367" customWidth="1"/>
    <col min="9025" max="9025" width="18" style="367" customWidth="1"/>
    <col min="9026" max="9026" width="21.42578125" style="367" customWidth="1"/>
    <col min="9027" max="9027" width="27.85546875" style="367" customWidth="1"/>
    <col min="9028" max="9243" width="11.42578125" style="367"/>
    <col min="9244" max="9244" width="13.5703125" style="367" customWidth="1"/>
    <col min="9245" max="9245" width="19" style="367" customWidth="1"/>
    <col min="9246" max="9246" width="13.5703125" style="367" customWidth="1"/>
    <col min="9247" max="9247" width="19.7109375" style="367" customWidth="1"/>
    <col min="9248" max="9248" width="13.5703125" style="367" customWidth="1"/>
    <col min="9249" max="9250" width="14.7109375" style="367" customWidth="1"/>
    <col min="9251" max="9251" width="36.140625" style="367" customWidth="1"/>
    <col min="9252" max="9252" width="29.42578125" style="367" customWidth="1"/>
    <col min="9253" max="9253" width="16" style="367" customWidth="1"/>
    <col min="9254" max="9254" width="38.28515625" style="367" customWidth="1"/>
    <col min="9255" max="9255" width="12" style="367" customWidth="1"/>
    <col min="9256" max="9256" width="38.140625" style="367" customWidth="1"/>
    <col min="9257" max="9257" width="17.85546875" style="367" bestFit="1" customWidth="1"/>
    <col min="9258" max="9258" width="24.7109375" style="367" customWidth="1"/>
    <col min="9259" max="9259" width="36.42578125" style="367" customWidth="1"/>
    <col min="9260" max="9260" width="46.7109375" style="367" customWidth="1"/>
    <col min="9261" max="9261" width="43.7109375" style="367" customWidth="1"/>
    <col min="9262" max="9262" width="25.42578125" style="367" customWidth="1"/>
    <col min="9263" max="9263" width="12.42578125" style="367" customWidth="1"/>
    <col min="9264" max="9264" width="16.42578125" style="367" customWidth="1"/>
    <col min="9265" max="9265" width="13.42578125" style="367" customWidth="1"/>
    <col min="9266" max="9266" width="8.5703125" style="367" customWidth="1"/>
    <col min="9267" max="9270" width="11.42578125" style="367" customWidth="1"/>
    <col min="9271" max="9271" width="12.7109375" style="367" customWidth="1"/>
    <col min="9272" max="9272" width="11.85546875" style="367" customWidth="1"/>
    <col min="9273" max="9273" width="7.85546875" style="367" customWidth="1"/>
    <col min="9274" max="9274" width="7.5703125" style="367" customWidth="1"/>
    <col min="9275" max="9275" width="8.85546875" style="367" customWidth="1"/>
    <col min="9276" max="9276" width="8.140625" style="367" customWidth="1"/>
    <col min="9277" max="9277" width="7.85546875" style="367" customWidth="1"/>
    <col min="9278" max="9278" width="8.5703125" style="367" customWidth="1"/>
    <col min="9279" max="9279" width="8.28515625" style="367" customWidth="1"/>
    <col min="9280" max="9280" width="11.42578125" style="367" customWidth="1"/>
    <col min="9281" max="9281" width="18" style="367" customWidth="1"/>
    <col min="9282" max="9282" width="21.42578125" style="367" customWidth="1"/>
    <col min="9283" max="9283" width="27.85546875" style="367" customWidth="1"/>
    <col min="9284" max="9499" width="11.42578125" style="367"/>
    <col min="9500" max="9500" width="13.5703125" style="367" customWidth="1"/>
    <col min="9501" max="9501" width="19" style="367" customWidth="1"/>
    <col min="9502" max="9502" width="13.5703125" style="367" customWidth="1"/>
    <col min="9503" max="9503" width="19.7109375" style="367" customWidth="1"/>
    <col min="9504" max="9504" width="13.5703125" style="367" customWidth="1"/>
    <col min="9505" max="9506" width="14.7109375" style="367" customWidth="1"/>
    <col min="9507" max="9507" width="36.140625" style="367" customWidth="1"/>
    <col min="9508" max="9508" width="29.42578125" style="367" customWidth="1"/>
    <col min="9509" max="9509" width="16" style="367" customWidth="1"/>
    <col min="9510" max="9510" width="38.28515625" style="367" customWidth="1"/>
    <col min="9511" max="9511" width="12" style="367" customWidth="1"/>
    <col min="9512" max="9512" width="38.140625" style="367" customWidth="1"/>
    <col min="9513" max="9513" width="17.85546875" style="367" bestFit="1" customWidth="1"/>
    <col min="9514" max="9514" width="24.7109375" style="367" customWidth="1"/>
    <col min="9515" max="9515" width="36.42578125" style="367" customWidth="1"/>
    <col min="9516" max="9516" width="46.7109375" style="367" customWidth="1"/>
    <col min="9517" max="9517" width="43.7109375" style="367" customWidth="1"/>
    <col min="9518" max="9518" width="25.42578125" style="367" customWidth="1"/>
    <col min="9519" max="9519" width="12.42578125" style="367" customWidth="1"/>
    <col min="9520" max="9520" width="16.42578125" style="367" customWidth="1"/>
    <col min="9521" max="9521" width="13.42578125" style="367" customWidth="1"/>
    <col min="9522" max="9522" width="8.5703125" style="367" customWidth="1"/>
    <col min="9523" max="9526" width="11.42578125" style="367" customWidth="1"/>
    <col min="9527" max="9527" width="12.7109375" style="367" customWidth="1"/>
    <col min="9528" max="9528" width="11.85546875" style="367" customWidth="1"/>
    <col min="9529" max="9529" width="7.85546875" style="367" customWidth="1"/>
    <col min="9530" max="9530" width="7.5703125" style="367" customWidth="1"/>
    <col min="9531" max="9531" width="8.85546875" style="367" customWidth="1"/>
    <col min="9532" max="9532" width="8.140625" style="367" customWidth="1"/>
    <col min="9533" max="9533" width="7.85546875" style="367" customWidth="1"/>
    <col min="9534" max="9534" width="8.5703125" style="367" customWidth="1"/>
    <col min="9535" max="9535" width="8.28515625" style="367" customWidth="1"/>
    <col min="9536" max="9536" width="11.42578125" style="367" customWidth="1"/>
    <col min="9537" max="9537" width="18" style="367" customWidth="1"/>
    <col min="9538" max="9538" width="21.42578125" style="367" customWidth="1"/>
    <col min="9539" max="9539" width="27.85546875" style="367" customWidth="1"/>
    <col min="9540" max="9755" width="11.42578125" style="367"/>
    <col min="9756" max="9756" width="13.5703125" style="367" customWidth="1"/>
    <col min="9757" max="9757" width="19" style="367" customWidth="1"/>
    <col min="9758" max="9758" width="13.5703125" style="367" customWidth="1"/>
    <col min="9759" max="9759" width="19.7109375" style="367" customWidth="1"/>
    <col min="9760" max="9760" width="13.5703125" style="367" customWidth="1"/>
    <col min="9761" max="9762" width="14.7109375" style="367" customWidth="1"/>
    <col min="9763" max="9763" width="36.140625" style="367" customWidth="1"/>
    <col min="9764" max="9764" width="29.42578125" style="367" customWidth="1"/>
    <col min="9765" max="9765" width="16" style="367" customWidth="1"/>
    <col min="9766" max="9766" width="38.28515625" style="367" customWidth="1"/>
    <col min="9767" max="9767" width="12" style="367" customWidth="1"/>
    <col min="9768" max="9768" width="38.140625" style="367" customWidth="1"/>
    <col min="9769" max="9769" width="17.85546875" style="367" bestFit="1" customWidth="1"/>
    <col min="9770" max="9770" width="24.7109375" style="367" customWidth="1"/>
    <col min="9771" max="9771" width="36.42578125" style="367" customWidth="1"/>
    <col min="9772" max="9772" width="46.7109375" style="367" customWidth="1"/>
    <col min="9773" max="9773" width="43.7109375" style="367" customWidth="1"/>
    <col min="9774" max="9774" width="25.42578125" style="367" customWidth="1"/>
    <col min="9775" max="9775" width="12.42578125" style="367" customWidth="1"/>
    <col min="9776" max="9776" width="16.42578125" style="367" customWidth="1"/>
    <col min="9777" max="9777" width="13.42578125" style="367" customWidth="1"/>
    <col min="9778" max="9778" width="8.5703125" style="367" customWidth="1"/>
    <col min="9779" max="9782" width="11.42578125" style="367" customWidth="1"/>
    <col min="9783" max="9783" width="12.7109375" style="367" customWidth="1"/>
    <col min="9784" max="9784" width="11.85546875" style="367" customWidth="1"/>
    <col min="9785" max="9785" width="7.85546875" style="367" customWidth="1"/>
    <col min="9786" max="9786" width="7.5703125" style="367" customWidth="1"/>
    <col min="9787" max="9787" width="8.85546875" style="367" customWidth="1"/>
    <col min="9788" max="9788" width="8.140625" style="367" customWidth="1"/>
    <col min="9789" max="9789" width="7.85546875" style="367" customWidth="1"/>
    <col min="9790" max="9790" width="8.5703125" style="367" customWidth="1"/>
    <col min="9791" max="9791" width="8.28515625" style="367" customWidth="1"/>
    <col min="9792" max="9792" width="11.42578125" style="367" customWidth="1"/>
    <col min="9793" max="9793" width="18" style="367" customWidth="1"/>
    <col min="9794" max="9794" width="21.42578125" style="367" customWidth="1"/>
    <col min="9795" max="9795" width="27.85546875" style="367" customWidth="1"/>
    <col min="9796" max="10011" width="11.42578125" style="367"/>
    <col min="10012" max="10012" width="13.5703125" style="367" customWidth="1"/>
    <col min="10013" max="10013" width="19" style="367" customWidth="1"/>
    <col min="10014" max="10014" width="13.5703125" style="367" customWidth="1"/>
    <col min="10015" max="10015" width="19.7109375" style="367" customWidth="1"/>
    <col min="10016" max="10016" width="13.5703125" style="367" customWidth="1"/>
    <col min="10017" max="10018" width="14.7109375" style="367" customWidth="1"/>
    <col min="10019" max="10019" width="36.140625" style="367" customWidth="1"/>
    <col min="10020" max="10020" width="29.42578125" style="367" customWidth="1"/>
    <col min="10021" max="10021" width="16" style="367" customWidth="1"/>
    <col min="10022" max="10022" width="38.28515625" style="367" customWidth="1"/>
    <col min="10023" max="10023" width="12" style="367" customWidth="1"/>
    <col min="10024" max="10024" width="38.140625" style="367" customWidth="1"/>
    <col min="10025" max="10025" width="17.85546875" style="367" bestFit="1" customWidth="1"/>
    <col min="10026" max="10026" width="24.7109375" style="367" customWidth="1"/>
    <col min="10027" max="10027" width="36.42578125" style="367" customWidth="1"/>
    <col min="10028" max="10028" width="46.7109375" style="367" customWidth="1"/>
    <col min="10029" max="10029" width="43.7109375" style="367" customWidth="1"/>
    <col min="10030" max="10030" width="25.42578125" style="367" customWidth="1"/>
    <col min="10031" max="10031" width="12.42578125" style="367" customWidth="1"/>
    <col min="10032" max="10032" width="16.42578125" style="367" customWidth="1"/>
    <col min="10033" max="10033" width="13.42578125" style="367" customWidth="1"/>
    <col min="10034" max="10034" width="8.5703125" style="367" customWidth="1"/>
    <col min="10035" max="10038" width="11.42578125" style="367" customWidth="1"/>
    <col min="10039" max="10039" width="12.7109375" style="367" customWidth="1"/>
    <col min="10040" max="10040" width="11.85546875" style="367" customWidth="1"/>
    <col min="10041" max="10041" width="7.85546875" style="367" customWidth="1"/>
    <col min="10042" max="10042" width="7.5703125" style="367" customWidth="1"/>
    <col min="10043" max="10043" width="8.85546875" style="367" customWidth="1"/>
    <col min="10044" max="10044" width="8.140625" style="367" customWidth="1"/>
    <col min="10045" max="10045" width="7.85546875" style="367" customWidth="1"/>
    <col min="10046" max="10046" width="8.5703125" style="367" customWidth="1"/>
    <col min="10047" max="10047" width="8.28515625" style="367" customWidth="1"/>
    <col min="10048" max="10048" width="11.42578125" style="367" customWidth="1"/>
    <col min="10049" max="10049" width="18" style="367" customWidth="1"/>
    <col min="10050" max="10050" width="21.42578125" style="367" customWidth="1"/>
    <col min="10051" max="10051" width="27.85546875" style="367" customWidth="1"/>
    <col min="10052" max="10267" width="11.42578125" style="367"/>
    <col min="10268" max="10268" width="13.5703125" style="367" customWidth="1"/>
    <col min="10269" max="10269" width="19" style="367" customWidth="1"/>
    <col min="10270" max="10270" width="13.5703125" style="367" customWidth="1"/>
    <col min="10271" max="10271" width="19.7109375" style="367" customWidth="1"/>
    <col min="10272" max="10272" width="13.5703125" style="367" customWidth="1"/>
    <col min="10273" max="10274" width="14.7109375" style="367" customWidth="1"/>
    <col min="10275" max="10275" width="36.140625" style="367" customWidth="1"/>
    <col min="10276" max="10276" width="29.42578125" style="367" customWidth="1"/>
    <col min="10277" max="10277" width="16" style="367" customWidth="1"/>
    <col min="10278" max="10278" width="38.28515625" style="367" customWidth="1"/>
    <col min="10279" max="10279" width="12" style="367" customWidth="1"/>
    <col min="10280" max="10280" width="38.140625" style="367" customWidth="1"/>
    <col min="10281" max="10281" width="17.85546875" style="367" bestFit="1" customWidth="1"/>
    <col min="10282" max="10282" width="24.7109375" style="367" customWidth="1"/>
    <col min="10283" max="10283" width="36.42578125" style="367" customWidth="1"/>
    <col min="10284" max="10284" width="46.7109375" style="367" customWidth="1"/>
    <col min="10285" max="10285" width="43.7109375" style="367" customWidth="1"/>
    <col min="10286" max="10286" width="25.42578125" style="367" customWidth="1"/>
    <col min="10287" max="10287" width="12.42578125" style="367" customWidth="1"/>
    <col min="10288" max="10288" width="16.42578125" style="367" customWidth="1"/>
    <col min="10289" max="10289" width="13.42578125" style="367" customWidth="1"/>
    <col min="10290" max="10290" width="8.5703125" style="367" customWidth="1"/>
    <col min="10291" max="10294" width="11.42578125" style="367" customWidth="1"/>
    <col min="10295" max="10295" width="12.7109375" style="367" customWidth="1"/>
    <col min="10296" max="10296" width="11.85546875" style="367" customWidth="1"/>
    <col min="10297" max="10297" width="7.85546875" style="367" customWidth="1"/>
    <col min="10298" max="10298" width="7.5703125" style="367" customWidth="1"/>
    <col min="10299" max="10299" width="8.85546875" style="367" customWidth="1"/>
    <col min="10300" max="10300" width="8.140625" style="367" customWidth="1"/>
    <col min="10301" max="10301" width="7.85546875" style="367" customWidth="1"/>
    <col min="10302" max="10302" width="8.5703125" style="367" customWidth="1"/>
    <col min="10303" max="10303" width="8.28515625" style="367" customWidth="1"/>
    <col min="10304" max="10304" width="11.42578125" style="367" customWidth="1"/>
    <col min="10305" max="10305" width="18" style="367" customWidth="1"/>
    <col min="10306" max="10306" width="21.42578125" style="367" customWidth="1"/>
    <col min="10307" max="10307" width="27.85546875" style="367" customWidth="1"/>
    <col min="10308" max="10523" width="11.42578125" style="367"/>
    <col min="10524" max="10524" width="13.5703125" style="367" customWidth="1"/>
    <col min="10525" max="10525" width="19" style="367" customWidth="1"/>
    <col min="10526" max="10526" width="13.5703125" style="367" customWidth="1"/>
    <col min="10527" max="10527" width="19.7109375" style="367" customWidth="1"/>
    <col min="10528" max="10528" width="13.5703125" style="367" customWidth="1"/>
    <col min="10529" max="10530" width="14.7109375" style="367" customWidth="1"/>
    <col min="10531" max="10531" width="36.140625" style="367" customWidth="1"/>
    <col min="10532" max="10532" width="29.42578125" style="367" customWidth="1"/>
    <col min="10533" max="10533" width="16" style="367" customWidth="1"/>
    <col min="10534" max="10534" width="38.28515625" style="367" customWidth="1"/>
    <col min="10535" max="10535" width="12" style="367" customWidth="1"/>
    <col min="10536" max="10536" width="38.140625" style="367" customWidth="1"/>
    <col min="10537" max="10537" width="17.85546875" style="367" bestFit="1" customWidth="1"/>
    <col min="10538" max="10538" width="24.7109375" style="367" customWidth="1"/>
    <col min="10539" max="10539" width="36.42578125" style="367" customWidth="1"/>
    <col min="10540" max="10540" width="46.7109375" style="367" customWidth="1"/>
    <col min="10541" max="10541" width="43.7109375" style="367" customWidth="1"/>
    <col min="10542" max="10542" width="25.42578125" style="367" customWidth="1"/>
    <col min="10543" max="10543" width="12.42578125" style="367" customWidth="1"/>
    <col min="10544" max="10544" width="16.42578125" style="367" customWidth="1"/>
    <col min="10545" max="10545" width="13.42578125" style="367" customWidth="1"/>
    <col min="10546" max="10546" width="8.5703125" style="367" customWidth="1"/>
    <col min="10547" max="10550" width="11.42578125" style="367" customWidth="1"/>
    <col min="10551" max="10551" width="12.7109375" style="367" customWidth="1"/>
    <col min="10552" max="10552" width="11.85546875" style="367" customWidth="1"/>
    <col min="10553" max="10553" width="7.85546875" style="367" customWidth="1"/>
    <col min="10554" max="10554" width="7.5703125" style="367" customWidth="1"/>
    <col min="10555" max="10555" width="8.85546875" style="367" customWidth="1"/>
    <col min="10556" max="10556" width="8.140625" style="367" customWidth="1"/>
    <col min="10557" max="10557" width="7.85546875" style="367" customWidth="1"/>
    <col min="10558" max="10558" width="8.5703125" style="367" customWidth="1"/>
    <col min="10559" max="10559" width="8.28515625" style="367" customWidth="1"/>
    <col min="10560" max="10560" width="11.42578125" style="367" customWidth="1"/>
    <col min="10561" max="10561" width="18" style="367" customWidth="1"/>
    <col min="10562" max="10562" width="21.42578125" style="367" customWidth="1"/>
    <col min="10563" max="10563" width="27.85546875" style="367" customWidth="1"/>
    <col min="10564" max="10779" width="11.42578125" style="367"/>
    <col min="10780" max="10780" width="13.5703125" style="367" customWidth="1"/>
    <col min="10781" max="10781" width="19" style="367" customWidth="1"/>
    <col min="10782" max="10782" width="13.5703125" style="367" customWidth="1"/>
    <col min="10783" max="10783" width="19.7109375" style="367" customWidth="1"/>
    <col min="10784" max="10784" width="13.5703125" style="367" customWidth="1"/>
    <col min="10785" max="10786" width="14.7109375" style="367" customWidth="1"/>
    <col min="10787" max="10787" width="36.140625" style="367" customWidth="1"/>
    <col min="10788" max="10788" width="29.42578125" style="367" customWidth="1"/>
    <col min="10789" max="10789" width="16" style="367" customWidth="1"/>
    <col min="10790" max="10790" width="38.28515625" style="367" customWidth="1"/>
    <col min="10791" max="10791" width="12" style="367" customWidth="1"/>
    <col min="10792" max="10792" width="38.140625" style="367" customWidth="1"/>
    <col min="10793" max="10793" width="17.85546875" style="367" bestFit="1" customWidth="1"/>
    <col min="10794" max="10794" width="24.7109375" style="367" customWidth="1"/>
    <col min="10795" max="10795" width="36.42578125" style="367" customWidth="1"/>
    <col min="10796" max="10796" width="46.7109375" style="367" customWidth="1"/>
    <col min="10797" max="10797" width="43.7109375" style="367" customWidth="1"/>
    <col min="10798" max="10798" width="25.42578125" style="367" customWidth="1"/>
    <col min="10799" max="10799" width="12.42578125" style="367" customWidth="1"/>
    <col min="10800" max="10800" width="16.42578125" style="367" customWidth="1"/>
    <col min="10801" max="10801" width="13.42578125" style="367" customWidth="1"/>
    <col min="10802" max="10802" width="8.5703125" style="367" customWidth="1"/>
    <col min="10803" max="10806" width="11.42578125" style="367" customWidth="1"/>
    <col min="10807" max="10807" width="12.7109375" style="367" customWidth="1"/>
    <col min="10808" max="10808" width="11.85546875" style="367" customWidth="1"/>
    <col min="10809" max="10809" width="7.85546875" style="367" customWidth="1"/>
    <col min="10810" max="10810" width="7.5703125" style="367" customWidth="1"/>
    <col min="10811" max="10811" width="8.85546875" style="367" customWidth="1"/>
    <col min="10812" max="10812" width="8.140625" style="367" customWidth="1"/>
    <col min="10813" max="10813" width="7.85546875" style="367" customWidth="1"/>
    <col min="10814" max="10814" width="8.5703125" style="367" customWidth="1"/>
    <col min="10815" max="10815" width="8.28515625" style="367" customWidth="1"/>
    <col min="10816" max="10816" width="11.42578125" style="367" customWidth="1"/>
    <col min="10817" max="10817" width="18" style="367" customWidth="1"/>
    <col min="10818" max="10818" width="21.42578125" style="367" customWidth="1"/>
    <col min="10819" max="10819" width="27.85546875" style="367" customWidth="1"/>
    <col min="10820" max="11035" width="11.42578125" style="367"/>
    <col min="11036" max="11036" width="13.5703125" style="367" customWidth="1"/>
    <col min="11037" max="11037" width="19" style="367" customWidth="1"/>
    <col min="11038" max="11038" width="13.5703125" style="367" customWidth="1"/>
    <col min="11039" max="11039" width="19.7109375" style="367" customWidth="1"/>
    <col min="11040" max="11040" width="13.5703125" style="367" customWidth="1"/>
    <col min="11041" max="11042" width="14.7109375" style="367" customWidth="1"/>
    <col min="11043" max="11043" width="36.140625" style="367" customWidth="1"/>
    <col min="11044" max="11044" width="29.42578125" style="367" customWidth="1"/>
    <col min="11045" max="11045" width="16" style="367" customWidth="1"/>
    <col min="11046" max="11046" width="38.28515625" style="367" customWidth="1"/>
    <col min="11047" max="11047" width="12" style="367" customWidth="1"/>
    <col min="11048" max="11048" width="38.140625" style="367" customWidth="1"/>
    <col min="11049" max="11049" width="17.85546875" style="367" bestFit="1" customWidth="1"/>
    <col min="11050" max="11050" width="24.7109375" style="367" customWidth="1"/>
    <col min="11051" max="11051" width="36.42578125" style="367" customWidth="1"/>
    <col min="11052" max="11052" width="46.7109375" style="367" customWidth="1"/>
    <col min="11053" max="11053" width="43.7109375" style="367" customWidth="1"/>
    <col min="11054" max="11054" width="25.42578125" style="367" customWidth="1"/>
    <col min="11055" max="11055" width="12.42578125" style="367" customWidth="1"/>
    <col min="11056" max="11056" width="16.42578125" style="367" customWidth="1"/>
    <col min="11057" max="11057" width="13.42578125" style="367" customWidth="1"/>
    <col min="11058" max="11058" width="8.5703125" style="367" customWidth="1"/>
    <col min="11059" max="11062" width="11.42578125" style="367" customWidth="1"/>
    <col min="11063" max="11063" width="12.7109375" style="367" customWidth="1"/>
    <col min="11064" max="11064" width="11.85546875" style="367" customWidth="1"/>
    <col min="11065" max="11065" width="7.85546875" style="367" customWidth="1"/>
    <col min="11066" max="11066" width="7.5703125" style="367" customWidth="1"/>
    <col min="11067" max="11067" width="8.85546875" style="367" customWidth="1"/>
    <col min="11068" max="11068" width="8.140625" style="367" customWidth="1"/>
    <col min="11069" max="11069" width="7.85546875" style="367" customWidth="1"/>
    <col min="11070" max="11070" width="8.5703125" style="367" customWidth="1"/>
    <col min="11071" max="11071" width="8.28515625" style="367" customWidth="1"/>
    <col min="11072" max="11072" width="11.42578125" style="367" customWidth="1"/>
    <col min="11073" max="11073" width="18" style="367" customWidth="1"/>
    <col min="11074" max="11074" width="21.42578125" style="367" customWidth="1"/>
    <col min="11075" max="11075" width="27.85546875" style="367" customWidth="1"/>
    <col min="11076" max="11291" width="11.42578125" style="367"/>
    <col min="11292" max="11292" width="13.5703125" style="367" customWidth="1"/>
    <col min="11293" max="11293" width="19" style="367" customWidth="1"/>
    <col min="11294" max="11294" width="13.5703125" style="367" customWidth="1"/>
    <col min="11295" max="11295" width="19.7109375" style="367" customWidth="1"/>
    <col min="11296" max="11296" width="13.5703125" style="367" customWidth="1"/>
    <col min="11297" max="11298" width="14.7109375" style="367" customWidth="1"/>
    <col min="11299" max="11299" width="36.140625" style="367" customWidth="1"/>
    <col min="11300" max="11300" width="29.42578125" style="367" customWidth="1"/>
    <col min="11301" max="11301" width="16" style="367" customWidth="1"/>
    <col min="11302" max="11302" width="38.28515625" style="367" customWidth="1"/>
    <col min="11303" max="11303" width="12" style="367" customWidth="1"/>
    <col min="11304" max="11304" width="38.140625" style="367" customWidth="1"/>
    <col min="11305" max="11305" width="17.85546875" style="367" bestFit="1" customWidth="1"/>
    <col min="11306" max="11306" width="24.7109375" style="367" customWidth="1"/>
    <col min="11307" max="11307" width="36.42578125" style="367" customWidth="1"/>
    <col min="11308" max="11308" width="46.7109375" style="367" customWidth="1"/>
    <col min="11309" max="11309" width="43.7109375" style="367" customWidth="1"/>
    <col min="11310" max="11310" width="25.42578125" style="367" customWidth="1"/>
    <col min="11311" max="11311" width="12.42578125" style="367" customWidth="1"/>
    <col min="11312" max="11312" width="16.42578125" style="367" customWidth="1"/>
    <col min="11313" max="11313" width="13.42578125" style="367" customWidth="1"/>
    <col min="11314" max="11314" width="8.5703125" style="367" customWidth="1"/>
    <col min="11315" max="11318" width="11.42578125" style="367" customWidth="1"/>
    <col min="11319" max="11319" width="12.7109375" style="367" customWidth="1"/>
    <col min="11320" max="11320" width="11.85546875" style="367" customWidth="1"/>
    <col min="11321" max="11321" width="7.85546875" style="367" customWidth="1"/>
    <col min="11322" max="11322" width="7.5703125" style="367" customWidth="1"/>
    <col min="11323" max="11323" width="8.85546875" style="367" customWidth="1"/>
    <col min="11324" max="11324" width="8.140625" style="367" customWidth="1"/>
    <col min="11325" max="11325" width="7.85546875" style="367" customWidth="1"/>
    <col min="11326" max="11326" width="8.5703125" style="367" customWidth="1"/>
    <col min="11327" max="11327" width="8.28515625" style="367" customWidth="1"/>
    <col min="11328" max="11328" width="11.42578125" style="367" customWidth="1"/>
    <col min="11329" max="11329" width="18" style="367" customWidth="1"/>
    <col min="11330" max="11330" width="21.42578125" style="367" customWidth="1"/>
    <col min="11331" max="11331" width="27.85546875" style="367" customWidth="1"/>
    <col min="11332" max="11547" width="11.42578125" style="367"/>
    <col min="11548" max="11548" width="13.5703125" style="367" customWidth="1"/>
    <col min="11549" max="11549" width="19" style="367" customWidth="1"/>
    <col min="11550" max="11550" width="13.5703125" style="367" customWidth="1"/>
    <col min="11551" max="11551" width="19.7109375" style="367" customWidth="1"/>
    <col min="11552" max="11552" width="13.5703125" style="367" customWidth="1"/>
    <col min="11553" max="11554" width="14.7109375" style="367" customWidth="1"/>
    <col min="11555" max="11555" width="36.140625" style="367" customWidth="1"/>
    <col min="11556" max="11556" width="29.42578125" style="367" customWidth="1"/>
    <col min="11557" max="11557" width="16" style="367" customWidth="1"/>
    <col min="11558" max="11558" width="38.28515625" style="367" customWidth="1"/>
    <col min="11559" max="11559" width="12" style="367" customWidth="1"/>
    <col min="11560" max="11560" width="38.140625" style="367" customWidth="1"/>
    <col min="11561" max="11561" width="17.85546875" style="367" bestFit="1" customWidth="1"/>
    <col min="11562" max="11562" width="24.7109375" style="367" customWidth="1"/>
    <col min="11563" max="11563" width="36.42578125" style="367" customWidth="1"/>
    <col min="11564" max="11564" width="46.7109375" style="367" customWidth="1"/>
    <col min="11565" max="11565" width="43.7109375" style="367" customWidth="1"/>
    <col min="11566" max="11566" width="25.42578125" style="367" customWidth="1"/>
    <col min="11567" max="11567" width="12.42578125" style="367" customWidth="1"/>
    <col min="11568" max="11568" width="16.42578125" style="367" customWidth="1"/>
    <col min="11569" max="11569" width="13.42578125" style="367" customWidth="1"/>
    <col min="11570" max="11570" width="8.5703125" style="367" customWidth="1"/>
    <col min="11571" max="11574" width="11.42578125" style="367" customWidth="1"/>
    <col min="11575" max="11575" width="12.7109375" style="367" customWidth="1"/>
    <col min="11576" max="11576" width="11.85546875" style="367" customWidth="1"/>
    <col min="11577" max="11577" width="7.85546875" style="367" customWidth="1"/>
    <col min="11578" max="11578" width="7.5703125" style="367" customWidth="1"/>
    <col min="11579" max="11579" width="8.85546875" style="367" customWidth="1"/>
    <col min="11580" max="11580" width="8.140625" style="367" customWidth="1"/>
    <col min="11581" max="11581" width="7.85546875" style="367" customWidth="1"/>
    <col min="11582" max="11582" width="8.5703125" style="367" customWidth="1"/>
    <col min="11583" max="11583" width="8.28515625" style="367" customWidth="1"/>
    <col min="11584" max="11584" width="11.42578125" style="367" customWidth="1"/>
    <col min="11585" max="11585" width="18" style="367" customWidth="1"/>
    <col min="11586" max="11586" width="21.42578125" style="367" customWidth="1"/>
    <col min="11587" max="11587" width="27.85546875" style="367" customWidth="1"/>
    <col min="11588" max="11803" width="11.42578125" style="367"/>
    <col min="11804" max="11804" width="13.5703125" style="367" customWidth="1"/>
    <col min="11805" max="11805" width="19" style="367" customWidth="1"/>
    <col min="11806" max="11806" width="13.5703125" style="367" customWidth="1"/>
    <col min="11807" max="11807" width="19.7109375" style="367" customWidth="1"/>
    <col min="11808" max="11808" width="13.5703125" style="367" customWidth="1"/>
    <col min="11809" max="11810" width="14.7109375" style="367" customWidth="1"/>
    <col min="11811" max="11811" width="36.140625" style="367" customWidth="1"/>
    <col min="11812" max="11812" width="29.42578125" style="367" customWidth="1"/>
    <col min="11813" max="11813" width="16" style="367" customWidth="1"/>
    <col min="11814" max="11814" width="38.28515625" style="367" customWidth="1"/>
    <col min="11815" max="11815" width="12" style="367" customWidth="1"/>
    <col min="11816" max="11816" width="38.140625" style="367" customWidth="1"/>
    <col min="11817" max="11817" width="17.85546875" style="367" bestFit="1" customWidth="1"/>
    <col min="11818" max="11818" width="24.7109375" style="367" customWidth="1"/>
    <col min="11819" max="11819" width="36.42578125" style="367" customWidth="1"/>
    <col min="11820" max="11820" width="46.7109375" style="367" customWidth="1"/>
    <col min="11821" max="11821" width="43.7109375" style="367" customWidth="1"/>
    <col min="11822" max="11822" width="25.42578125" style="367" customWidth="1"/>
    <col min="11823" max="11823" width="12.42578125" style="367" customWidth="1"/>
    <col min="11824" max="11824" width="16.42578125" style="367" customWidth="1"/>
    <col min="11825" max="11825" width="13.42578125" style="367" customWidth="1"/>
    <col min="11826" max="11826" width="8.5703125" style="367" customWidth="1"/>
    <col min="11827" max="11830" width="11.42578125" style="367" customWidth="1"/>
    <col min="11831" max="11831" width="12.7109375" style="367" customWidth="1"/>
    <col min="11832" max="11832" width="11.85546875" style="367" customWidth="1"/>
    <col min="11833" max="11833" width="7.85546875" style="367" customWidth="1"/>
    <col min="11834" max="11834" width="7.5703125" style="367" customWidth="1"/>
    <col min="11835" max="11835" width="8.85546875" style="367" customWidth="1"/>
    <col min="11836" max="11836" width="8.140625" style="367" customWidth="1"/>
    <col min="11837" max="11837" width="7.85546875" style="367" customWidth="1"/>
    <col min="11838" max="11838" width="8.5703125" style="367" customWidth="1"/>
    <col min="11839" max="11839" width="8.28515625" style="367" customWidth="1"/>
    <col min="11840" max="11840" width="11.42578125" style="367" customWidth="1"/>
    <col min="11841" max="11841" width="18" style="367" customWidth="1"/>
    <col min="11842" max="11842" width="21.42578125" style="367" customWidth="1"/>
    <col min="11843" max="11843" width="27.85546875" style="367" customWidth="1"/>
    <col min="11844" max="12059" width="11.42578125" style="367"/>
    <col min="12060" max="12060" width="13.5703125" style="367" customWidth="1"/>
    <col min="12061" max="12061" width="19" style="367" customWidth="1"/>
    <col min="12062" max="12062" width="13.5703125" style="367" customWidth="1"/>
    <col min="12063" max="12063" width="19.7109375" style="367" customWidth="1"/>
    <col min="12064" max="12064" width="13.5703125" style="367" customWidth="1"/>
    <col min="12065" max="12066" width="14.7109375" style="367" customWidth="1"/>
    <col min="12067" max="12067" width="36.140625" style="367" customWidth="1"/>
    <col min="12068" max="12068" width="29.42578125" style="367" customWidth="1"/>
    <col min="12069" max="12069" width="16" style="367" customWidth="1"/>
    <col min="12070" max="12070" width="38.28515625" style="367" customWidth="1"/>
    <col min="12071" max="12071" width="12" style="367" customWidth="1"/>
    <col min="12072" max="12072" width="38.140625" style="367" customWidth="1"/>
    <col min="12073" max="12073" width="17.85546875" style="367" bestFit="1" customWidth="1"/>
    <col min="12074" max="12074" width="24.7109375" style="367" customWidth="1"/>
    <col min="12075" max="12075" width="36.42578125" style="367" customWidth="1"/>
    <col min="12076" max="12076" width="46.7109375" style="367" customWidth="1"/>
    <col min="12077" max="12077" width="43.7109375" style="367" customWidth="1"/>
    <col min="12078" max="12078" width="25.42578125" style="367" customWidth="1"/>
    <col min="12079" max="12079" width="12.42578125" style="367" customWidth="1"/>
    <col min="12080" max="12080" width="16.42578125" style="367" customWidth="1"/>
    <col min="12081" max="12081" width="13.42578125" style="367" customWidth="1"/>
    <col min="12082" max="12082" width="8.5703125" style="367" customWidth="1"/>
    <col min="12083" max="12086" width="11.42578125" style="367" customWidth="1"/>
    <col min="12087" max="12087" width="12.7109375" style="367" customWidth="1"/>
    <col min="12088" max="12088" width="11.85546875" style="367" customWidth="1"/>
    <col min="12089" max="12089" width="7.85546875" style="367" customWidth="1"/>
    <col min="12090" max="12090" width="7.5703125" style="367" customWidth="1"/>
    <col min="12091" max="12091" width="8.85546875" style="367" customWidth="1"/>
    <col min="12092" max="12092" width="8.140625" style="367" customWidth="1"/>
    <col min="12093" max="12093" width="7.85546875" style="367" customWidth="1"/>
    <col min="12094" max="12094" width="8.5703125" style="367" customWidth="1"/>
    <col min="12095" max="12095" width="8.28515625" style="367" customWidth="1"/>
    <col min="12096" max="12096" width="11.42578125" style="367" customWidth="1"/>
    <col min="12097" max="12097" width="18" style="367" customWidth="1"/>
    <col min="12098" max="12098" width="21.42578125" style="367" customWidth="1"/>
    <col min="12099" max="12099" width="27.85546875" style="367" customWidth="1"/>
    <col min="12100" max="12315" width="11.42578125" style="367"/>
    <col min="12316" max="12316" width="13.5703125" style="367" customWidth="1"/>
    <col min="12317" max="12317" width="19" style="367" customWidth="1"/>
    <col min="12318" max="12318" width="13.5703125" style="367" customWidth="1"/>
    <col min="12319" max="12319" width="19.7109375" style="367" customWidth="1"/>
    <col min="12320" max="12320" width="13.5703125" style="367" customWidth="1"/>
    <col min="12321" max="12322" width="14.7109375" style="367" customWidth="1"/>
    <col min="12323" max="12323" width="36.140625" style="367" customWidth="1"/>
    <col min="12324" max="12324" width="29.42578125" style="367" customWidth="1"/>
    <col min="12325" max="12325" width="16" style="367" customWidth="1"/>
    <col min="12326" max="12326" width="38.28515625" style="367" customWidth="1"/>
    <col min="12327" max="12327" width="12" style="367" customWidth="1"/>
    <col min="12328" max="12328" width="38.140625" style="367" customWidth="1"/>
    <col min="12329" max="12329" width="17.85546875" style="367" bestFit="1" customWidth="1"/>
    <col min="12330" max="12330" width="24.7109375" style="367" customWidth="1"/>
    <col min="12331" max="12331" width="36.42578125" style="367" customWidth="1"/>
    <col min="12332" max="12332" width="46.7109375" style="367" customWidth="1"/>
    <col min="12333" max="12333" width="43.7109375" style="367" customWidth="1"/>
    <col min="12334" max="12334" width="25.42578125" style="367" customWidth="1"/>
    <col min="12335" max="12335" width="12.42578125" style="367" customWidth="1"/>
    <col min="12336" max="12336" width="16.42578125" style="367" customWidth="1"/>
    <col min="12337" max="12337" width="13.42578125" style="367" customWidth="1"/>
    <col min="12338" max="12338" width="8.5703125" style="367" customWidth="1"/>
    <col min="12339" max="12342" width="11.42578125" style="367" customWidth="1"/>
    <col min="12343" max="12343" width="12.7109375" style="367" customWidth="1"/>
    <col min="12344" max="12344" width="11.85546875" style="367" customWidth="1"/>
    <col min="12345" max="12345" width="7.85546875" style="367" customWidth="1"/>
    <col min="12346" max="12346" width="7.5703125" style="367" customWidth="1"/>
    <col min="12347" max="12347" width="8.85546875" style="367" customWidth="1"/>
    <col min="12348" max="12348" width="8.140625" style="367" customWidth="1"/>
    <col min="12349" max="12349" width="7.85546875" style="367" customWidth="1"/>
    <col min="12350" max="12350" width="8.5703125" style="367" customWidth="1"/>
    <col min="12351" max="12351" width="8.28515625" style="367" customWidth="1"/>
    <col min="12352" max="12352" width="11.42578125" style="367" customWidth="1"/>
    <col min="12353" max="12353" width="18" style="367" customWidth="1"/>
    <col min="12354" max="12354" width="21.42578125" style="367" customWidth="1"/>
    <col min="12355" max="12355" width="27.85546875" style="367" customWidth="1"/>
    <col min="12356" max="12571" width="11.42578125" style="367"/>
    <col min="12572" max="12572" width="13.5703125" style="367" customWidth="1"/>
    <col min="12573" max="12573" width="19" style="367" customWidth="1"/>
    <col min="12574" max="12574" width="13.5703125" style="367" customWidth="1"/>
    <col min="12575" max="12575" width="19.7109375" style="367" customWidth="1"/>
    <col min="12576" max="12576" width="13.5703125" style="367" customWidth="1"/>
    <col min="12577" max="12578" width="14.7109375" style="367" customWidth="1"/>
    <col min="12579" max="12579" width="36.140625" style="367" customWidth="1"/>
    <col min="12580" max="12580" width="29.42578125" style="367" customWidth="1"/>
    <col min="12581" max="12581" width="16" style="367" customWidth="1"/>
    <col min="12582" max="12582" width="38.28515625" style="367" customWidth="1"/>
    <col min="12583" max="12583" width="12" style="367" customWidth="1"/>
    <col min="12584" max="12584" width="38.140625" style="367" customWidth="1"/>
    <col min="12585" max="12585" width="17.85546875" style="367" bestFit="1" customWidth="1"/>
    <col min="12586" max="12586" width="24.7109375" style="367" customWidth="1"/>
    <col min="12587" max="12587" width="36.42578125" style="367" customWidth="1"/>
    <col min="12588" max="12588" width="46.7109375" style="367" customWidth="1"/>
    <col min="12589" max="12589" width="43.7109375" style="367" customWidth="1"/>
    <col min="12590" max="12590" width="25.42578125" style="367" customWidth="1"/>
    <col min="12591" max="12591" width="12.42578125" style="367" customWidth="1"/>
    <col min="12592" max="12592" width="16.42578125" style="367" customWidth="1"/>
    <col min="12593" max="12593" width="13.42578125" style="367" customWidth="1"/>
    <col min="12594" max="12594" width="8.5703125" style="367" customWidth="1"/>
    <col min="12595" max="12598" width="11.42578125" style="367" customWidth="1"/>
    <col min="12599" max="12599" width="12.7109375" style="367" customWidth="1"/>
    <col min="12600" max="12600" width="11.85546875" style="367" customWidth="1"/>
    <col min="12601" max="12601" width="7.85546875" style="367" customWidth="1"/>
    <col min="12602" max="12602" width="7.5703125" style="367" customWidth="1"/>
    <col min="12603" max="12603" width="8.85546875" style="367" customWidth="1"/>
    <col min="12604" max="12604" width="8.140625" style="367" customWidth="1"/>
    <col min="12605" max="12605" width="7.85546875" style="367" customWidth="1"/>
    <col min="12606" max="12606" width="8.5703125" style="367" customWidth="1"/>
    <col min="12607" max="12607" width="8.28515625" style="367" customWidth="1"/>
    <col min="12608" max="12608" width="11.42578125" style="367" customWidth="1"/>
    <col min="12609" max="12609" width="18" style="367" customWidth="1"/>
    <col min="12610" max="12610" width="21.42578125" style="367" customWidth="1"/>
    <col min="12611" max="12611" width="27.85546875" style="367" customWidth="1"/>
    <col min="12612" max="12827" width="11.42578125" style="367"/>
    <col min="12828" max="12828" width="13.5703125" style="367" customWidth="1"/>
    <col min="12829" max="12829" width="19" style="367" customWidth="1"/>
    <col min="12830" max="12830" width="13.5703125" style="367" customWidth="1"/>
    <col min="12831" max="12831" width="19.7109375" style="367" customWidth="1"/>
    <col min="12832" max="12832" width="13.5703125" style="367" customWidth="1"/>
    <col min="12833" max="12834" width="14.7109375" style="367" customWidth="1"/>
    <col min="12835" max="12835" width="36.140625" style="367" customWidth="1"/>
    <col min="12836" max="12836" width="29.42578125" style="367" customWidth="1"/>
    <col min="12837" max="12837" width="16" style="367" customWidth="1"/>
    <col min="12838" max="12838" width="38.28515625" style="367" customWidth="1"/>
    <col min="12839" max="12839" width="12" style="367" customWidth="1"/>
    <col min="12840" max="12840" width="38.140625" style="367" customWidth="1"/>
    <col min="12841" max="12841" width="17.85546875" style="367" bestFit="1" customWidth="1"/>
    <col min="12842" max="12842" width="24.7109375" style="367" customWidth="1"/>
    <col min="12843" max="12843" width="36.42578125" style="367" customWidth="1"/>
    <col min="12844" max="12844" width="46.7109375" style="367" customWidth="1"/>
    <col min="12845" max="12845" width="43.7109375" style="367" customWidth="1"/>
    <col min="12846" max="12846" width="25.42578125" style="367" customWidth="1"/>
    <col min="12847" max="12847" width="12.42578125" style="367" customWidth="1"/>
    <col min="12848" max="12848" width="16.42578125" style="367" customWidth="1"/>
    <col min="12849" max="12849" width="13.42578125" style="367" customWidth="1"/>
    <col min="12850" max="12850" width="8.5703125" style="367" customWidth="1"/>
    <col min="12851" max="12854" width="11.42578125" style="367" customWidth="1"/>
    <col min="12855" max="12855" width="12.7109375" style="367" customWidth="1"/>
    <col min="12856" max="12856" width="11.85546875" style="367" customWidth="1"/>
    <col min="12857" max="12857" width="7.85546875" style="367" customWidth="1"/>
    <col min="12858" max="12858" width="7.5703125" style="367" customWidth="1"/>
    <col min="12859" max="12859" width="8.85546875" style="367" customWidth="1"/>
    <col min="12860" max="12860" width="8.140625" style="367" customWidth="1"/>
    <col min="12861" max="12861" width="7.85546875" style="367" customWidth="1"/>
    <col min="12862" max="12862" width="8.5703125" style="367" customWidth="1"/>
    <col min="12863" max="12863" width="8.28515625" style="367" customWidth="1"/>
    <col min="12864" max="12864" width="11.42578125" style="367" customWidth="1"/>
    <col min="12865" max="12865" width="18" style="367" customWidth="1"/>
    <col min="12866" max="12866" width="21.42578125" style="367" customWidth="1"/>
    <col min="12867" max="12867" width="27.85546875" style="367" customWidth="1"/>
    <col min="12868" max="13083" width="11.42578125" style="367"/>
    <col min="13084" max="13084" width="13.5703125" style="367" customWidth="1"/>
    <col min="13085" max="13085" width="19" style="367" customWidth="1"/>
    <col min="13086" max="13086" width="13.5703125" style="367" customWidth="1"/>
    <col min="13087" max="13087" width="19.7109375" style="367" customWidth="1"/>
    <col min="13088" max="13088" width="13.5703125" style="367" customWidth="1"/>
    <col min="13089" max="13090" width="14.7109375" style="367" customWidth="1"/>
    <col min="13091" max="13091" width="36.140625" style="367" customWidth="1"/>
    <col min="13092" max="13092" width="29.42578125" style="367" customWidth="1"/>
    <col min="13093" max="13093" width="16" style="367" customWidth="1"/>
    <col min="13094" max="13094" width="38.28515625" style="367" customWidth="1"/>
    <col min="13095" max="13095" width="12" style="367" customWidth="1"/>
    <col min="13096" max="13096" width="38.140625" style="367" customWidth="1"/>
    <col min="13097" max="13097" width="17.85546875" style="367" bestFit="1" customWidth="1"/>
    <col min="13098" max="13098" width="24.7109375" style="367" customWidth="1"/>
    <col min="13099" max="13099" width="36.42578125" style="367" customWidth="1"/>
    <col min="13100" max="13100" width="46.7109375" style="367" customWidth="1"/>
    <col min="13101" max="13101" width="43.7109375" style="367" customWidth="1"/>
    <col min="13102" max="13102" width="25.42578125" style="367" customWidth="1"/>
    <col min="13103" max="13103" width="12.42578125" style="367" customWidth="1"/>
    <col min="13104" max="13104" width="16.42578125" style="367" customWidth="1"/>
    <col min="13105" max="13105" width="13.42578125" style="367" customWidth="1"/>
    <col min="13106" max="13106" width="8.5703125" style="367" customWidth="1"/>
    <col min="13107" max="13110" width="11.42578125" style="367" customWidth="1"/>
    <col min="13111" max="13111" width="12.7109375" style="367" customWidth="1"/>
    <col min="13112" max="13112" width="11.85546875" style="367" customWidth="1"/>
    <col min="13113" max="13113" width="7.85546875" style="367" customWidth="1"/>
    <col min="13114" max="13114" width="7.5703125" style="367" customWidth="1"/>
    <col min="13115" max="13115" width="8.85546875" style="367" customWidth="1"/>
    <col min="13116" max="13116" width="8.140625" style="367" customWidth="1"/>
    <col min="13117" max="13117" width="7.85546875" style="367" customWidth="1"/>
    <col min="13118" max="13118" width="8.5703125" style="367" customWidth="1"/>
    <col min="13119" max="13119" width="8.28515625" style="367" customWidth="1"/>
    <col min="13120" max="13120" width="11.42578125" style="367" customWidth="1"/>
    <col min="13121" max="13121" width="18" style="367" customWidth="1"/>
    <col min="13122" max="13122" width="21.42578125" style="367" customWidth="1"/>
    <col min="13123" max="13123" width="27.85546875" style="367" customWidth="1"/>
    <col min="13124" max="13339" width="11.42578125" style="367"/>
    <col min="13340" max="13340" width="13.5703125" style="367" customWidth="1"/>
    <col min="13341" max="13341" width="19" style="367" customWidth="1"/>
    <col min="13342" max="13342" width="13.5703125" style="367" customWidth="1"/>
    <col min="13343" max="13343" width="19.7109375" style="367" customWidth="1"/>
    <col min="13344" max="13344" width="13.5703125" style="367" customWidth="1"/>
    <col min="13345" max="13346" width="14.7109375" style="367" customWidth="1"/>
    <col min="13347" max="13347" width="36.140625" style="367" customWidth="1"/>
    <col min="13348" max="13348" width="29.42578125" style="367" customWidth="1"/>
    <col min="13349" max="13349" width="16" style="367" customWidth="1"/>
    <col min="13350" max="13350" width="38.28515625" style="367" customWidth="1"/>
    <col min="13351" max="13351" width="12" style="367" customWidth="1"/>
    <col min="13352" max="13352" width="38.140625" style="367" customWidth="1"/>
    <col min="13353" max="13353" width="17.85546875" style="367" bestFit="1" customWidth="1"/>
    <col min="13354" max="13354" width="24.7109375" style="367" customWidth="1"/>
    <col min="13355" max="13355" width="36.42578125" style="367" customWidth="1"/>
    <col min="13356" max="13356" width="46.7109375" style="367" customWidth="1"/>
    <col min="13357" max="13357" width="43.7109375" style="367" customWidth="1"/>
    <col min="13358" max="13358" width="25.42578125" style="367" customWidth="1"/>
    <col min="13359" max="13359" width="12.42578125" style="367" customWidth="1"/>
    <col min="13360" max="13360" width="16.42578125" style="367" customWidth="1"/>
    <col min="13361" max="13361" width="13.42578125" style="367" customWidth="1"/>
    <col min="13362" max="13362" width="8.5703125" style="367" customWidth="1"/>
    <col min="13363" max="13366" width="11.42578125" style="367" customWidth="1"/>
    <col min="13367" max="13367" width="12.7109375" style="367" customWidth="1"/>
    <col min="13368" max="13368" width="11.85546875" style="367" customWidth="1"/>
    <col min="13369" max="13369" width="7.85546875" style="367" customWidth="1"/>
    <col min="13370" max="13370" width="7.5703125" style="367" customWidth="1"/>
    <col min="13371" max="13371" width="8.85546875" style="367" customWidth="1"/>
    <col min="13372" max="13372" width="8.140625" style="367" customWidth="1"/>
    <col min="13373" max="13373" width="7.85546875" style="367" customWidth="1"/>
    <col min="13374" max="13374" width="8.5703125" style="367" customWidth="1"/>
    <col min="13375" max="13375" width="8.28515625" style="367" customWidth="1"/>
    <col min="13376" max="13376" width="11.42578125" style="367" customWidth="1"/>
    <col min="13377" max="13377" width="18" style="367" customWidth="1"/>
    <col min="13378" max="13378" width="21.42578125" style="367" customWidth="1"/>
    <col min="13379" max="13379" width="27.85546875" style="367" customWidth="1"/>
    <col min="13380" max="13595" width="11.42578125" style="367"/>
    <col min="13596" max="13596" width="13.5703125" style="367" customWidth="1"/>
    <col min="13597" max="13597" width="19" style="367" customWidth="1"/>
    <col min="13598" max="13598" width="13.5703125" style="367" customWidth="1"/>
    <col min="13599" max="13599" width="19.7109375" style="367" customWidth="1"/>
    <col min="13600" max="13600" width="13.5703125" style="367" customWidth="1"/>
    <col min="13601" max="13602" width="14.7109375" style="367" customWidth="1"/>
    <col min="13603" max="13603" width="36.140625" style="367" customWidth="1"/>
    <col min="13604" max="13604" width="29.42578125" style="367" customWidth="1"/>
    <col min="13605" max="13605" width="16" style="367" customWidth="1"/>
    <col min="13606" max="13606" width="38.28515625" style="367" customWidth="1"/>
    <col min="13607" max="13607" width="12" style="367" customWidth="1"/>
    <col min="13608" max="13608" width="38.140625" style="367" customWidth="1"/>
    <col min="13609" max="13609" width="17.85546875" style="367" bestFit="1" customWidth="1"/>
    <col min="13610" max="13610" width="24.7109375" style="367" customWidth="1"/>
    <col min="13611" max="13611" width="36.42578125" style="367" customWidth="1"/>
    <col min="13612" max="13612" width="46.7109375" style="367" customWidth="1"/>
    <col min="13613" max="13613" width="43.7109375" style="367" customWidth="1"/>
    <col min="13614" max="13614" width="25.42578125" style="367" customWidth="1"/>
    <col min="13615" max="13615" width="12.42578125" style="367" customWidth="1"/>
    <col min="13616" max="13616" width="16.42578125" style="367" customWidth="1"/>
    <col min="13617" max="13617" width="13.42578125" style="367" customWidth="1"/>
    <col min="13618" max="13618" width="8.5703125" style="367" customWidth="1"/>
    <col min="13619" max="13622" width="11.42578125" style="367" customWidth="1"/>
    <col min="13623" max="13623" width="12.7109375" style="367" customWidth="1"/>
    <col min="13624" max="13624" width="11.85546875" style="367" customWidth="1"/>
    <col min="13625" max="13625" width="7.85546875" style="367" customWidth="1"/>
    <col min="13626" max="13626" width="7.5703125" style="367" customWidth="1"/>
    <col min="13627" max="13627" width="8.85546875" style="367" customWidth="1"/>
    <col min="13628" max="13628" width="8.140625" style="367" customWidth="1"/>
    <col min="13629" max="13629" width="7.85546875" style="367" customWidth="1"/>
    <col min="13630" max="13630" width="8.5703125" style="367" customWidth="1"/>
    <col min="13631" max="13631" width="8.28515625" style="367" customWidth="1"/>
    <col min="13632" max="13632" width="11.42578125" style="367" customWidth="1"/>
    <col min="13633" max="13633" width="18" style="367" customWidth="1"/>
    <col min="13634" max="13634" width="21.42578125" style="367" customWidth="1"/>
    <col min="13635" max="13635" width="27.85546875" style="367" customWidth="1"/>
    <col min="13636" max="13851" width="11.42578125" style="367"/>
    <col min="13852" max="13852" width="13.5703125" style="367" customWidth="1"/>
    <col min="13853" max="13853" width="19" style="367" customWidth="1"/>
    <col min="13854" max="13854" width="13.5703125" style="367" customWidth="1"/>
    <col min="13855" max="13855" width="19.7109375" style="367" customWidth="1"/>
    <col min="13856" max="13856" width="13.5703125" style="367" customWidth="1"/>
    <col min="13857" max="13858" width="14.7109375" style="367" customWidth="1"/>
    <col min="13859" max="13859" width="36.140625" style="367" customWidth="1"/>
    <col min="13860" max="13860" width="29.42578125" style="367" customWidth="1"/>
    <col min="13861" max="13861" width="16" style="367" customWidth="1"/>
    <col min="13862" max="13862" width="38.28515625" style="367" customWidth="1"/>
    <col min="13863" max="13863" width="12" style="367" customWidth="1"/>
    <col min="13864" max="13864" width="38.140625" style="367" customWidth="1"/>
    <col min="13865" max="13865" width="17.85546875" style="367" bestFit="1" customWidth="1"/>
    <col min="13866" max="13866" width="24.7109375" style="367" customWidth="1"/>
    <col min="13867" max="13867" width="36.42578125" style="367" customWidth="1"/>
    <col min="13868" max="13868" width="46.7109375" style="367" customWidth="1"/>
    <col min="13869" max="13869" width="43.7109375" style="367" customWidth="1"/>
    <col min="13870" max="13870" width="25.42578125" style="367" customWidth="1"/>
    <col min="13871" max="13871" width="12.42578125" style="367" customWidth="1"/>
    <col min="13872" max="13872" width="16.42578125" style="367" customWidth="1"/>
    <col min="13873" max="13873" width="13.42578125" style="367" customWidth="1"/>
    <col min="13874" max="13874" width="8.5703125" style="367" customWidth="1"/>
    <col min="13875" max="13878" width="11.42578125" style="367" customWidth="1"/>
    <col min="13879" max="13879" width="12.7109375" style="367" customWidth="1"/>
    <col min="13880" max="13880" width="11.85546875" style="367" customWidth="1"/>
    <col min="13881" max="13881" width="7.85546875" style="367" customWidth="1"/>
    <col min="13882" max="13882" width="7.5703125" style="367" customWidth="1"/>
    <col min="13883" max="13883" width="8.85546875" style="367" customWidth="1"/>
    <col min="13884" max="13884" width="8.140625" style="367" customWidth="1"/>
    <col min="13885" max="13885" width="7.85546875" style="367" customWidth="1"/>
    <col min="13886" max="13886" width="8.5703125" style="367" customWidth="1"/>
    <col min="13887" max="13887" width="8.28515625" style="367" customWidth="1"/>
    <col min="13888" max="13888" width="11.42578125" style="367" customWidth="1"/>
    <col min="13889" max="13889" width="18" style="367" customWidth="1"/>
    <col min="13890" max="13890" width="21.42578125" style="367" customWidth="1"/>
    <col min="13891" max="13891" width="27.85546875" style="367" customWidth="1"/>
    <col min="13892" max="14107" width="11.42578125" style="367"/>
    <col min="14108" max="14108" width="13.5703125" style="367" customWidth="1"/>
    <col min="14109" max="14109" width="19" style="367" customWidth="1"/>
    <col min="14110" max="14110" width="13.5703125" style="367" customWidth="1"/>
    <col min="14111" max="14111" width="19.7109375" style="367" customWidth="1"/>
    <col min="14112" max="14112" width="13.5703125" style="367" customWidth="1"/>
    <col min="14113" max="14114" width="14.7109375" style="367" customWidth="1"/>
    <col min="14115" max="14115" width="36.140625" style="367" customWidth="1"/>
    <col min="14116" max="14116" width="29.42578125" style="367" customWidth="1"/>
    <col min="14117" max="14117" width="16" style="367" customWidth="1"/>
    <col min="14118" max="14118" width="38.28515625" style="367" customWidth="1"/>
    <col min="14119" max="14119" width="12" style="367" customWidth="1"/>
    <col min="14120" max="14120" width="38.140625" style="367" customWidth="1"/>
    <col min="14121" max="14121" width="17.85546875" style="367" bestFit="1" customWidth="1"/>
    <col min="14122" max="14122" width="24.7109375" style="367" customWidth="1"/>
    <col min="14123" max="14123" width="36.42578125" style="367" customWidth="1"/>
    <col min="14124" max="14124" width="46.7109375" style="367" customWidth="1"/>
    <col min="14125" max="14125" width="43.7109375" style="367" customWidth="1"/>
    <col min="14126" max="14126" width="25.42578125" style="367" customWidth="1"/>
    <col min="14127" max="14127" width="12.42578125" style="367" customWidth="1"/>
    <col min="14128" max="14128" width="16.42578125" style="367" customWidth="1"/>
    <col min="14129" max="14129" width="13.42578125" style="367" customWidth="1"/>
    <col min="14130" max="14130" width="8.5703125" style="367" customWidth="1"/>
    <col min="14131" max="14134" width="11.42578125" style="367" customWidth="1"/>
    <col min="14135" max="14135" width="12.7109375" style="367" customWidth="1"/>
    <col min="14136" max="14136" width="11.85546875" style="367" customWidth="1"/>
    <col min="14137" max="14137" width="7.85546875" style="367" customWidth="1"/>
    <col min="14138" max="14138" width="7.5703125" style="367" customWidth="1"/>
    <col min="14139" max="14139" width="8.85546875" style="367" customWidth="1"/>
    <col min="14140" max="14140" width="8.140625" style="367" customWidth="1"/>
    <col min="14141" max="14141" width="7.85546875" style="367" customWidth="1"/>
    <col min="14142" max="14142" width="8.5703125" style="367" customWidth="1"/>
    <col min="14143" max="14143" width="8.28515625" style="367" customWidth="1"/>
    <col min="14144" max="14144" width="11.42578125" style="367" customWidth="1"/>
    <col min="14145" max="14145" width="18" style="367" customWidth="1"/>
    <col min="14146" max="14146" width="21.42578125" style="367" customWidth="1"/>
    <col min="14147" max="14147" width="27.85546875" style="367" customWidth="1"/>
    <col min="14148" max="14363" width="11.42578125" style="367"/>
    <col min="14364" max="14364" width="13.5703125" style="367" customWidth="1"/>
    <col min="14365" max="14365" width="19" style="367" customWidth="1"/>
    <col min="14366" max="14366" width="13.5703125" style="367" customWidth="1"/>
    <col min="14367" max="14367" width="19.7109375" style="367" customWidth="1"/>
    <col min="14368" max="14368" width="13.5703125" style="367" customWidth="1"/>
    <col min="14369" max="14370" width="14.7109375" style="367" customWidth="1"/>
    <col min="14371" max="14371" width="36.140625" style="367" customWidth="1"/>
    <col min="14372" max="14372" width="29.42578125" style="367" customWidth="1"/>
    <col min="14373" max="14373" width="16" style="367" customWidth="1"/>
    <col min="14374" max="14374" width="38.28515625" style="367" customWidth="1"/>
    <col min="14375" max="14375" width="12" style="367" customWidth="1"/>
    <col min="14376" max="14376" width="38.140625" style="367" customWidth="1"/>
    <col min="14377" max="14377" width="17.85546875" style="367" bestFit="1" customWidth="1"/>
    <col min="14378" max="14378" width="24.7109375" style="367" customWidth="1"/>
    <col min="14379" max="14379" width="36.42578125" style="367" customWidth="1"/>
    <col min="14380" max="14380" width="46.7109375" style="367" customWidth="1"/>
    <col min="14381" max="14381" width="43.7109375" style="367" customWidth="1"/>
    <col min="14382" max="14382" width="25.42578125" style="367" customWidth="1"/>
    <col min="14383" max="14383" width="12.42578125" style="367" customWidth="1"/>
    <col min="14384" max="14384" width="16.42578125" style="367" customWidth="1"/>
    <col min="14385" max="14385" width="13.42578125" style="367" customWidth="1"/>
    <col min="14386" max="14386" width="8.5703125" style="367" customWidth="1"/>
    <col min="14387" max="14390" width="11.42578125" style="367" customWidth="1"/>
    <col min="14391" max="14391" width="12.7109375" style="367" customWidth="1"/>
    <col min="14392" max="14392" width="11.85546875" style="367" customWidth="1"/>
    <col min="14393" max="14393" width="7.85546875" style="367" customWidth="1"/>
    <col min="14394" max="14394" width="7.5703125" style="367" customWidth="1"/>
    <col min="14395" max="14395" width="8.85546875" style="367" customWidth="1"/>
    <col min="14396" max="14396" width="8.140625" style="367" customWidth="1"/>
    <col min="14397" max="14397" width="7.85546875" style="367" customWidth="1"/>
    <col min="14398" max="14398" width="8.5703125" style="367" customWidth="1"/>
    <col min="14399" max="14399" width="8.28515625" style="367" customWidth="1"/>
    <col min="14400" max="14400" width="11.42578125" style="367" customWidth="1"/>
    <col min="14401" max="14401" width="18" style="367" customWidth="1"/>
    <col min="14402" max="14402" width="21.42578125" style="367" customWidth="1"/>
    <col min="14403" max="14403" width="27.85546875" style="367" customWidth="1"/>
    <col min="14404" max="14619" width="11.42578125" style="367"/>
    <col min="14620" max="14620" width="13.5703125" style="367" customWidth="1"/>
    <col min="14621" max="14621" width="19" style="367" customWidth="1"/>
    <col min="14622" max="14622" width="13.5703125" style="367" customWidth="1"/>
    <col min="14623" max="14623" width="19.7109375" style="367" customWidth="1"/>
    <col min="14624" max="14624" width="13.5703125" style="367" customWidth="1"/>
    <col min="14625" max="14626" width="14.7109375" style="367" customWidth="1"/>
    <col min="14627" max="14627" width="36.140625" style="367" customWidth="1"/>
    <col min="14628" max="14628" width="29.42578125" style="367" customWidth="1"/>
    <col min="14629" max="14629" width="16" style="367" customWidth="1"/>
    <col min="14630" max="14630" width="38.28515625" style="367" customWidth="1"/>
    <col min="14631" max="14631" width="12" style="367" customWidth="1"/>
    <col min="14632" max="14632" width="38.140625" style="367" customWidth="1"/>
    <col min="14633" max="14633" width="17.85546875" style="367" bestFit="1" customWidth="1"/>
    <col min="14634" max="14634" width="24.7109375" style="367" customWidth="1"/>
    <col min="14635" max="14635" width="36.42578125" style="367" customWidth="1"/>
    <col min="14636" max="14636" width="46.7109375" style="367" customWidth="1"/>
    <col min="14637" max="14637" width="43.7109375" style="367" customWidth="1"/>
    <col min="14638" max="14638" width="25.42578125" style="367" customWidth="1"/>
    <col min="14639" max="14639" width="12.42578125" style="367" customWidth="1"/>
    <col min="14640" max="14640" width="16.42578125" style="367" customWidth="1"/>
    <col min="14641" max="14641" width="13.42578125" style="367" customWidth="1"/>
    <col min="14642" max="14642" width="8.5703125" style="367" customWidth="1"/>
    <col min="14643" max="14646" width="11.42578125" style="367" customWidth="1"/>
    <col min="14647" max="14647" width="12.7109375" style="367" customWidth="1"/>
    <col min="14648" max="14648" width="11.85546875" style="367" customWidth="1"/>
    <col min="14649" max="14649" width="7.85546875" style="367" customWidth="1"/>
    <col min="14650" max="14650" width="7.5703125" style="367" customWidth="1"/>
    <col min="14651" max="14651" width="8.85546875" style="367" customWidth="1"/>
    <col min="14652" max="14652" width="8.140625" style="367" customWidth="1"/>
    <col min="14653" max="14653" width="7.85546875" style="367" customWidth="1"/>
    <col min="14654" max="14654" width="8.5703125" style="367" customWidth="1"/>
    <col min="14655" max="14655" width="8.28515625" style="367" customWidth="1"/>
    <col min="14656" max="14656" width="11.42578125" style="367" customWidth="1"/>
    <col min="14657" max="14657" width="18" style="367" customWidth="1"/>
    <col min="14658" max="14658" width="21.42578125" style="367" customWidth="1"/>
    <col min="14659" max="14659" width="27.85546875" style="367" customWidth="1"/>
    <col min="14660" max="14875" width="11.42578125" style="367"/>
    <col min="14876" max="14876" width="13.5703125" style="367" customWidth="1"/>
    <col min="14877" max="14877" width="19" style="367" customWidth="1"/>
    <col min="14878" max="14878" width="13.5703125" style="367" customWidth="1"/>
    <col min="14879" max="14879" width="19.7109375" style="367" customWidth="1"/>
    <col min="14880" max="14880" width="13.5703125" style="367" customWidth="1"/>
    <col min="14881" max="14882" width="14.7109375" style="367" customWidth="1"/>
    <col min="14883" max="14883" width="36.140625" style="367" customWidth="1"/>
    <col min="14884" max="14884" width="29.42578125" style="367" customWidth="1"/>
    <col min="14885" max="14885" width="16" style="367" customWidth="1"/>
    <col min="14886" max="14886" width="38.28515625" style="367" customWidth="1"/>
    <col min="14887" max="14887" width="12" style="367" customWidth="1"/>
    <col min="14888" max="14888" width="38.140625" style="367" customWidth="1"/>
    <col min="14889" max="14889" width="17.85546875" style="367" bestFit="1" customWidth="1"/>
    <col min="14890" max="14890" width="24.7109375" style="367" customWidth="1"/>
    <col min="14891" max="14891" width="36.42578125" style="367" customWidth="1"/>
    <col min="14892" max="14892" width="46.7109375" style="367" customWidth="1"/>
    <col min="14893" max="14893" width="43.7109375" style="367" customWidth="1"/>
    <col min="14894" max="14894" width="25.42578125" style="367" customWidth="1"/>
    <col min="14895" max="14895" width="12.42578125" style="367" customWidth="1"/>
    <col min="14896" max="14896" width="16.42578125" style="367" customWidth="1"/>
    <col min="14897" max="14897" width="13.42578125" style="367" customWidth="1"/>
    <col min="14898" max="14898" width="8.5703125" style="367" customWidth="1"/>
    <col min="14899" max="14902" width="11.42578125" style="367" customWidth="1"/>
    <col min="14903" max="14903" width="12.7109375" style="367" customWidth="1"/>
    <col min="14904" max="14904" width="11.85546875" style="367" customWidth="1"/>
    <col min="14905" max="14905" width="7.85546875" style="367" customWidth="1"/>
    <col min="14906" max="14906" width="7.5703125" style="367" customWidth="1"/>
    <col min="14907" max="14907" width="8.85546875" style="367" customWidth="1"/>
    <col min="14908" max="14908" width="8.140625" style="367" customWidth="1"/>
    <col min="14909" max="14909" width="7.85546875" style="367" customWidth="1"/>
    <col min="14910" max="14910" width="8.5703125" style="367" customWidth="1"/>
    <col min="14911" max="14911" width="8.28515625" style="367" customWidth="1"/>
    <col min="14912" max="14912" width="11.42578125" style="367" customWidth="1"/>
    <col min="14913" max="14913" width="18" style="367" customWidth="1"/>
    <col min="14914" max="14914" width="21.42578125" style="367" customWidth="1"/>
    <col min="14915" max="14915" width="27.85546875" style="367" customWidth="1"/>
    <col min="14916" max="15131" width="11.42578125" style="367"/>
    <col min="15132" max="15132" width="13.5703125" style="367" customWidth="1"/>
    <col min="15133" max="15133" width="19" style="367" customWidth="1"/>
    <col min="15134" max="15134" width="13.5703125" style="367" customWidth="1"/>
    <col min="15135" max="15135" width="19.7109375" style="367" customWidth="1"/>
    <col min="15136" max="15136" width="13.5703125" style="367" customWidth="1"/>
    <col min="15137" max="15138" width="14.7109375" style="367" customWidth="1"/>
    <col min="15139" max="15139" width="36.140625" style="367" customWidth="1"/>
    <col min="15140" max="15140" width="29.42578125" style="367" customWidth="1"/>
    <col min="15141" max="15141" width="16" style="367" customWidth="1"/>
    <col min="15142" max="15142" width="38.28515625" style="367" customWidth="1"/>
    <col min="15143" max="15143" width="12" style="367" customWidth="1"/>
    <col min="15144" max="15144" width="38.140625" style="367" customWidth="1"/>
    <col min="15145" max="15145" width="17.85546875" style="367" bestFit="1" customWidth="1"/>
    <col min="15146" max="15146" width="24.7109375" style="367" customWidth="1"/>
    <col min="15147" max="15147" width="36.42578125" style="367" customWidth="1"/>
    <col min="15148" max="15148" width="46.7109375" style="367" customWidth="1"/>
    <col min="15149" max="15149" width="43.7109375" style="367" customWidth="1"/>
    <col min="15150" max="15150" width="25.42578125" style="367" customWidth="1"/>
    <col min="15151" max="15151" width="12.42578125" style="367" customWidth="1"/>
    <col min="15152" max="15152" width="16.42578125" style="367" customWidth="1"/>
    <col min="15153" max="15153" width="13.42578125" style="367" customWidth="1"/>
    <col min="15154" max="15154" width="8.5703125" style="367" customWidth="1"/>
    <col min="15155" max="15158" width="11.42578125" style="367" customWidth="1"/>
    <col min="15159" max="15159" width="12.7109375" style="367" customWidth="1"/>
    <col min="15160" max="15160" width="11.85546875" style="367" customWidth="1"/>
    <col min="15161" max="15161" width="7.85546875" style="367" customWidth="1"/>
    <col min="15162" max="15162" width="7.5703125" style="367" customWidth="1"/>
    <col min="15163" max="15163" width="8.85546875" style="367" customWidth="1"/>
    <col min="15164" max="15164" width="8.140625" style="367" customWidth="1"/>
    <col min="15165" max="15165" width="7.85546875" style="367" customWidth="1"/>
    <col min="15166" max="15166" width="8.5703125" style="367" customWidth="1"/>
    <col min="15167" max="15167" width="8.28515625" style="367" customWidth="1"/>
    <col min="15168" max="15168" width="11.42578125" style="367" customWidth="1"/>
    <col min="15169" max="15169" width="18" style="367" customWidth="1"/>
    <col min="15170" max="15170" width="21.42578125" style="367" customWidth="1"/>
    <col min="15171" max="15171" width="27.85546875" style="367" customWidth="1"/>
    <col min="15172" max="15387" width="11.42578125" style="367"/>
    <col min="15388" max="15388" width="13.5703125" style="367" customWidth="1"/>
    <col min="15389" max="15389" width="19" style="367" customWidth="1"/>
    <col min="15390" max="15390" width="13.5703125" style="367" customWidth="1"/>
    <col min="15391" max="15391" width="19.7109375" style="367" customWidth="1"/>
    <col min="15392" max="15392" width="13.5703125" style="367" customWidth="1"/>
    <col min="15393" max="15394" width="14.7109375" style="367" customWidth="1"/>
    <col min="15395" max="15395" width="36.140625" style="367" customWidth="1"/>
    <col min="15396" max="15396" width="29.42578125" style="367" customWidth="1"/>
    <col min="15397" max="15397" width="16" style="367" customWidth="1"/>
    <col min="15398" max="15398" width="38.28515625" style="367" customWidth="1"/>
    <col min="15399" max="15399" width="12" style="367" customWidth="1"/>
    <col min="15400" max="15400" width="38.140625" style="367" customWidth="1"/>
    <col min="15401" max="15401" width="17.85546875" style="367" bestFit="1" customWidth="1"/>
    <col min="15402" max="15402" width="24.7109375" style="367" customWidth="1"/>
    <col min="15403" max="15403" width="36.42578125" style="367" customWidth="1"/>
    <col min="15404" max="15404" width="46.7109375" style="367" customWidth="1"/>
    <col min="15405" max="15405" width="43.7109375" style="367" customWidth="1"/>
    <col min="15406" max="15406" width="25.42578125" style="367" customWidth="1"/>
    <col min="15407" max="15407" width="12.42578125" style="367" customWidth="1"/>
    <col min="15408" max="15408" width="16.42578125" style="367" customWidth="1"/>
    <col min="15409" max="15409" width="13.42578125" style="367" customWidth="1"/>
    <col min="15410" max="15410" width="8.5703125" style="367" customWidth="1"/>
    <col min="15411" max="15414" width="11.42578125" style="367" customWidth="1"/>
    <col min="15415" max="15415" width="12.7109375" style="367" customWidth="1"/>
    <col min="15416" max="15416" width="11.85546875" style="367" customWidth="1"/>
    <col min="15417" max="15417" width="7.85546875" style="367" customWidth="1"/>
    <col min="15418" max="15418" width="7.5703125" style="367" customWidth="1"/>
    <col min="15419" max="15419" width="8.85546875" style="367" customWidth="1"/>
    <col min="15420" max="15420" width="8.140625" style="367" customWidth="1"/>
    <col min="15421" max="15421" width="7.85546875" style="367" customWidth="1"/>
    <col min="15422" max="15422" width="8.5703125" style="367" customWidth="1"/>
    <col min="15423" max="15423" width="8.28515625" style="367" customWidth="1"/>
    <col min="15424" max="15424" width="11.42578125" style="367" customWidth="1"/>
    <col min="15425" max="15425" width="18" style="367" customWidth="1"/>
    <col min="15426" max="15426" width="21.42578125" style="367" customWidth="1"/>
    <col min="15427" max="15427" width="27.85546875" style="367" customWidth="1"/>
    <col min="15428" max="15643" width="11.42578125" style="367"/>
    <col min="15644" max="15644" width="13.5703125" style="367" customWidth="1"/>
    <col min="15645" max="15645" width="19" style="367" customWidth="1"/>
    <col min="15646" max="15646" width="13.5703125" style="367" customWidth="1"/>
    <col min="15647" max="15647" width="19.7109375" style="367" customWidth="1"/>
    <col min="15648" max="15648" width="13.5703125" style="367" customWidth="1"/>
    <col min="15649" max="15650" width="14.7109375" style="367" customWidth="1"/>
    <col min="15651" max="15651" width="36.140625" style="367" customWidth="1"/>
    <col min="15652" max="15652" width="29.42578125" style="367" customWidth="1"/>
    <col min="15653" max="15653" width="16" style="367" customWidth="1"/>
    <col min="15654" max="15654" width="38.28515625" style="367" customWidth="1"/>
    <col min="15655" max="15655" width="12" style="367" customWidth="1"/>
    <col min="15656" max="15656" width="38.140625" style="367" customWidth="1"/>
    <col min="15657" max="15657" width="17.85546875" style="367" bestFit="1" customWidth="1"/>
    <col min="15658" max="15658" width="24.7109375" style="367" customWidth="1"/>
    <col min="15659" max="15659" width="36.42578125" style="367" customWidth="1"/>
    <col min="15660" max="15660" width="46.7109375" style="367" customWidth="1"/>
    <col min="15661" max="15661" width="43.7109375" style="367" customWidth="1"/>
    <col min="15662" max="15662" width="25.42578125" style="367" customWidth="1"/>
    <col min="15663" max="15663" width="12.42578125" style="367" customWidth="1"/>
    <col min="15664" max="15664" width="16.42578125" style="367" customWidth="1"/>
    <col min="15665" max="15665" width="13.42578125" style="367" customWidth="1"/>
    <col min="15666" max="15666" width="8.5703125" style="367" customWidth="1"/>
    <col min="15667" max="15670" width="11.42578125" style="367" customWidth="1"/>
    <col min="15671" max="15671" width="12.7109375" style="367" customWidth="1"/>
    <col min="15672" max="15672" width="11.85546875" style="367" customWidth="1"/>
    <col min="15673" max="15673" width="7.85546875" style="367" customWidth="1"/>
    <col min="15674" max="15674" width="7.5703125" style="367" customWidth="1"/>
    <col min="15675" max="15675" width="8.85546875" style="367" customWidth="1"/>
    <col min="15676" max="15676" width="8.140625" style="367" customWidth="1"/>
    <col min="15677" max="15677" width="7.85546875" style="367" customWidth="1"/>
    <col min="15678" max="15678" width="8.5703125" style="367" customWidth="1"/>
    <col min="15679" max="15679" width="8.28515625" style="367" customWidth="1"/>
    <col min="15680" max="15680" width="11.42578125" style="367" customWidth="1"/>
    <col min="15681" max="15681" width="18" style="367" customWidth="1"/>
    <col min="15682" max="15682" width="21.42578125" style="367" customWidth="1"/>
    <col min="15683" max="15683" width="27.85546875" style="367" customWidth="1"/>
    <col min="15684" max="15899" width="11.42578125" style="367"/>
    <col min="15900" max="15900" width="13.5703125" style="367" customWidth="1"/>
    <col min="15901" max="15901" width="19" style="367" customWidth="1"/>
    <col min="15902" max="15902" width="13.5703125" style="367" customWidth="1"/>
    <col min="15903" max="15903" width="19.7109375" style="367" customWidth="1"/>
    <col min="15904" max="15904" width="13.5703125" style="367" customWidth="1"/>
    <col min="15905" max="15906" width="14.7109375" style="367" customWidth="1"/>
    <col min="15907" max="15907" width="36.140625" style="367" customWidth="1"/>
    <col min="15908" max="15908" width="29.42578125" style="367" customWidth="1"/>
    <col min="15909" max="15909" width="16" style="367" customWidth="1"/>
    <col min="15910" max="15910" width="38.28515625" style="367" customWidth="1"/>
    <col min="15911" max="15911" width="12" style="367" customWidth="1"/>
    <col min="15912" max="15912" width="38.140625" style="367" customWidth="1"/>
    <col min="15913" max="15913" width="17.85546875" style="367" bestFit="1" customWidth="1"/>
    <col min="15914" max="15914" width="24.7109375" style="367" customWidth="1"/>
    <col min="15915" max="15915" width="36.42578125" style="367" customWidth="1"/>
    <col min="15916" max="15916" width="46.7109375" style="367" customWidth="1"/>
    <col min="15917" max="15917" width="43.7109375" style="367" customWidth="1"/>
    <col min="15918" max="15918" width="25.42578125" style="367" customWidth="1"/>
    <col min="15919" max="15919" width="12.42578125" style="367" customWidth="1"/>
    <col min="15920" max="15920" width="16.42578125" style="367" customWidth="1"/>
    <col min="15921" max="15921" width="13.42578125" style="367" customWidth="1"/>
    <col min="15922" max="15922" width="8.5703125" style="367" customWidth="1"/>
    <col min="15923" max="15926" width="11.42578125" style="367" customWidth="1"/>
    <col min="15927" max="15927" width="12.7109375" style="367" customWidth="1"/>
    <col min="15928" max="15928" width="11.85546875" style="367" customWidth="1"/>
    <col min="15929" max="15929" width="7.85546875" style="367" customWidth="1"/>
    <col min="15930" max="15930" width="7.5703125" style="367" customWidth="1"/>
    <col min="15931" max="15931" width="8.85546875" style="367" customWidth="1"/>
    <col min="15932" max="15932" width="8.140625" style="367" customWidth="1"/>
    <col min="15933" max="15933" width="7.85546875" style="367" customWidth="1"/>
    <col min="15934" max="15934" width="8.5703125" style="367" customWidth="1"/>
    <col min="15935" max="15935" width="8.28515625" style="367" customWidth="1"/>
    <col min="15936" max="15936" width="11.42578125" style="367" customWidth="1"/>
    <col min="15937" max="15937" width="18" style="367" customWidth="1"/>
    <col min="15938" max="15938" width="21.42578125" style="367" customWidth="1"/>
    <col min="15939" max="15939" width="27.85546875" style="367" customWidth="1"/>
    <col min="15940" max="16155" width="11.42578125" style="367"/>
    <col min="16156" max="16156" width="13.5703125" style="367" customWidth="1"/>
    <col min="16157" max="16157" width="19" style="367" customWidth="1"/>
    <col min="16158" max="16158" width="13.5703125" style="367" customWidth="1"/>
    <col min="16159" max="16159" width="19.7109375" style="367" customWidth="1"/>
    <col min="16160" max="16160" width="13.5703125" style="367" customWidth="1"/>
    <col min="16161" max="16162" width="14.7109375" style="367" customWidth="1"/>
    <col min="16163" max="16163" width="36.140625" style="367" customWidth="1"/>
    <col min="16164" max="16164" width="29.42578125" style="367" customWidth="1"/>
    <col min="16165" max="16165" width="16" style="367" customWidth="1"/>
    <col min="16166" max="16166" width="38.28515625" style="367" customWidth="1"/>
    <col min="16167" max="16167" width="12" style="367" customWidth="1"/>
    <col min="16168" max="16168" width="38.140625" style="367" customWidth="1"/>
    <col min="16169" max="16169" width="17.85546875" style="367" bestFit="1" customWidth="1"/>
    <col min="16170" max="16170" width="24.7109375" style="367" customWidth="1"/>
    <col min="16171" max="16171" width="36.42578125" style="367" customWidth="1"/>
    <col min="16172" max="16172" width="46.7109375" style="367" customWidth="1"/>
    <col min="16173" max="16173" width="43.7109375" style="367" customWidth="1"/>
    <col min="16174" max="16174" width="25.42578125" style="367" customWidth="1"/>
    <col min="16175" max="16175" width="12.42578125" style="367" customWidth="1"/>
    <col min="16176" max="16176" width="16.42578125" style="367" customWidth="1"/>
    <col min="16177" max="16177" width="13.42578125" style="367" customWidth="1"/>
    <col min="16178" max="16178" width="8.5703125" style="367" customWidth="1"/>
    <col min="16179" max="16182" width="11.42578125" style="367" customWidth="1"/>
    <col min="16183" max="16183" width="12.7109375" style="367" customWidth="1"/>
    <col min="16184" max="16184" width="11.85546875" style="367" customWidth="1"/>
    <col min="16185" max="16185" width="7.85546875" style="367" customWidth="1"/>
    <col min="16186" max="16186" width="7.5703125" style="367" customWidth="1"/>
    <col min="16187" max="16187" width="8.85546875" style="367" customWidth="1"/>
    <col min="16188" max="16188" width="8.140625" style="367" customWidth="1"/>
    <col min="16189" max="16189" width="7.85546875" style="367" customWidth="1"/>
    <col min="16190" max="16190" width="8.5703125" style="367" customWidth="1"/>
    <col min="16191" max="16191" width="8.28515625" style="367" customWidth="1"/>
    <col min="16192" max="16192" width="11.42578125" style="367" customWidth="1"/>
    <col min="16193" max="16193" width="18" style="367" customWidth="1"/>
    <col min="16194" max="16194" width="21.42578125" style="367" customWidth="1"/>
    <col min="16195" max="16195" width="27.85546875" style="367" customWidth="1"/>
    <col min="16196" max="16384" width="11.42578125" style="367"/>
  </cols>
  <sheetData>
    <row r="1" spans="1:283" ht="23.25" customHeight="1" x14ac:dyDescent="0.25">
      <c r="A1" s="3600" t="s">
        <v>774</v>
      </c>
      <c r="B1" s="3600"/>
      <c r="C1" s="3600"/>
      <c r="D1" s="3600"/>
      <c r="E1" s="3600"/>
      <c r="F1" s="3600"/>
      <c r="G1" s="3600"/>
      <c r="H1" s="3600"/>
      <c r="I1" s="3600"/>
      <c r="J1" s="3600"/>
      <c r="K1" s="3600"/>
      <c r="L1" s="3600"/>
      <c r="M1" s="3600"/>
      <c r="N1" s="3600"/>
      <c r="O1" s="3600"/>
      <c r="P1" s="3600"/>
      <c r="Q1" s="3600"/>
      <c r="R1" s="3600"/>
      <c r="S1" s="3600"/>
      <c r="T1" s="3600"/>
      <c r="U1" s="3600"/>
      <c r="V1" s="3600"/>
      <c r="W1" s="3600"/>
      <c r="X1" s="3600"/>
      <c r="Y1" s="3600"/>
      <c r="Z1" s="3600"/>
      <c r="AA1" s="3600"/>
      <c r="AB1" s="3600"/>
      <c r="AC1" s="3600"/>
      <c r="AD1" s="3600"/>
      <c r="AE1" s="3600"/>
      <c r="AF1" s="3600"/>
      <c r="AG1" s="3600"/>
      <c r="AH1" s="3600"/>
      <c r="AI1" s="3600"/>
      <c r="AJ1" s="3600"/>
      <c r="AK1" s="3600"/>
      <c r="AL1" s="3600"/>
      <c r="AM1" s="3600"/>
      <c r="AN1" s="3600"/>
      <c r="AO1" s="3600"/>
      <c r="AP1" s="3600"/>
      <c r="AQ1" s="3600"/>
      <c r="AR1" s="3600"/>
      <c r="AS1" s="3600"/>
      <c r="AT1" s="3600"/>
      <c r="AU1" s="3600"/>
      <c r="AV1" s="3600"/>
      <c r="AW1" s="3600"/>
      <c r="AX1" s="3600"/>
      <c r="AY1" s="3600"/>
      <c r="AZ1" s="3600"/>
      <c r="BA1" s="3600"/>
      <c r="BB1" s="3600"/>
      <c r="BC1" s="3600"/>
      <c r="BD1" s="3600"/>
      <c r="BE1" s="3600"/>
      <c r="BF1" s="3600"/>
      <c r="BG1" s="3600"/>
      <c r="BH1" s="3600"/>
      <c r="BI1" s="3600"/>
      <c r="BJ1" s="3600"/>
      <c r="BK1" s="3600"/>
      <c r="BL1" s="3600"/>
      <c r="BM1" s="3601"/>
      <c r="BN1" s="923" t="s">
        <v>1</v>
      </c>
      <c r="BO1" s="923" t="s">
        <v>2</v>
      </c>
    </row>
    <row r="2" spans="1:283" ht="24.75" customHeight="1" x14ac:dyDescent="0.25">
      <c r="A2" s="3600"/>
      <c r="B2" s="3600"/>
      <c r="C2" s="3600"/>
      <c r="D2" s="3600"/>
      <c r="E2" s="3600"/>
      <c r="F2" s="3600"/>
      <c r="G2" s="3600"/>
      <c r="H2" s="3600"/>
      <c r="I2" s="3600"/>
      <c r="J2" s="3600"/>
      <c r="K2" s="3600"/>
      <c r="L2" s="3600"/>
      <c r="M2" s="3600"/>
      <c r="N2" s="3600"/>
      <c r="O2" s="3600"/>
      <c r="P2" s="3600"/>
      <c r="Q2" s="3600"/>
      <c r="R2" s="3600"/>
      <c r="S2" s="3600"/>
      <c r="T2" s="3600"/>
      <c r="U2" s="3600"/>
      <c r="V2" s="3600"/>
      <c r="W2" s="3600"/>
      <c r="X2" s="3600"/>
      <c r="Y2" s="3600"/>
      <c r="Z2" s="3600"/>
      <c r="AA2" s="3600"/>
      <c r="AB2" s="3600"/>
      <c r="AC2" s="3600"/>
      <c r="AD2" s="3600"/>
      <c r="AE2" s="3600"/>
      <c r="AF2" s="3600"/>
      <c r="AG2" s="3600"/>
      <c r="AH2" s="3600"/>
      <c r="AI2" s="3600"/>
      <c r="AJ2" s="3600"/>
      <c r="AK2" s="3600"/>
      <c r="AL2" s="3600"/>
      <c r="AM2" s="3600"/>
      <c r="AN2" s="3600"/>
      <c r="AO2" s="3600"/>
      <c r="AP2" s="3600"/>
      <c r="AQ2" s="3600"/>
      <c r="AR2" s="3600"/>
      <c r="AS2" s="3600"/>
      <c r="AT2" s="3600"/>
      <c r="AU2" s="3600"/>
      <c r="AV2" s="3600"/>
      <c r="AW2" s="3600"/>
      <c r="AX2" s="3600"/>
      <c r="AY2" s="3600"/>
      <c r="AZ2" s="3600"/>
      <c r="BA2" s="3600"/>
      <c r="BB2" s="3600"/>
      <c r="BC2" s="3600"/>
      <c r="BD2" s="3600"/>
      <c r="BE2" s="3600"/>
      <c r="BF2" s="3600"/>
      <c r="BG2" s="3600"/>
      <c r="BH2" s="3600"/>
      <c r="BI2" s="3600"/>
      <c r="BJ2" s="3600"/>
      <c r="BK2" s="3600"/>
      <c r="BL2" s="3600"/>
      <c r="BM2" s="3601"/>
      <c r="BN2" s="925" t="s">
        <v>3</v>
      </c>
      <c r="BO2" s="926">
        <v>6</v>
      </c>
    </row>
    <row r="3" spans="1:283" ht="30.75" customHeight="1" x14ac:dyDescent="0.25">
      <c r="A3" s="3600"/>
      <c r="B3" s="3600"/>
      <c r="C3" s="3600"/>
      <c r="D3" s="3600"/>
      <c r="E3" s="3600"/>
      <c r="F3" s="3600"/>
      <c r="G3" s="3600"/>
      <c r="H3" s="3600"/>
      <c r="I3" s="3600"/>
      <c r="J3" s="3600"/>
      <c r="K3" s="3600"/>
      <c r="L3" s="3600"/>
      <c r="M3" s="3600"/>
      <c r="N3" s="3600"/>
      <c r="O3" s="3600"/>
      <c r="P3" s="3600"/>
      <c r="Q3" s="3600"/>
      <c r="R3" s="3600"/>
      <c r="S3" s="3600"/>
      <c r="T3" s="3600"/>
      <c r="U3" s="3600"/>
      <c r="V3" s="3600"/>
      <c r="W3" s="3600"/>
      <c r="X3" s="3600"/>
      <c r="Y3" s="3600"/>
      <c r="Z3" s="3600"/>
      <c r="AA3" s="3600"/>
      <c r="AB3" s="3600"/>
      <c r="AC3" s="3600"/>
      <c r="AD3" s="3600"/>
      <c r="AE3" s="3600"/>
      <c r="AF3" s="3600"/>
      <c r="AG3" s="3600"/>
      <c r="AH3" s="3600"/>
      <c r="AI3" s="3600"/>
      <c r="AJ3" s="3600"/>
      <c r="AK3" s="3600"/>
      <c r="AL3" s="3600"/>
      <c r="AM3" s="3600"/>
      <c r="AN3" s="3600"/>
      <c r="AO3" s="3600"/>
      <c r="AP3" s="3600"/>
      <c r="AQ3" s="3600"/>
      <c r="AR3" s="3600"/>
      <c r="AS3" s="3600"/>
      <c r="AT3" s="3600"/>
      <c r="AU3" s="3600"/>
      <c r="AV3" s="3600"/>
      <c r="AW3" s="3600"/>
      <c r="AX3" s="3600"/>
      <c r="AY3" s="3600"/>
      <c r="AZ3" s="3600"/>
      <c r="BA3" s="3600"/>
      <c r="BB3" s="3600"/>
      <c r="BC3" s="3600"/>
      <c r="BD3" s="3600"/>
      <c r="BE3" s="3600"/>
      <c r="BF3" s="3600"/>
      <c r="BG3" s="3600"/>
      <c r="BH3" s="3600"/>
      <c r="BI3" s="3600"/>
      <c r="BJ3" s="3600"/>
      <c r="BK3" s="3600"/>
      <c r="BL3" s="3600"/>
      <c r="BM3" s="3601"/>
      <c r="BN3" s="923" t="s">
        <v>4</v>
      </c>
      <c r="BO3" s="927" t="s">
        <v>5</v>
      </c>
    </row>
    <row r="4" spans="1:283" ht="26.25" customHeight="1" x14ac:dyDescent="0.2">
      <c r="A4" s="3600"/>
      <c r="B4" s="3600"/>
      <c r="C4" s="3600"/>
      <c r="D4" s="3600"/>
      <c r="E4" s="3600"/>
      <c r="F4" s="3600"/>
      <c r="G4" s="3600"/>
      <c r="H4" s="3600"/>
      <c r="I4" s="3600"/>
      <c r="J4" s="3600"/>
      <c r="K4" s="3600"/>
      <c r="L4" s="3600"/>
      <c r="M4" s="3600"/>
      <c r="N4" s="3600"/>
      <c r="O4" s="3600"/>
      <c r="P4" s="3600"/>
      <c r="Q4" s="3600"/>
      <c r="R4" s="3600"/>
      <c r="S4" s="3600"/>
      <c r="T4" s="3600"/>
      <c r="U4" s="3600"/>
      <c r="V4" s="3600"/>
      <c r="W4" s="3600"/>
      <c r="X4" s="3600"/>
      <c r="Y4" s="3600"/>
      <c r="Z4" s="3600"/>
      <c r="AA4" s="3600"/>
      <c r="AB4" s="3600"/>
      <c r="AC4" s="3600"/>
      <c r="AD4" s="3600"/>
      <c r="AE4" s="3600"/>
      <c r="AF4" s="3600"/>
      <c r="AG4" s="3600"/>
      <c r="AH4" s="3600"/>
      <c r="AI4" s="3600"/>
      <c r="AJ4" s="3600"/>
      <c r="AK4" s="3600"/>
      <c r="AL4" s="3600"/>
      <c r="AM4" s="3600"/>
      <c r="AN4" s="3600"/>
      <c r="AO4" s="3600"/>
      <c r="AP4" s="3600"/>
      <c r="AQ4" s="3600"/>
      <c r="AR4" s="3600"/>
      <c r="AS4" s="3600"/>
      <c r="AT4" s="3600"/>
      <c r="AU4" s="3600"/>
      <c r="AV4" s="3600"/>
      <c r="AW4" s="3600"/>
      <c r="AX4" s="3600"/>
      <c r="AY4" s="3600"/>
      <c r="AZ4" s="3600"/>
      <c r="BA4" s="3600"/>
      <c r="BB4" s="3600"/>
      <c r="BC4" s="3600"/>
      <c r="BD4" s="3600"/>
      <c r="BE4" s="3600"/>
      <c r="BF4" s="3600"/>
      <c r="BG4" s="3600"/>
      <c r="BH4" s="3600"/>
      <c r="BI4" s="3600"/>
      <c r="BJ4" s="3600"/>
      <c r="BK4" s="3600"/>
      <c r="BL4" s="3600"/>
      <c r="BM4" s="3601"/>
      <c r="BN4" s="928" t="s">
        <v>6</v>
      </c>
      <c r="BO4" s="929" t="s">
        <v>7</v>
      </c>
      <c r="BP4" s="556"/>
      <c r="BQ4" s="556"/>
      <c r="BR4" s="556"/>
      <c r="BS4" s="556"/>
      <c r="BT4" s="556"/>
      <c r="BU4" s="374"/>
      <c r="BV4" s="374"/>
      <c r="BW4" s="374"/>
      <c r="BX4" s="374"/>
      <c r="BY4" s="374"/>
      <c r="BZ4" s="374"/>
      <c r="CA4" s="374"/>
      <c r="CB4" s="374"/>
      <c r="CC4" s="374"/>
      <c r="CD4" s="374"/>
      <c r="CE4" s="374"/>
      <c r="CF4" s="374"/>
      <c r="CG4" s="374"/>
      <c r="CH4" s="374"/>
      <c r="CI4" s="374"/>
      <c r="CJ4" s="374"/>
      <c r="CK4" s="374"/>
      <c r="CL4" s="374"/>
      <c r="CM4" s="374"/>
      <c r="CN4" s="374"/>
      <c r="CO4" s="374"/>
      <c r="CP4" s="374"/>
      <c r="CQ4" s="374"/>
      <c r="CR4" s="374"/>
      <c r="CS4" s="374"/>
      <c r="CT4" s="374"/>
      <c r="CU4" s="374"/>
      <c r="CV4" s="374"/>
      <c r="CW4" s="374"/>
      <c r="CX4" s="374"/>
      <c r="CY4" s="374"/>
      <c r="CZ4" s="374"/>
      <c r="DA4" s="374"/>
      <c r="DB4" s="374"/>
      <c r="DC4" s="374"/>
      <c r="DD4" s="374"/>
      <c r="DE4" s="374"/>
      <c r="DF4" s="374"/>
      <c r="DG4" s="374"/>
      <c r="DH4" s="374"/>
      <c r="DI4" s="374"/>
      <c r="DJ4" s="374"/>
      <c r="DK4" s="374"/>
      <c r="DL4" s="374"/>
      <c r="DM4" s="374"/>
      <c r="DN4" s="374"/>
      <c r="DO4" s="374"/>
      <c r="DP4" s="374"/>
      <c r="DQ4" s="374"/>
      <c r="DR4" s="374"/>
      <c r="DS4" s="374"/>
      <c r="DT4" s="374"/>
      <c r="DU4" s="374"/>
      <c r="DV4" s="374"/>
      <c r="DW4" s="374"/>
      <c r="DX4" s="374"/>
      <c r="DY4" s="374"/>
      <c r="DZ4" s="374"/>
      <c r="EA4" s="374"/>
      <c r="EB4" s="374"/>
      <c r="EC4" s="374"/>
      <c r="ED4" s="374"/>
      <c r="EE4" s="374"/>
      <c r="EF4" s="374"/>
      <c r="EG4" s="374"/>
      <c r="EH4" s="374"/>
      <c r="EI4" s="374"/>
      <c r="EJ4" s="374"/>
      <c r="EK4" s="374"/>
      <c r="EL4" s="374"/>
      <c r="EM4" s="374"/>
      <c r="EN4" s="374"/>
      <c r="EO4" s="374"/>
      <c r="EP4" s="374"/>
      <c r="EQ4" s="374"/>
      <c r="ER4" s="374"/>
      <c r="ES4" s="374"/>
      <c r="ET4" s="374"/>
      <c r="EU4" s="374"/>
      <c r="EV4" s="374"/>
      <c r="EW4" s="374"/>
      <c r="EX4" s="374"/>
      <c r="EY4" s="374"/>
      <c r="EZ4" s="374"/>
      <c r="FA4" s="374"/>
      <c r="FB4" s="374"/>
      <c r="FC4" s="374"/>
      <c r="FD4" s="374"/>
      <c r="FE4" s="374"/>
      <c r="FF4" s="374"/>
      <c r="FG4" s="374"/>
      <c r="FH4" s="374"/>
      <c r="FI4" s="374"/>
      <c r="FJ4" s="374"/>
      <c r="FK4" s="374"/>
      <c r="FL4" s="374"/>
      <c r="FM4" s="374"/>
      <c r="FN4" s="374"/>
      <c r="FO4" s="374"/>
      <c r="FP4" s="374"/>
      <c r="FQ4" s="374"/>
      <c r="FR4" s="374"/>
      <c r="FS4" s="374"/>
      <c r="FT4" s="374"/>
      <c r="FU4" s="374"/>
      <c r="FV4" s="374"/>
      <c r="FW4" s="374"/>
      <c r="FX4" s="374"/>
      <c r="FY4" s="374"/>
      <c r="FZ4" s="374"/>
      <c r="GA4" s="374"/>
      <c r="GB4" s="374"/>
      <c r="GC4" s="374"/>
      <c r="GD4" s="374"/>
      <c r="GE4" s="374"/>
      <c r="GF4" s="374"/>
      <c r="GG4" s="374"/>
      <c r="GH4" s="374"/>
      <c r="GI4" s="374"/>
      <c r="GJ4" s="374"/>
      <c r="GK4" s="374"/>
      <c r="GL4" s="374"/>
      <c r="GM4" s="374"/>
      <c r="GN4" s="374"/>
      <c r="GO4" s="374"/>
      <c r="GP4" s="374"/>
      <c r="GQ4" s="374"/>
      <c r="GR4" s="374"/>
      <c r="GS4" s="374"/>
      <c r="GT4" s="374"/>
      <c r="GU4" s="374"/>
      <c r="GV4" s="374"/>
      <c r="GW4" s="374"/>
      <c r="GX4" s="374"/>
      <c r="GY4" s="374"/>
      <c r="GZ4" s="374"/>
      <c r="HA4" s="374"/>
      <c r="HB4" s="374"/>
      <c r="HC4" s="374"/>
      <c r="HD4" s="374"/>
      <c r="HE4" s="374"/>
      <c r="HF4" s="374"/>
      <c r="HG4" s="374"/>
      <c r="HH4" s="374"/>
      <c r="HI4" s="374"/>
      <c r="HJ4" s="374"/>
      <c r="HK4" s="374"/>
      <c r="HL4" s="374"/>
      <c r="HM4" s="374"/>
      <c r="HN4" s="374"/>
      <c r="HO4" s="374"/>
      <c r="HP4" s="374"/>
      <c r="HQ4" s="374"/>
      <c r="HR4" s="374"/>
      <c r="HS4" s="374"/>
      <c r="HT4" s="374"/>
      <c r="HU4" s="374"/>
      <c r="HV4" s="374"/>
      <c r="HW4" s="374"/>
      <c r="HX4" s="374"/>
      <c r="HY4" s="374"/>
      <c r="HZ4" s="374"/>
      <c r="IA4" s="374"/>
      <c r="IB4" s="374"/>
      <c r="IC4" s="374"/>
      <c r="ID4" s="374"/>
      <c r="IE4" s="374"/>
      <c r="IF4" s="374"/>
      <c r="IG4" s="374"/>
      <c r="IH4" s="374"/>
      <c r="II4" s="374"/>
      <c r="IJ4" s="374"/>
      <c r="IK4" s="374"/>
      <c r="IL4" s="374"/>
      <c r="IM4" s="374"/>
      <c r="IN4" s="374"/>
      <c r="IO4" s="374"/>
      <c r="IP4" s="374"/>
      <c r="IQ4" s="374"/>
      <c r="IR4" s="374"/>
      <c r="IS4" s="374"/>
      <c r="IT4" s="374"/>
      <c r="IU4" s="374"/>
      <c r="IV4" s="374"/>
      <c r="IW4" s="374"/>
      <c r="IX4" s="374"/>
      <c r="IY4" s="374"/>
      <c r="IZ4" s="374"/>
      <c r="JA4" s="374"/>
      <c r="JB4" s="374"/>
      <c r="JC4" s="374"/>
      <c r="JD4" s="374"/>
      <c r="JE4" s="374"/>
      <c r="JF4" s="374"/>
      <c r="JG4" s="374"/>
      <c r="JH4" s="374"/>
      <c r="JI4" s="374"/>
      <c r="JJ4" s="374"/>
      <c r="JK4" s="374"/>
      <c r="JL4" s="374"/>
      <c r="JM4" s="374"/>
      <c r="JN4" s="374"/>
      <c r="JO4" s="374"/>
      <c r="JP4" s="374"/>
      <c r="JQ4" s="374"/>
      <c r="JR4" s="374"/>
      <c r="JS4" s="374"/>
      <c r="JT4" s="374"/>
      <c r="JU4" s="374"/>
      <c r="JV4" s="374"/>
      <c r="JW4" s="374"/>
    </row>
    <row r="5" spans="1:283" ht="31.5" customHeight="1" x14ac:dyDescent="0.2">
      <c r="A5" s="3346" t="s">
        <v>8</v>
      </c>
      <c r="B5" s="3346"/>
      <c r="C5" s="3346"/>
      <c r="D5" s="3346"/>
      <c r="E5" s="3346"/>
      <c r="F5" s="3346"/>
      <c r="G5" s="3346"/>
      <c r="H5" s="3346"/>
      <c r="I5" s="3346"/>
      <c r="J5" s="3346"/>
      <c r="K5" s="3346"/>
      <c r="L5" s="3347" t="s">
        <v>9</v>
      </c>
      <c r="M5" s="3349"/>
      <c r="N5" s="3349"/>
      <c r="O5" s="3349"/>
      <c r="P5" s="3349"/>
      <c r="Q5" s="3349"/>
      <c r="R5" s="3349"/>
      <c r="S5" s="3349"/>
      <c r="T5" s="3349"/>
      <c r="U5" s="3349"/>
      <c r="V5" s="3349"/>
      <c r="W5" s="3349"/>
      <c r="X5" s="3349"/>
      <c r="Y5" s="3349"/>
      <c r="Z5" s="3349"/>
      <c r="AA5" s="3349"/>
      <c r="AB5" s="3349"/>
      <c r="AC5" s="3349"/>
      <c r="AD5" s="3349"/>
      <c r="AE5" s="3349"/>
      <c r="AF5" s="3349"/>
      <c r="AG5" s="3349"/>
      <c r="AH5" s="3349"/>
      <c r="AI5" s="3349"/>
      <c r="AJ5" s="3349"/>
      <c r="AK5" s="3349"/>
      <c r="AL5" s="3349"/>
      <c r="AM5" s="3349"/>
      <c r="AN5" s="3349"/>
      <c r="AO5" s="3349"/>
      <c r="AP5" s="3349"/>
      <c r="AQ5" s="3349"/>
      <c r="AR5" s="3349"/>
      <c r="AS5" s="3349"/>
      <c r="AT5" s="3349"/>
      <c r="AU5" s="3349"/>
      <c r="AV5" s="3349"/>
      <c r="AW5" s="3349"/>
      <c r="AX5" s="3349"/>
      <c r="AY5" s="3349"/>
      <c r="AZ5" s="3349"/>
      <c r="BA5" s="3349"/>
      <c r="BB5" s="3349"/>
      <c r="BC5" s="3349"/>
      <c r="BD5" s="3349"/>
      <c r="BE5" s="3349"/>
      <c r="BF5" s="3349"/>
      <c r="BG5" s="3349"/>
      <c r="BH5" s="3349"/>
      <c r="BI5" s="3349"/>
      <c r="BJ5" s="3349"/>
      <c r="BK5" s="3349"/>
      <c r="BL5" s="3349"/>
      <c r="BM5" s="3349"/>
      <c r="BN5" s="3349"/>
      <c r="BO5" s="3350"/>
      <c r="BP5" s="930"/>
    </row>
    <row r="6" spans="1:283" ht="16.5" thickBot="1" x14ac:dyDescent="0.25">
      <c r="A6" s="3346"/>
      <c r="B6" s="3346"/>
      <c r="C6" s="3346"/>
      <c r="D6" s="3346"/>
      <c r="E6" s="3346"/>
      <c r="F6" s="3346"/>
      <c r="G6" s="3346"/>
      <c r="H6" s="3346"/>
      <c r="I6" s="3346"/>
      <c r="J6" s="3346"/>
      <c r="K6" s="3346"/>
      <c r="L6" s="931"/>
      <c r="M6" s="932"/>
      <c r="N6" s="932"/>
      <c r="O6" s="932"/>
      <c r="P6" s="932"/>
      <c r="Q6" s="932"/>
      <c r="R6" s="932"/>
      <c r="S6" s="932"/>
      <c r="T6" s="2648"/>
      <c r="U6" s="2648"/>
      <c r="V6" s="2648"/>
      <c r="W6" s="932"/>
      <c r="X6" s="2649"/>
      <c r="Y6" s="4018" t="s">
        <v>129</v>
      </c>
      <c r="Z6" s="3345"/>
      <c r="AA6" s="3345"/>
      <c r="AB6" s="3345"/>
      <c r="AC6" s="3345"/>
      <c r="AD6" s="3345"/>
      <c r="AE6" s="3345"/>
      <c r="AF6" s="3345"/>
      <c r="AG6" s="3345"/>
      <c r="AH6" s="3345"/>
      <c r="AI6" s="3345"/>
      <c r="AJ6" s="3345"/>
      <c r="AK6" s="3345"/>
      <c r="AL6" s="3345"/>
      <c r="AM6" s="3345"/>
      <c r="AN6" s="3345"/>
      <c r="AO6" s="3345"/>
      <c r="AP6" s="3345"/>
      <c r="AQ6" s="3345"/>
      <c r="AR6" s="3345"/>
      <c r="AS6" s="3345"/>
      <c r="AT6" s="3345"/>
      <c r="AU6" s="3345"/>
      <c r="AV6" s="3345"/>
      <c r="AW6" s="3345"/>
      <c r="AX6" s="3345"/>
      <c r="AY6" s="3345"/>
      <c r="AZ6" s="3345"/>
      <c r="BA6" s="3345"/>
      <c r="BB6" s="3345"/>
      <c r="BC6" s="3345"/>
      <c r="BD6" s="3345"/>
      <c r="BE6" s="4562"/>
      <c r="BF6" s="4562"/>
      <c r="BG6" s="4562"/>
      <c r="BH6" s="4562"/>
      <c r="BI6" s="4562"/>
      <c r="BJ6" s="4562"/>
      <c r="BK6" s="4562"/>
      <c r="BL6" s="4562"/>
      <c r="BM6" s="4562"/>
      <c r="BN6" s="4562"/>
      <c r="BO6" s="4563"/>
    </row>
    <row r="7" spans="1:283" ht="24.75" customHeight="1" x14ac:dyDescent="0.2">
      <c r="A7" s="4559" t="s">
        <v>10</v>
      </c>
      <c r="B7" s="4517" t="s">
        <v>11</v>
      </c>
      <c r="C7" s="4517" t="s">
        <v>10</v>
      </c>
      <c r="D7" s="4517" t="s">
        <v>12</v>
      </c>
      <c r="E7" s="4517" t="s">
        <v>10</v>
      </c>
      <c r="F7" s="4517" t="s">
        <v>13</v>
      </c>
      <c r="G7" s="4517" t="s">
        <v>10</v>
      </c>
      <c r="H7" s="4517" t="s">
        <v>14</v>
      </c>
      <c r="I7" s="4517" t="s">
        <v>15</v>
      </c>
      <c r="J7" s="4558" t="s">
        <v>775</v>
      </c>
      <c r="K7" s="4559"/>
      <c r="L7" s="4517" t="s">
        <v>17</v>
      </c>
      <c r="M7" s="4517" t="s">
        <v>18</v>
      </c>
      <c r="N7" s="4517" t="s">
        <v>9</v>
      </c>
      <c r="O7" s="4517" t="s">
        <v>19</v>
      </c>
      <c r="P7" s="4555" t="s">
        <v>20</v>
      </c>
      <c r="Q7" s="4517" t="s">
        <v>21</v>
      </c>
      <c r="R7" s="4517" t="s">
        <v>22</v>
      </c>
      <c r="S7" s="4517" t="s">
        <v>23</v>
      </c>
      <c r="T7" s="4549" t="s">
        <v>20</v>
      </c>
      <c r="U7" s="4550"/>
      <c r="V7" s="4551"/>
      <c r="W7" s="4517" t="s">
        <v>10</v>
      </c>
      <c r="X7" s="4517" t="s">
        <v>24</v>
      </c>
      <c r="Y7" s="4535" t="s">
        <v>25</v>
      </c>
      <c r="Z7" s="4535"/>
      <c r="AA7" s="4535"/>
      <c r="AB7" s="4535"/>
      <c r="AC7" s="4535" t="s">
        <v>26</v>
      </c>
      <c r="AD7" s="4535"/>
      <c r="AE7" s="4535"/>
      <c r="AF7" s="4535"/>
      <c r="AG7" s="4535"/>
      <c r="AH7" s="4535"/>
      <c r="AI7" s="4535"/>
      <c r="AJ7" s="4535"/>
      <c r="AK7" s="4532" t="s">
        <v>27</v>
      </c>
      <c r="AL7" s="4533"/>
      <c r="AM7" s="4533"/>
      <c r="AN7" s="4533"/>
      <c r="AO7" s="4533"/>
      <c r="AP7" s="4533"/>
      <c r="AQ7" s="4533"/>
      <c r="AR7" s="4533"/>
      <c r="AS7" s="4533"/>
      <c r="AT7" s="4533"/>
      <c r="AU7" s="4533"/>
      <c r="AV7" s="4534"/>
      <c r="AW7" s="4535" t="s">
        <v>28</v>
      </c>
      <c r="AX7" s="4535"/>
      <c r="AY7" s="4535"/>
      <c r="AZ7" s="4535"/>
      <c r="BA7" s="4535"/>
      <c r="BB7" s="4535"/>
      <c r="BC7" s="4536" t="s">
        <v>29</v>
      </c>
      <c r="BD7" s="4537"/>
      <c r="BE7" s="4540" t="s">
        <v>30</v>
      </c>
      <c r="BF7" s="4541"/>
      <c r="BG7" s="4541"/>
      <c r="BH7" s="4541"/>
      <c r="BI7" s="4541"/>
      <c r="BJ7" s="4542"/>
      <c r="BK7" s="4543" t="s">
        <v>31</v>
      </c>
      <c r="BL7" s="4543"/>
      <c r="BM7" s="4544" t="s">
        <v>32</v>
      </c>
      <c r="BN7" s="4545"/>
      <c r="BO7" s="4528" t="s">
        <v>33</v>
      </c>
    </row>
    <row r="8" spans="1:283" ht="132.75" customHeight="1" x14ac:dyDescent="0.2">
      <c r="A8" s="4561"/>
      <c r="B8" s="4548"/>
      <c r="C8" s="4548"/>
      <c r="D8" s="4548"/>
      <c r="E8" s="4548"/>
      <c r="F8" s="4548"/>
      <c r="G8" s="4548"/>
      <c r="H8" s="4548"/>
      <c r="I8" s="4548"/>
      <c r="J8" s="4560"/>
      <c r="K8" s="4561"/>
      <c r="L8" s="4548"/>
      <c r="M8" s="4548"/>
      <c r="N8" s="4548"/>
      <c r="O8" s="4548"/>
      <c r="P8" s="4556"/>
      <c r="Q8" s="4548"/>
      <c r="R8" s="4548"/>
      <c r="S8" s="4548"/>
      <c r="T8" s="4552"/>
      <c r="U8" s="4553"/>
      <c r="V8" s="4554"/>
      <c r="W8" s="4548"/>
      <c r="X8" s="4548"/>
      <c r="Y8" s="4525" t="s">
        <v>34</v>
      </c>
      <c r="Z8" s="4525"/>
      <c r="AA8" s="4531" t="s">
        <v>35</v>
      </c>
      <c r="AB8" s="4531"/>
      <c r="AC8" s="4525" t="s">
        <v>36</v>
      </c>
      <c r="AD8" s="4525"/>
      <c r="AE8" s="4525" t="s">
        <v>37</v>
      </c>
      <c r="AF8" s="4525"/>
      <c r="AG8" s="4525" t="s">
        <v>776</v>
      </c>
      <c r="AH8" s="4525"/>
      <c r="AI8" s="4525" t="s">
        <v>39</v>
      </c>
      <c r="AJ8" s="4525"/>
      <c r="AK8" s="4525" t="s">
        <v>40</v>
      </c>
      <c r="AL8" s="4525"/>
      <c r="AM8" s="4525" t="s">
        <v>41</v>
      </c>
      <c r="AN8" s="4525"/>
      <c r="AO8" s="4525" t="s">
        <v>42</v>
      </c>
      <c r="AP8" s="4525"/>
      <c r="AQ8" s="4525" t="s">
        <v>43</v>
      </c>
      <c r="AR8" s="4525"/>
      <c r="AS8" s="4525" t="s">
        <v>44</v>
      </c>
      <c r="AT8" s="4525"/>
      <c r="AU8" s="4525" t="s">
        <v>45</v>
      </c>
      <c r="AV8" s="4525"/>
      <c r="AW8" s="4525" t="s">
        <v>46</v>
      </c>
      <c r="AX8" s="4525"/>
      <c r="AY8" s="4525" t="s">
        <v>47</v>
      </c>
      <c r="AZ8" s="4525"/>
      <c r="BA8" s="4525" t="s">
        <v>48</v>
      </c>
      <c r="BB8" s="4525"/>
      <c r="BC8" s="4538"/>
      <c r="BD8" s="4539"/>
      <c r="BE8" s="4516" t="s">
        <v>49</v>
      </c>
      <c r="BF8" s="4526" t="s">
        <v>50</v>
      </c>
      <c r="BG8" s="3329" t="s">
        <v>51</v>
      </c>
      <c r="BH8" s="4527" t="s">
        <v>52</v>
      </c>
      <c r="BI8" s="4516" t="s">
        <v>53</v>
      </c>
      <c r="BJ8" s="4517" t="s">
        <v>54</v>
      </c>
      <c r="BK8" s="4543"/>
      <c r="BL8" s="4543"/>
      <c r="BM8" s="4546"/>
      <c r="BN8" s="4547"/>
      <c r="BO8" s="4529"/>
    </row>
    <row r="9" spans="1:283" ht="48.75" customHeight="1" x14ac:dyDescent="0.2">
      <c r="A9" s="4564"/>
      <c r="B9" s="4518"/>
      <c r="C9" s="4518"/>
      <c r="D9" s="4518"/>
      <c r="E9" s="4518"/>
      <c r="F9" s="4518"/>
      <c r="G9" s="4518"/>
      <c r="H9" s="4518"/>
      <c r="I9" s="4518"/>
      <c r="J9" s="2660" t="s">
        <v>55</v>
      </c>
      <c r="K9" s="2660" t="s">
        <v>56</v>
      </c>
      <c r="L9" s="4518"/>
      <c r="M9" s="4518"/>
      <c r="N9" s="4518"/>
      <c r="O9" s="4518"/>
      <c r="P9" s="4557"/>
      <c r="Q9" s="4518"/>
      <c r="R9" s="4518"/>
      <c r="S9" s="4518"/>
      <c r="T9" s="2660" t="s">
        <v>57</v>
      </c>
      <c r="U9" s="2660" t="s">
        <v>58</v>
      </c>
      <c r="V9" s="2660" t="s">
        <v>59</v>
      </c>
      <c r="W9" s="4518"/>
      <c r="X9" s="4518"/>
      <c r="Y9" s="2660" t="s">
        <v>55</v>
      </c>
      <c r="Z9" s="2660" t="s">
        <v>56</v>
      </c>
      <c r="AA9" s="2660" t="s">
        <v>55</v>
      </c>
      <c r="AB9" s="2660" t="s">
        <v>56</v>
      </c>
      <c r="AC9" s="2660" t="s">
        <v>55</v>
      </c>
      <c r="AD9" s="2660" t="s">
        <v>56</v>
      </c>
      <c r="AE9" s="2660" t="s">
        <v>55</v>
      </c>
      <c r="AF9" s="2660" t="s">
        <v>56</v>
      </c>
      <c r="AG9" s="2660" t="s">
        <v>55</v>
      </c>
      <c r="AH9" s="2660" t="s">
        <v>56</v>
      </c>
      <c r="AI9" s="2660" t="s">
        <v>55</v>
      </c>
      <c r="AJ9" s="2660" t="s">
        <v>56</v>
      </c>
      <c r="AK9" s="2660" t="s">
        <v>55</v>
      </c>
      <c r="AL9" s="2660" t="s">
        <v>56</v>
      </c>
      <c r="AM9" s="2660" t="s">
        <v>55</v>
      </c>
      <c r="AN9" s="2660" t="s">
        <v>56</v>
      </c>
      <c r="AO9" s="2660" t="s">
        <v>55</v>
      </c>
      <c r="AP9" s="2660" t="s">
        <v>56</v>
      </c>
      <c r="AQ9" s="2660" t="s">
        <v>55</v>
      </c>
      <c r="AR9" s="2660" t="s">
        <v>56</v>
      </c>
      <c r="AS9" s="2660" t="s">
        <v>55</v>
      </c>
      <c r="AT9" s="2660" t="s">
        <v>56</v>
      </c>
      <c r="AU9" s="2660" t="s">
        <v>55</v>
      </c>
      <c r="AV9" s="2660" t="s">
        <v>56</v>
      </c>
      <c r="AW9" s="2660" t="s">
        <v>55</v>
      </c>
      <c r="AX9" s="2660" t="s">
        <v>56</v>
      </c>
      <c r="AY9" s="2660" t="s">
        <v>55</v>
      </c>
      <c r="AZ9" s="2660" t="s">
        <v>56</v>
      </c>
      <c r="BA9" s="2660" t="s">
        <v>55</v>
      </c>
      <c r="BB9" s="2660" t="s">
        <v>56</v>
      </c>
      <c r="BC9" s="2660" t="s">
        <v>55</v>
      </c>
      <c r="BD9" s="2660" t="s">
        <v>56</v>
      </c>
      <c r="BE9" s="4516"/>
      <c r="BF9" s="4526"/>
      <c r="BG9" s="3329"/>
      <c r="BH9" s="4527"/>
      <c r="BI9" s="4516"/>
      <c r="BJ9" s="4518"/>
      <c r="BK9" s="2661" t="s">
        <v>55</v>
      </c>
      <c r="BL9" s="2661" t="s">
        <v>56</v>
      </c>
      <c r="BM9" s="2661" t="s">
        <v>55</v>
      </c>
      <c r="BN9" s="2661" t="s">
        <v>56</v>
      </c>
      <c r="BO9" s="4530"/>
    </row>
    <row r="10" spans="1:283" ht="23.25" customHeight="1" x14ac:dyDescent="0.2">
      <c r="A10" s="933">
        <v>3</v>
      </c>
      <c r="B10" s="934" t="s">
        <v>308</v>
      </c>
      <c r="C10" s="935"/>
      <c r="D10" s="935"/>
      <c r="E10" s="935"/>
      <c r="F10" s="935"/>
      <c r="G10" s="935"/>
      <c r="H10" s="936"/>
      <c r="I10" s="936"/>
      <c r="J10" s="935"/>
      <c r="K10" s="935"/>
      <c r="L10" s="935"/>
      <c r="M10" s="935"/>
      <c r="N10" s="936"/>
      <c r="O10" s="935"/>
      <c r="P10" s="935"/>
      <c r="Q10" s="936"/>
      <c r="R10" s="936"/>
      <c r="S10" s="936"/>
      <c r="T10" s="937"/>
      <c r="U10" s="937"/>
      <c r="V10" s="937"/>
      <c r="W10" s="937"/>
      <c r="X10" s="937"/>
      <c r="Y10" s="935"/>
      <c r="Z10" s="935"/>
      <c r="AA10" s="935"/>
      <c r="AB10" s="935"/>
      <c r="AC10" s="935"/>
      <c r="AD10" s="935"/>
      <c r="AE10" s="935"/>
      <c r="AF10" s="935"/>
      <c r="AG10" s="935"/>
      <c r="AH10" s="935"/>
      <c r="AI10" s="935"/>
      <c r="AJ10" s="935"/>
      <c r="AK10" s="935"/>
      <c r="AL10" s="935"/>
      <c r="AM10" s="935"/>
      <c r="AN10" s="935"/>
      <c r="AO10" s="935"/>
      <c r="AP10" s="935"/>
      <c r="AQ10" s="935"/>
      <c r="AR10" s="935"/>
      <c r="AS10" s="935"/>
      <c r="AT10" s="935"/>
      <c r="AU10" s="935"/>
      <c r="AV10" s="935"/>
      <c r="AW10" s="935"/>
      <c r="AX10" s="935"/>
      <c r="AY10" s="935"/>
      <c r="AZ10" s="935"/>
      <c r="BA10" s="935"/>
      <c r="BB10" s="935"/>
      <c r="BC10" s="935"/>
      <c r="BD10" s="935"/>
      <c r="BE10" s="935"/>
      <c r="BF10" s="935"/>
      <c r="BG10" s="935"/>
      <c r="BH10" s="935"/>
      <c r="BI10" s="935"/>
      <c r="BJ10" s="935"/>
      <c r="BK10" s="935"/>
      <c r="BL10" s="935"/>
      <c r="BM10" s="935"/>
      <c r="BN10" s="935"/>
      <c r="BO10" s="938"/>
    </row>
    <row r="11" spans="1:283" ht="15.75" x14ac:dyDescent="0.2">
      <c r="A11" s="939"/>
      <c r="B11" s="940"/>
      <c r="C11" s="941">
        <v>16</v>
      </c>
      <c r="D11" s="942" t="s">
        <v>762</v>
      </c>
      <c r="E11" s="943"/>
      <c r="F11" s="943"/>
      <c r="G11" s="944"/>
      <c r="H11" s="945"/>
      <c r="I11" s="945"/>
      <c r="J11" s="944"/>
      <c r="K11" s="944"/>
      <c r="L11" s="944"/>
      <c r="M11" s="944"/>
      <c r="N11" s="945"/>
      <c r="O11" s="944"/>
      <c r="P11" s="944"/>
      <c r="Q11" s="945"/>
      <c r="R11" s="945"/>
      <c r="S11" s="945"/>
      <c r="T11" s="946"/>
      <c r="U11" s="946"/>
      <c r="V11" s="946"/>
      <c r="W11" s="946"/>
      <c r="X11" s="946"/>
      <c r="Y11" s="944"/>
      <c r="Z11" s="944"/>
      <c r="AA11" s="944"/>
      <c r="AB11" s="944"/>
      <c r="AC11" s="944"/>
      <c r="AD11" s="944"/>
      <c r="AE11" s="944"/>
      <c r="AF11" s="944"/>
      <c r="AG11" s="944"/>
      <c r="AH11" s="944"/>
      <c r="AI11" s="944"/>
      <c r="AJ11" s="944"/>
      <c r="AK11" s="944"/>
      <c r="AL11" s="944"/>
      <c r="AM11" s="944"/>
      <c r="AN11" s="944"/>
      <c r="AO11" s="944"/>
      <c r="AP11" s="944"/>
      <c r="AQ11" s="944"/>
      <c r="AR11" s="944"/>
      <c r="AS11" s="944"/>
      <c r="AT11" s="944"/>
      <c r="AU11" s="944"/>
      <c r="AV11" s="944"/>
      <c r="AW11" s="944"/>
      <c r="AX11" s="944"/>
      <c r="AY11" s="944"/>
      <c r="AZ11" s="944"/>
      <c r="BA11" s="944"/>
      <c r="BB11" s="944"/>
      <c r="BC11" s="944"/>
      <c r="BD11" s="944"/>
      <c r="BE11" s="944"/>
      <c r="BF11" s="944"/>
      <c r="BG11" s="944"/>
      <c r="BH11" s="944"/>
      <c r="BI11" s="944"/>
      <c r="BJ11" s="944"/>
      <c r="BK11" s="944"/>
      <c r="BL11" s="944"/>
      <c r="BM11" s="944"/>
      <c r="BN11" s="944"/>
      <c r="BO11" s="947"/>
    </row>
    <row r="12" spans="1:283" ht="15.75" x14ac:dyDescent="0.2">
      <c r="A12" s="948"/>
      <c r="B12" s="949"/>
      <c r="C12" s="950"/>
      <c r="D12" s="949"/>
      <c r="E12" s="423">
        <v>56</v>
      </c>
      <c r="F12" s="951" t="s">
        <v>777</v>
      </c>
      <c r="G12" s="952"/>
      <c r="H12" s="953"/>
      <c r="I12" s="953"/>
      <c r="J12" s="952"/>
      <c r="K12" s="952"/>
      <c r="L12" s="952"/>
      <c r="M12" s="952"/>
      <c r="N12" s="953"/>
      <c r="O12" s="952"/>
      <c r="P12" s="952"/>
      <c r="Q12" s="953"/>
      <c r="R12" s="953"/>
      <c r="S12" s="953"/>
      <c r="T12" s="954"/>
      <c r="U12" s="954"/>
      <c r="V12" s="954"/>
      <c r="W12" s="954"/>
      <c r="X12" s="954"/>
      <c r="Y12" s="952"/>
      <c r="Z12" s="952"/>
      <c r="AA12" s="952"/>
      <c r="AB12" s="952"/>
      <c r="AC12" s="952"/>
      <c r="AD12" s="952"/>
      <c r="AE12" s="952"/>
      <c r="AF12" s="952"/>
      <c r="AG12" s="952"/>
      <c r="AH12" s="952"/>
      <c r="AI12" s="952"/>
      <c r="AJ12" s="952"/>
      <c r="AK12" s="952"/>
      <c r="AL12" s="952"/>
      <c r="AM12" s="952"/>
      <c r="AN12" s="952"/>
      <c r="AO12" s="952"/>
      <c r="AP12" s="952"/>
      <c r="AQ12" s="952"/>
      <c r="AR12" s="952"/>
      <c r="AS12" s="952"/>
      <c r="AT12" s="952"/>
      <c r="AU12" s="952"/>
      <c r="AV12" s="952"/>
      <c r="AW12" s="952"/>
      <c r="AX12" s="952"/>
      <c r="AY12" s="952"/>
      <c r="AZ12" s="952"/>
      <c r="BA12" s="952"/>
      <c r="BB12" s="952"/>
      <c r="BC12" s="952"/>
      <c r="BD12" s="952"/>
      <c r="BE12" s="952"/>
      <c r="BF12" s="952"/>
      <c r="BG12" s="952"/>
      <c r="BH12" s="952"/>
      <c r="BI12" s="952"/>
      <c r="BJ12" s="952"/>
      <c r="BK12" s="952"/>
      <c r="BL12" s="952"/>
      <c r="BM12" s="952"/>
      <c r="BN12" s="952"/>
      <c r="BO12" s="955"/>
    </row>
    <row r="13" spans="1:283" ht="68.25" customHeight="1" x14ac:dyDescent="0.2">
      <c r="A13" s="948"/>
      <c r="B13" s="949"/>
      <c r="C13" s="950"/>
      <c r="D13" s="949"/>
      <c r="E13" s="4519"/>
      <c r="F13" s="4520"/>
      <c r="G13" s="3256">
        <v>180</v>
      </c>
      <c r="H13" s="3179" t="s">
        <v>778</v>
      </c>
      <c r="I13" s="3179" t="s">
        <v>779</v>
      </c>
      <c r="J13" s="3176">
        <v>1</v>
      </c>
      <c r="K13" s="4511">
        <v>0.25</v>
      </c>
      <c r="L13" s="4470" t="s">
        <v>780</v>
      </c>
      <c r="M13" s="4498" t="s">
        <v>781</v>
      </c>
      <c r="N13" s="3180" t="s">
        <v>782</v>
      </c>
      <c r="O13" s="4444">
        <f>SUM(T13:T16)/P13</f>
        <v>0.69789227166276346</v>
      </c>
      <c r="P13" s="4463">
        <f>SUM(T13:T20)</f>
        <v>64050000</v>
      </c>
      <c r="Q13" s="3179" t="s">
        <v>783</v>
      </c>
      <c r="R13" s="3196" t="s">
        <v>784</v>
      </c>
      <c r="S13" s="2657" t="s">
        <v>785</v>
      </c>
      <c r="T13" s="2650">
        <v>28960000</v>
      </c>
      <c r="U13" s="2652">
        <v>0</v>
      </c>
      <c r="V13" s="2652">
        <v>0</v>
      </c>
      <c r="W13" s="2646" t="s">
        <v>689</v>
      </c>
      <c r="X13" s="2647" t="s">
        <v>368</v>
      </c>
      <c r="Y13" s="4493">
        <v>1813</v>
      </c>
      <c r="Z13" s="4493">
        <v>104</v>
      </c>
      <c r="AA13" s="4493">
        <v>1887</v>
      </c>
      <c r="AB13" s="4493">
        <v>108</v>
      </c>
      <c r="AC13" s="4490">
        <v>2000</v>
      </c>
      <c r="AD13" s="4490">
        <v>167</v>
      </c>
      <c r="AE13" s="4490">
        <v>700</v>
      </c>
      <c r="AF13" s="4490"/>
      <c r="AG13" s="4490">
        <v>1000</v>
      </c>
      <c r="AH13" s="4490">
        <f>26+19</f>
        <v>45</v>
      </c>
      <c r="AI13" s="4490"/>
      <c r="AJ13" s="4490"/>
      <c r="AK13" s="4490"/>
      <c r="AL13" s="4490"/>
      <c r="AM13" s="4490"/>
      <c r="AN13" s="4490"/>
      <c r="AO13" s="4490"/>
      <c r="AP13" s="4490"/>
      <c r="AQ13" s="4490"/>
      <c r="AR13" s="4490"/>
      <c r="AS13" s="4490"/>
      <c r="AT13" s="4490"/>
      <c r="AU13" s="4490"/>
      <c r="AV13" s="4490"/>
      <c r="AW13" s="4490"/>
      <c r="AX13" s="4490"/>
      <c r="AY13" s="4490"/>
      <c r="AZ13" s="4490"/>
      <c r="BA13" s="4490"/>
      <c r="BB13" s="4490"/>
      <c r="BC13" s="4490">
        <f>AC13+AE13+AG13</f>
        <v>3700</v>
      </c>
      <c r="BD13" s="4490">
        <f>AD13+AF13+AH13</f>
        <v>212</v>
      </c>
      <c r="BE13" s="4490">
        <v>2</v>
      </c>
      <c r="BF13" s="3795">
        <f>SUM(U13:U20)</f>
        <v>19555000</v>
      </c>
      <c r="BG13" s="3185">
        <f>SUM(V13:V20)</f>
        <v>6031000</v>
      </c>
      <c r="BH13" s="4483">
        <f>+BG13/BF13</f>
        <v>0.30841217080030681</v>
      </c>
      <c r="BI13" s="4440">
        <v>20</v>
      </c>
      <c r="BJ13" s="3176" t="s">
        <v>786</v>
      </c>
      <c r="BK13" s="4514">
        <v>43467</v>
      </c>
      <c r="BL13" s="4474">
        <v>43467</v>
      </c>
      <c r="BM13" s="4476">
        <v>43830</v>
      </c>
      <c r="BN13" s="4477">
        <v>43830</v>
      </c>
      <c r="BO13" s="3320" t="s">
        <v>787</v>
      </c>
    </row>
    <row r="14" spans="1:283" ht="68.25" customHeight="1" x14ac:dyDescent="0.2">
      <c r="A14" s="948"/>
      <c r="B14" s="949"/>
      <c r="C14" s="950"/>
      <c r="D14" s="949"/>
      <c r="E14" s="4521"/>
      <c r="F14" s="4505"/>
      <c r="G14" s="3257"/>
      <c r="H14" s="3180"/>
      <c r="I14" s="3180"/>
      <c r="J14" s="3177"/>
      <c r="K14" s="4512"/>
      <c r="L14" s="4471"/>
      <c r="M14" s="4499"/>
      <c r="N14" s="3180"/>
      <c r="O14" s="4445"/>
      <c r="P14" s="4463"/>
      <c r="Q14" s="3180"/>
      <c r="R14" s="3197"/>
      <c r="S14" s="2655" t="s">
        <v>788</v>
      </c>
      <c r="T14" s="2650">
        <v>3500000</v>
      </c>
      <c r="U14" s="2652">
        <v>2600000</v>
      </c>
      <c r="V14" s="2652">
        <v>780000</v>
      </c>
      <c r="W14" s="2646" t="s">
        <v>689</v>
      </c>
      <c r="X14" s="2647" t="s">
        <v>368</v>
      </c>
      <c r="Y14" s="4494"/>
      <c r="Z14" s="4494"/>
      <c r="AA14" s="4494"/>
      <c r="AB14" s="4494"/>
      <c r="AC14" s="4491"/>
      <c r="AD14" s="4491"/>
      <c r="AE14" s="4491"/>
      <c r="AF14" s="4491"/>
      <c r="AG14" s="4491"/>
      <c r="AH14" s="4491"/>
      <c r="AI14" s="4491"/>
      <c r="AJ14" s="4491"/>
      <c r="AK14" s="4491"/>
      <c r="AL14" s="4491"/>
      <c r="AM14" s="4491"/>
      <c r="AN14" s="4491"/>
      <c r="AO14" s="4491"/>
      <c r="AP14" s="4491"/>
      <c r="AQ14" s="4491"/>
      <c r="AR14" s="4491"/>
      <c r="AS14" s="4491"/>
      <c r="AT14" s="4491"/>
      <c r="AU14" s="4491"/>
      <c r="AV14" s="4491"/>
      <c r="AW14" s="4491"/>
      <c r="AX14" s="4491"/>
      <c r="AY14" s="4491"/>
      <c r="AZ14" s="4491"/>
      <c r="BA14" s="4491"/>
      <c r="BB14" s="4491"/>
      <c r="BC14" s="4491"/>
      <c r="BD14" s="4491"/>
      <c r="BE14" s="4491"/>
      <c r="BF14" s="3796"/>
      <c r="BG14" s="3186"/>
      <c r="BH14" s="4484"/>
      <c r="BI14" s="4441"/>
      <c r="BJ14" s="4441"/>
      <c r="BK14" s="4514"/>
      <c r="BL14" s="4475"/>
      <c r="BM14" s="4476"/>
      <c r="BN14" s="4478"/>
      <c r="BO14" s="3320"/>
    </row>
    <row r="15" spans="1:283" ht="68.25" customHeight="1" x14ac:dyDescent="0.2">
      <c r="A15" s="948"/>
      <c r="B15" s="949"/>
      <c r="C15" s="950"/>
      <c r="D15" s="949"/>
      <c r="E15" s="4521"/>
      <c r="F15" s="4505"/>
      <c r="G15" s="3257"/>
      <c r="H15" s="3180"/>
      <c r="I15" s="3180"/>
      <c r="J15" s="3177"/>
      <c r="K15" s="4512"/>
      <c r="L15" s="4471"/>
      <c r="M15" s="4499"/>
      <c r="N15" s="3180"/>
      <c r="O15" s="4445"/>
      <c r="P15" s="4463"/>
      <c r="Q15" s="3180"/>
      <c r="R15" s="3197"/>
      <c r="S15" s="2657" t="s">
        <v>789</v>
      </c>
      <c r="T15" s="2650">
        <v>4280000</v>
      </c>
      <c r="U15" s="2652">
        <v>2000000</v>
      </c>
      <c r="V15" s="2652">
        <v>400000</v>
      </c>
      <c r="W15" s="2646" t="s">
        <v>689</v>
      </c>
      <c r="X15" s="2647" t="s">
        <v>368</v>
      </c>
      <c r="Y15" s="4494"/>
      <c r="Z15" s="4494"/>
      <c r="AA15" s="4494"/>
      <c r="AB15" s="4494"/>
      <c r="AC15" s="4491"/>
      <c r="AD15" s="4491"/>
      <c r="AE15" s="4491"/>
      <c r="AF15" s="4491"/>
      <c r="AG15" s="4491"/>
      <c r="AH15" s="4491"/>
      <c r="AI15" s="4491"/>
      <c r="AJ15" s="4491"/>
      <c r="AK15" s="4491"/>
      <c r="AL15" s="4491"/>
      <c r="AM15" s="4491"/>
      <c r="AN15" s="4491"/>
      <c r="AO15" s="4491"/>
      <c r="AP15" s="4491"/>
      <c r="AQ15" s="4491"/>
      <c r="AR15" s="4491"/>
      <c r="AS15" s="4491"/>
      <c r="AT15" s="4491"/>
      <c r="AU15" s="4491"/>
      <c r="AV15" s="4491"/>
      <c r="AW15" s="4491"/>
      <c r="AX15" s="4491"/>
      <c r="AY15" s="4491"/>
      <c r="AZ15" s="4491"/>
      <c r="BA15" s="4491"/>
      <c r="BB15" s="4491"/>
      <c r="BC15" s="4491"/>
      <c r="BD15" s="4491"/>
      <c r="BE15" s="4491"/>
      <c r="BF15" s="3796"/>
      <c r="BG15" s="3186"/>
      <c r="BH15" s="4484"/>
      <c r="BI15" s="4441"/>
      <c r="BJ15" s="4441"/>
      <c r="BK15" s="4514"/>
      <c r="BL15" s="4475"/>
      <c r="BM15" s="4476"/>
      <c r="BN15" s="4478"/>
      <c r="BO15" s="3320"/>
    </row>
    <row r="16" spans="1:283" ht="68.25" customHeight="1" x14ac:dyDescent="0.2">
      <c r="A16" s="948"/>
      <c r="B16" s="949"/>
      <c r="C16" s="950"/>
      <c r="D16" s="949"/>
      <c r="E16" s="4521"/>
      <c r="F16" s="4505"/>
      <c r="G16" s="3258"/>
      <c r="H16" s="3181"/>
      <c r="I16" s="3181"/>
      <c r="J16" s="3178"/>
      <c r="K16" s="4513"/>
      <c r="L16" s="4471"/>
      <c r="M16" s="4499"/>
      <c r="N16" s="3180"/>
      <c r="O16" s="4497"/>
      <c r="P16" s="4463"/>
      <c r="Q16" s="3180"/>
      <c r="R16" s="3198"/>
      <c r="S16" s="2657" t="s">
        <v>790</v>
      </c>
      <c r="T16" s="2650">
        <v>7960000</v>
      </c>
      <c r="U16" s="2652">
        <v>2350000</v>
      </c>
      <c r="V16" s="2652">
        <v>680000</v>
      </c>
      <c r="W16" s="2646" t="s">
        <v>689</v>
      </c>
      <c r="X16" s="2647" t="s">
        <v>368</v>
      </c>
      <c r="Y16" s="4494"/>
      <c r="Z16" s="4494"/>
      <c r="AA16" s="4494"/>
      <c r="AB16" s="4494"/>
      <c r="AC16" s="4491"/>
      <c r="AD16" s="4491"/>
      <c r="AE16" s="4491"/>
      <c r="AF16" s="4491"/>
      <c r="AG16" s="4491"/>
      <c r="AH16" s="4491"/>
      <c r="AI16" s="4491"/>
      <c r="AJ16" s="4491"/>
      <c r="AK16" s="4491"/>
      <c r="AL16" s="4491"/>
      <c r="AM16" s="4491"/>
      <c r="AN16" s="4491"/>
      <c r="AO16" s="4491"/>
      <c r="AP16" s="4491"/>
      <c r="AQ16" s="4491"/>
      <c r="AR16" s="4491"/>
      <c r="AS16" s="4491"/>
      <c r="AT16" s="4491"/>
      <c r="AU16" s="4491"/>
      <c r="AV16" s="4491"/>
      <c r="AW16" s="4491"/>
      <c r="AX16" s="4491"/>
      <c r="AY16" s="4491"/>
      <c r="AZ16" s="4491"/>
      <c r="BA16" s="4491"/>
      <c r="BB16" s="4491"/>
      <c r="BC16" s="4491"/>
      <c r="BD16" s="4491"/>
      <c r="BE16" s="4491"/>
      <c r="BF16" s="3796"/>
      <c r="BG16" s="3186"/>
      <c r="BH16" s="4484"/>
      <c r="BI16" s="4441"/>
      <c r="BJ16" s="4441"/>
      <c r="BK16" s="4514"/>
      <c r="BL16" s="4475"/>
      <c r="BM16" s="4476"/>
      <c r="BN16" s="4478"/>
      <c r="BO16" s="3320"/>
    </row>
    <row r="17" spans="1:283" ht="68.25" customHeight="1" x14ac:dyDescent="0.2">
      <c r="A17" s="948"/>
      <c r="B17" s="949"/>
      <c r="C17" s="950"/>
      <c r="D17" s="949"/>
      <c r="E17" s="4521"/>
      <c r="F17" s="4505"/>
      <c r="G17" s="3256">
        <v>181</v>
      </c>
      <c r="H17" s="3179" t="s">
        <v>791</v>
      </c>
      <c r="I17" s="3179" t="s">
        <v>792</v>
      </c>
      <c r="J17" s="3176">
        <v>6</v>
      </c>
      <c r="K17" s="4511">
        <v>6</v>
      </c>
      <c r="L17" s="4471"/>
      <c r="M17" s="4499"/>
      <c r="N17" s="3180"/>
      <c r="O17" s="4444">
        <f>SUM(T17:T20)/P13</f>
        <v>0.30210772833723654</v>
      </c>
      <c r="P17" s="4463"/>
      <c r="Q17" s="3180"/>
      <c r="R17" s="3196" t="s">
        <v>793</v>
      </c>
      <c r="S17" s="2657" t="s">
        <v>794</v>
      </c>
      <c r="T17" s="2650">
        <v>4750000</v>
      </c>
      <c r="U17" s="2652">
        <v>3800000</v>
      </c>
      <c r="V17" s="2652">
        <v>1160000</v>
      </c>
      <c r="W17" s="2646" t="s">
        <v>689</v>
      </c>
      <c r="X17" s="2647" t="s">
        <v>368</v>
      </c>
      <c r="Y17" s="4494"/>
      <c r="Z17" s="4494"/>
      <c r="AA17" s="4494"/>
      <c r="AB17" s="4494"/>
      <c r="AC17" s="4491"/>
      <c r="AD17" s="4491"/>
      <c r="AE17" s="4491"/>
      <c r="AF17" s="4491"/>
      <c r="AG17" s="4491"/>
      <c r="AH17" s="4491"/>
      <c r="AI17" s="4491"/>
      <c r="AJ17" s="4491"/>
      <c r="AK17" s="4491"/>
      <c r="AL17" s="4491"/>
      <c r="AM17" s="4491"/>
      <c r="AN17" s="4491"/>
      <c r="AO17" s="4491"/>
      <c r="AP17" s="4491"/>
      <c r="AQ17" s="4491"/>
      <c r="AR17" s="4491"/>
      <c r="AS17" s="4491"/>
      <c r="AT17" s="4491"/>
      <c r="AU17" s="4491"/>
      <c r="AV17" s="4491"/>
      <c r="AW17" s="4491"/>
      <c r="AX17" s="4491"/>
      <c r="AY17" s="4491"/>
      <c r="AZ17" s="4491"/>
      <c r="BA17" s="4491"/>
      <c r="BB17" s="4491"/>
      <c r="BC17" s="4491"/>
      <c r="BD17" s="4491"/>
      <c r="BE17" s="4491"/>
      <c r="BF17" s="3796"/>
      <c r="BG17" s="3186"/>
      <c r="BH17" s="4484"/>
      <c r="BI17" s="4441"/>
      <c r="BJ17" s="4441"/>
      <c r="BK17" s="4514"/>
      <c r="BL17" s="4475"/>
      <c r="BM17" s="4476"/>
      <c r="BN17" s="4478"/>
      <c r="BO17" s="3320"/>
    </row>
    <row r="18" spans="1:283" ht="68.25" customHeight="1" x14ac:dyDescent="0.2">
      <c r="A18" s="948"/>
      <c r="B18" s="949"/>
      <c r="C18" s="950"/>
      <c r="D18" s="949"/>
      <c r="E18" s="4521"/>
      <c r="F18" s="4505"/>
      <c r="G18" s="3257"/>
      <c r="H18" s="3180"/>
      <c r="I18" s="3180"/>
      <c r="J18" s="3177"/>
      <c r="K18" s="4512"/>
      <c r="L18" s="4471"/>
      <c r="M18" s="4499"/>
      <c r="N18" s="3180"/>
      <c r="O18" s="4445"/>
      <c r="P18" s="4463"/>
      <c r="Q18" s="3180"/>
      <c r="R18" s="3197"/>
      <c r="S18" s="2657" t="s">
        <v>795</v>
      </c>
      <c r="T18" s="2650">
        <v>5750000</v>
      </c>
      <c r="U18" s="2652">
        <v>4250000</v>
      </c>
      <c r="V18" s="2652">
        <v>1300000</v>
      </c>
      <c r="W18" s="2646" t="s">
        <v>689</v>
      </c>
      <c r="X18" s="2647" t="s">
        <v>368</v>
      </c>
      <c r="Y18" s="4494"/>
      <c r="Z18" s="4494"/>
      <c r="AA18" s="4494"/>
      <c r="AB18" s="4494"/>
      <c r="AC18" s="4491"/>
      <c r="AD18" s="4491"/>
      <c r="AE18" s="4491"/>
      <c r="AF18" s="4491"/>
      <c r="AG18" s="4491"/>
      <c r="AH18" s="4491"/>
      <c r="AI18" s="4491"/>
      <c r="AJ18" s="4491"/>
      <c r="AK18" s="4491"/>
      <c r="AL18" s="4491"/>
      <c r="AM18" s="4491"/>
      <c r="AN18" s="4491"/>
      <c r="AO18" s="4491"/>
      <c r="AP18" s="4491"/>
      <c r="AQ18" s="4491"/>
      <c r="AR18" s="4491"/>
      <c r="AS18" s="4491"/>
      <c r="AT18" s="4491"/>
      <c r="AU18" s="4491"/>
      <c r="AV18" s="4491"/>
      <c r="AW18" s="4491"/>
      <c r="AX18" s="4491"/>
      <c r="AY18" s="4491"/>
      <c r="AZ18" s="4491"/>
      <c r="BA18" s="4491"/>
      <c r="BB18" s="4491"/>
      <c r="BC18" s="4491"/>
      <c r="BD18" s="4491"/>
      <c r="BE18" s="4491"/>
      <c r="BF18" s="3796"/>
      <c r="BG18" s="3186"/>
      <c r="BH18" s="4484"/>
      <c r="BI18" s="4441"/>
      <c r="BJ18" s="4441"/>
      <c r="BK18" s="4514"/>
      <c r="BL18" s="4475"/>
      <c r="BM18" s="4476"/>
      <c r="BN18" s="4478"/>
      <c r="BO18" s="3320"/>
    </row>
    <row r="19" spans="1:283" ht="68.25" customHeight="1" x14ac:dyDescent="0.2">
      <c r="A19" s="948"/>
      <c r="B19" s="949"/>
      <c r="C19" s="950"/>
      <c r="D19" s="949"/>
      <c r="E19" s="4521"/>
      <c r="F19" s="4505"/>
      <c r="G19" s="3257"/>
      <c r="H19" s="3180"/>
      <c r="I19" s="3180"/>
      <c r="J19" s="3177"/>
      <c r="K19" s="4512"/>
      <c r="L19" s="4471"/>
      <c r="M19" s="4499"/>
      <c r="N19" s="3180"/>
      <c r="O19" s="4445"/>
      <c r="P19" s="4463"/>
      <c r="Q19" s="3180"/>
      <c r="R19" s="3197"/>
      <c r="S19" s="2657" t="s">
        <v>796</v>
      </c>
      <c r="T19" s="2650">
        <v>4750000</v>
      </c>
      <c r="U19" s="2652">
        <v>2000000</v>
      </c>
      <c r="V19" s="2652">
        <v>800000</v>
      </c>
      <c r="W19" s="2646" t="s">
        <v>689</v>
      </c>
      <c r="X19" s="2647" t="s">
        <v>368</v>
      </c>
      <c r="Y19" s="4494"/>
      <c r="Z19" s="4494"/>
      <c r="AA19" s="4494"/>
      <c r="AB19" s="4494"/>
      <c r="AC19" s="4491"/>
      <c r="AD19" s="4491"/>
      <c r="AE19" s="4491"/>
      <c r="AF19" s="4491"/>
      <c r="AG19" s="4491"/>
      <c r="AH19" s="4491"/>
      <c r="AI19" s="4491"/>
      <c r="AJ19" s="4491"/>
      <c r="AK19" s="4491"/>
      <c r="AL19" s="4491"/>
      <c r="AM19" s="4491"/>
      <c r="AN19" s="4491"/>
      <c r="AO19" s="4491"/>
      <c r="AP19" s="4491"/>
      <c r="AQ19" s="4491"/>
      <c r="AR19" s="4491"/>
      <c r="AS19" s="4491"/>
      <c r="AT19" s="4491"/>
      <c r="AU19" s="4491"/>
      <c r="AV19" s="4491"/>
      <c r="AW19" s="4491"/>
      <c r="AX19" s="4491"/>
      <c r="AY19" s="4491"/>
      <c r="AZ19" s="4491"/>
      <c r="BA19" s="4491"/>
      <c r="BB19" s="4491"/>
      <c r="BC19" s="4491"/>
      <c r="BD19" s="4491"/>
      <c r="BE19" s="4491"/>
      <c r="BF19" s="3796"/>
      <c r="BG19" s="3186"/>
      <c r="BH19" s="4484"/>
      <c r="BI19" s="4441"/>
      <c r="BJ19" s="4441"/>
      <c r="BK19" s="4514"/>
      <c r="BL19" s="4475"/>
      <c r="BM19" s="4476"/>
      <c r="BN19" s="4478"/>
      <c r="BO19" s="3320"/>
    </row>
    <row r="20" spans="1:283" ht="68.25" customHeight="1" x14ac:dyDescent="0.2">
      <c r="A20" s="948"/>
      <c r="B20" s="949"/>
      <c r="C20" s="957"/>
      <c r="D20" s="958"/>
      <c r="E20" s="4522"/>
      <c r="F20" s="4523"/>
      <c r="G20" s="3258"/>
      <c r="H20" s="3181"/>
      <c r="I20" s="3181"/>
      <c r="J20" s="3178"/>
      <c r="K20" s="4513"/>
      <c r="L20" s="4524"/>
      <c r="M20" s="4500"/>
      <c r="N20" s="3181"/>
      <c r="O20" s="4497"/>
      <c r="P20" s="4464"/>
      <c r="Q20" s="3181"/>
      <c r="R20" s="3198"/>
      <c r="S20" s="2655" t="s">
        <v>797</v>
      </c>
      <c r="T20" s="2656">
        <v>4100000</v>
      </c>
      <c r="U20" s="2652">
        <v>2555000</v>
      </c>
      <c r="V20" s="2652">
        <v>911000</v>
      </c>
      <c r="W20" s="2646" t="s">
        <v>689</v>
      </c>
      <c r="X20" s="2647" t="s">
        <v>368</v>
      </c>
      <c r="Y20" s="4495"/>
      <c r="Z20" s="4495"/>
      <c r="AA20" s="4495"/>
      <c r="AB20" s="4495"/>
      <c r="AC20" s="4492"/>
      <c r="AD20" s="4492"/>
      <c r="AE20" s="4492"/>
      <c r="AF20" s="4492"/>
      <c r="AG20" s="4492"/>
      <c r="AH20" s="4492"/>
      <c r="AI20" s="4492"/>
      <c r="AJ20" s="4492"/>
      <c r="AK20" s="4492"/>
      <c r="AL20" s="4492"/>
      <c r="AM20" s="4492"/>
      <c r="AN20" s="4492"/>
      <c r="AO20" s="4492"/>
      <c r="AP20" s="4492"/>
      <c r="AQ20" s="4492"/>
      <c r="AR20" s="4492"/>
      <c r="AS20" s="4492"/>
      <c r="AT20" s="4492"/>
      <c r="AU20" s="4492"/>
      <c r="AV20" s="4492"/>
      <c r="AW20" s="4492"/>
      <c r="AX20" s="4492"/>
      <c r="AY20" s="4492"/>
      <c r="AZ20" s="4492"/>
      <c r="BA20" s="4492"/>
      <c r="BB20" s="4492"/>
      <c r="BC20" s="4492"/>
      <c r="BD20" s="4492"/>
      <c r="BE20" s="4492"/>
      <c r="BF20" s="3797"/>
      <c r="BG20" s="3187"/>
      <c r="BH20" s="4485"/>
      <c r="BI20" s="4448"/>
      <c r="BJ20" s="4448"/>
      <c r="BK20" s="4515"/>
      <c r="BL20" s="4476"/>
      <c r="BM20" s="4473"/>
      <c r="BN20" s="4479"/>
      <c r="BO20" s="3320"/>
    </row>
    <row r="21" spans="1:283" ht="15.75" x14ac:dyDescent="0.2">
      <c r="A21" s="948"/>
      <c r="B21" s="949"/>
      <c r="C21" s="941">
        <v>17</v>
      </c>
      <c r="D21" s="960" t="s">
        <v>798</v>
      </c>
      <c r="E21" s="961"/>
      <c r="F21" s="961"/>
      <c r="G21" s="961"/>
      <c r="H21" s="962"/>
      <c r="I21" s="962"/>
      <c r="J21" s="961"/>
      <c r="K21" s="961"/>
      <c r="L21" s="961"/>
      <c r="M21" s="961"/>
      <c r="N21" s="962"/>
      <c r="O21" s="963"/>
      <c r="P21" s="964"/>
      <c r="Q21" s="962"/>
      <c r="R21" s="962"/>
      <c r="S21" s="962"/>
      <c r="T21" s="965"/>
      <c r="U21" s="965"/>
      <c r="V21" s="965"/>
      <c r="W21" s="966"/>
      <c r="X21" s="966"/>
      <c r="Y21" s="961"/>
      <c r="Z21" s="961"/>
      <c r="AA21" s="961"/>
      <c r="AB21" s="961"/>
      <c r="AC21" s="961"/>
      <c r="AD21" s="961"/>
      <c r="AE21" s="961"/>
      <c r="AF21" s="961"/>
      <c r="AG21" s="961"/>
      <c r="AH21" s="961"/>
      <c r="AI21" s="961"/>
      <c r="AJ21" s="961"/>
      <c r="AK21" s="961"/>
      <c r="AL21" s="961"/>
      <c r="AM21" s="961"/>
      <c r="AN21" s="961"/>
      <c r="AO21" s="961"/>
      <c r="AP21" s="961"/>
      <c r="AQ21" s="961"/>
      <c r="AR21" s="961"/>
      <c r="AS21" s="961"/>
      <c r="AT21" s="961"/>
      <c r="AU21" s="961"/>
      <c r="AV21" s="961"/>
      <c r="AW21" s="961"/>
      <c r="AX21" s="961"/>
      <c r="AY21" s="961"/>
      <c r="AZ21" s="961"/>
      <c r="BA21" s="961"/>
      <c r="BB21" s="961"/>
      <c r="BC21" s="961"/>
      <c r="BD21" s="961"/>
      <c r="BE21" s="967"/>
      <c r="BF21" s="968"/>
      <c r="BG21" s="968"/>
      <c r="BH21" s="969"/>
      <c r="BI21" s="967"/>
      <c r="BJ21" s="967"/>
      <c r="BK21" s="961"/>
      <c r="BL21" s="961"/>
      <c r="BM21" s="961"/>
      <c r="BN21" s="961"/>
      <c r="BO21" s="970"/>
    </row>
    <row r="22" spans="1:283" ht="15.75" x14ac:dyDescent="0.2">
      <c r="A22" s="948"/>
      <c r="B22" s="971"/>
      <c r="C22" s="3222"/>
      <c r="D22" s="3223"/>
      <c r="E22" s="423">
        <v>58</v>
      </c>
      <c r="F22" s="951" t="s">
        <v>799</v>
      </c>
      <c r="G22" s="952"/>
      <c r="H22" s="953"/>
      <c r="I22" s="953"/>
      <c r="J22" s="952"/>
      <c r="K22" s="952"/>
      <c r="L22" s="952"/>
      <c r="M22" s="952"/>
      <c r="N22" s="953"/>
      <c r="O22" s="972"/>
      <c r="P22" s="973"/>
      <c r="Q22" s="953"/>
      <c r="R22" s="953"/>
      <c r="S22" s="953"/>
      <c r="T22" s="974"/>
      <c r="U22" s="974"/>
      <c r="V22" s="974"/>
      <c r="W22" s="954"/>
      <c r="X22" s="954"/>
      <c r="Y22" s="952"/>
      <c r="Z22" s="952"/>
      <c r="AA22" s="952"/>
      <c r="AB22" s="952"/>
      <c r="AC22" s="952"/>
      <c r="AD22" s="952"/>
      <c r="AE22" s="952"/>
      <c r="AF22" s="952"/>
      <c r="AG22" s="952"/>
      <c r="AH22" s="952"/>
      <c r="AI22" s="952"/>
      <c r="AJ22" s="952"/>
      <c r="AK22" s="952"/>
      <c r="AL22" s="952"/>
      <c r="AM22" s="952"/>
      <c r="AN22" s="952"/>
      <c r="AO22" s="952"/>
      <c r="AP22" s="952"/>
      <c r="AQ22" s="952"/>
      <c r="AR22" s="952"/>
      <c r="AS22" s="952"/>
      <c r="AT22" s="952"/>
      <c r="AU22" s="952"/>
      <c r="AV22" s="952"/>
      <c r="AW22" s="952"/>
      <c r="AX22" s="952"/>
      <c r="AY22" s="952"/>
      <c r="AZ22" s="952"/>
      <c r="BA22" s="952"/>
      <c r="BB22" s="952"/>
      <c r="BC22" s="952"/>
      <c r="BD22" s="952"/>
      <c r="BE22" s="952"/>
      <c r="BF22" s="973"/>
      <c r="BG22" s="973"/>
      <c r="BH22" s="975"/>
      <c r="BI22" s="952"/>
      <c r="BJ22" s="952"/>
      <c r="BK22" s="952"/>
      <c r="BL22" s="952"/>
      <c r="BM22" s="952"/>
      <c r="BN22" s="952"/>
      <c r="BO22" s="976"/>
    </row>
    <row r="23" spans="1:283" ht="47.25" customHeight="1" x14ac:dyDescent="0.2">
      <c r="A23" s="948"/>
      <c r="B23" s="971"/>
      <c r="C23" s="3224"/>
      <c r="D23" s="3225"/>
      <c r="E23" s="977"/>
      <c r="F23" s="978"/>
      <c r="G23" s="4505">
        <v>183</v>
      </c>
      <c r="H23" s="3197" t="s">
        <v>800</v>
      </c>
      <c r="I23" s="3197" t="s">
        <v>801</v>
      </c>
      <c r="J23" s="4506">
        <v>1</v>
      </c>
      <c r="K23" s="4508">
        <v>0.2</v>
      </c>
      <c r="L23" s="4470" t="s">
        <v>802</v>
      </c>
      <c r="M23" s="4499" t="s">
        <v>803</v>
      </c>
      <c r="N23" s="3180" t="s">
        <v>804</v>
      </c>
      <c r="O23" s="4504">
        <f>SUM(T23:T29)/P23</f>
        <v>1</v>
      </c>
      <c r="P23" s="4463">
        <f>SUM(T23:T29)</f>
        <v>178850000</v>
      </c>
      <c r="Q23" s="3180" t="s">
        <v>805</v>
      </c>
      <c r="R23" s="3196" t="s">
        <v>806</v>
      </c>
      <c r="S23" s="2657" t="s">
        <v>807</v>
      </c>
      <c r="T23" s="979">
        <v>18590000</v>
      </c>
      <c r="U23" s="2652">
        <v>18590000</v>
      </c>
      <c r="V23" s="2652">
        <v>6838333</v>
      </c>
      <c r="W23" s="2646" t="s">
        <v>689</v>
      </c>
      <c r="X23" s="2647" t="s">
        <v>368</v>
      </c>
      <c r="Y23" s="4490">
        <v>3625</v>
      </c>
      <c r="Z23" s="4490">
        <v>55</v>
      </c>
      <c r="AA23" s="4490">
        <v>3875</v>
      </c>
      <c r="AB23" s="4490">
        <v>7</v>
      </c>
      <c r="AC23" s="4490">
        <v>2000</v>
      </c>
      <c r="AD23" s="4490"/>
      <c r="AE23" s="4490">
        <v>4000</v>
      </c>
      <c r="AF23" s="4490"/>
      <c r="AG23" s="4490">
        <v>1000</v>
      </c>
      <c r="AH23" s="4490"/>
      <c r="AI23" s="4490">
        <v>500</v>
      </c>
      <c r="AJ23" s="4490">
        <f>+Z23+AB23</f>
        <v>62</v>
      </c>
      <c r="AK23" s="4490"/>
      <c r="AL23" s="4490"/>
      <c r="AM23" s="4490"/>
      <c r="AN23" s="4490"/>
      <c r="AO23" s="4490"/>
      <c r="AP23" s="4490"/>
      <c r="AQ23" s="4490"/>
      <c r="AR23" s="4490"/>
      <c r="AS23" s="4490"/>
      <c r="AT23" s="4490"/>
      <c r="AU23" s="4490"/>
      <c r="AV23" s="4490"/>
      <c r="AW23" s="4490"/>
      <c r="AX23" s="4490"/>
      <c r="AY23" s="4490"/>
      <c r="AZ23" s="4490"/>
      <c r="BA23" s="4490"/>
      <c r="BB23" s="4490"/>
      <c r="BC23" s="4490">
        <f>AC23+AE23+AG23+AI23</f>
        <v>7500</v>
      </c>
      <c r="BD23" s="4490">
        <f>AD23+AF23+AH23+AJ23</f>
        <v>62</v>
      </c>
      <c r="BE23" s="4490">
        <v>4</v>
      </c>
      <c r="BF23" s="4095">
        <f>SUM(U23:U29)</f>
        <v>50764500</v>
      </c>
      <c r="BG23" s="4095">
        <f>SUM(V23:V29)</f>
        <v>19142000</v>
      </c>
      <c r="BH23" s="4483">
        <f>+BG23/BF23</f>
        <v>0.37707453042972944</v>
      </c>
      <c r="BI23" s="4486">
        <v>20</v>
      </c>
      <c r="BJ23" s="4489" t="s">
        <v>786</v>
      </c>
      <c r="BK23" s="4474">
        <v>43467</v>
      </c>
      <c r="BL23" s="4474">
        <v>43475</v>
      </c>
      <c r="BM23" s="4476">
        <v>43830</v>
      </c>
      <c r="BN23" s="4477">
        <v>43819</v>
      </c>
      <c r="BO23" s="3320" t="s">
        <v>787</v>
      </c>
    </row>
    <row r="24" spans="1:283" ht="69" customHeight="1" x14ac:dyDescent="0.2">
      <c r="A24" s="948"/>
      <c r="B24" s="971"/>
      <c r="C24" s="3224"/>
      <c r="D24" s="3225"/>
      <c r="E24" s="980"/>
      <c r="F24" s="981"/>
      <c r="G24" s="4505"/>
      <c r="H24" s="3197"/>
      <c r="I24" s="3197"/>
      <c r="J24" s="4506"/>
      <c r="K24" s="4509"/>
      <c r="L24" s="4471"/>
      <c r="M24" s="4499"/>
      <c r="N24" s="3180"/>
      <c r="O24" s="4504"/>
      <c r="P24" s="4463"/>
      <c r="Q24" s="3180"/>
      <c r="R24" s="3197"/>
      <c r="S24" s="2657" t="s">
        <v>808</v>
      </c>
      <c r="T24" s="982">
        <f>40770000+14981000</f>
        <v>55751000</v>
      </c>
      <c r="U24" s="2652">
        <v>3184500</v>
      </c>
      <c r="V24" s="2652">
        <v>707667</v>
      </c>
      <c r="W24" s="2646" t="s">
        <v>689</v>
      </c>
      <c r="X24" s="2647" t="s">
        <v>368</v>
      </c>
      <c r="Y24" s="4491"/>
      <c r="Z24" s="4491"/>
      <c r="AA24" s="4491"/>
      <c r="AB24" s="4491"/>
      <c r="AC24" s="4491"/>
      <c r="AD24" s="4491"/>
      <c r="AE24" s="4491"/>
      <c r="AF24" s="4491"/>
      <c r="AG24" s="4491"/>
      <c r="AH24" s="4491"/>
      <c r="AI24" s="4491"/>
      <c r="AJ24" s="4491"/>
      <c r="AK24" s="4491"/>
      <c r="AL24" s="4491"/>
      <c r="AM24" s="4491"/>
      <c r="AN24" s="4491"/>
      <c r="AO24" s="4491"/>
      <c r="AP24" s="4491"/>
      <c r="AQ24" s="4491"/>
      <c r="AR24" s="4491"/>
      <c r="AS24" s="4491"/>
      <c r="AT24" s="4491"/>
      <c r="AU24" s="4491"/>
      <c r="AV24" s="4491"/>
      <c r="AW24" s="4491"/>
      <c r="AX24" s="4491"/>
      <c r="AY24" s="4491"/>
      <c r="AZ24" s="4491"/>
      <c r="BA24" s="4491"/>
      <c r="BB24" s="4491"/>
      <c r="BC24" s="4491"/>
      <c r="BD24" s="4491"/>
      <c r="BE24" s="4491"/>
      <c r="BF24" s="4096"/>
      <c r="BG24" s="4096"/>
      <c r="BH24" s="4484"/>
      <c r="BI24" s="4487"/>
      <c r="BJ24" s="4487"/>
      <c r="BK24" s="4475"/>
      <c r="BL24" s="4475"/>
      <c r="BM24" s="4476"/>
      <c r="BN24" s="4478"/>
      <c r="BO24" s="3320"/>
    </row>
    <row r="25" spans="1:283" ht="47.25" customHeight="1" x14ac:dyDescent="0.2">
      <c r="A25" s="948"/>
      <c r="B25" s="971"/>
      <c r="C25" s="3224"/>
      <c r="D25" s="3225"/>
      <c r="E25" s="980"/>
      <c r="F25" s="981"/>
      <c r="G25" s="4505"/>
      <c r="H25" s="3197"/>
      <c r="I25" s="3197"/>
      <c r="J25" s="4506"/>
      <c r="K25" s="4509"/>
      <c r="L25" s="4471"/>
      <c r="M25" s="4499"/>
      <c r="N25" s="3180"/>
      <c r="O25" s="4504"/>
      <c r="P25" s="4463"/>
      <c r="Q25" s="3180"/>
      <c r="R25" s="3197"/>
      <c r="S25" s="2657" t="s">
        <v>809</v>
      </c>
      <c r="T25" s="982">
        <f>37180000-7180000</f>
        <v>30000000</v>
      </c>
      <c r="U25" s="2652">
        <v>15000000</v>
      </c>
      <c r="V25" s="2652">
        <v>6000000</v>
      </c>
      <c r="W25" s="2646" t="s">
        <v>689</v>
      </c>
      <c r="X25" s="2647" t="s">
        <v>368</v>
      </c>
      <c r="Y25" s="4491"/>
      <c r="Z25" s="4491"/>
      <c r="AA25" s="4491"/>
      <c r="AB25" s="4491"/>
      <c r="AC25" s="4491"/>
      <c r="AD25" s="4491"/>
      <c r="AE25" s="4491"/>
      <c r="AF25" s="4491"/>
      <c r="AG25" s="4491"/>
      <c r="AH25" s="4491"/>
      <c r="AI25" s="4491"/>
      <c r="AJ25" s="4491"/>
      <c r="AK25" s="4491"/>
      <c r="AL25" s="4491"/>
      <c r="AM25" s="4491"/>
      <c r="AN25" s="4491"/>
      <c r="AO25" s="4491"/>
      <c r="AP25" s="4491"/>
      <c r="AQ25" s="4491"/>
      <c r="AR25" s="4491"/>
      <c r="AS25" s="4491"/>
      <c r="AT25" s="4491"/>
      <c r="AU25" s="4491"/>
      <c r="AV25" s="4491"/>
      <c r="AW25" s="4491"/>
      <c r="AX25" s="4491"/>
      <c r="AY25" s="4491"/>
      <c r="AZ25" s="4491"/>
      <c r="BA25" s="4491"/>
      <c r="BB25" s="4491"/>
      <c r="BC25" s="4491"/>
      <c r="BD25" s="4491"/>
      <c r="BE25" s="4491"/>
      <c r="BF25" s="4096"/>
      <c r="BG25" s="4096"/>
      <c r="BH25" s="4484"/>
      <c r="BI25" s="4487"/>
      <c r="BJ25" s="4487"/>
      <c r="BK25" s="4475"/>
      <c r="BL25" s="4475"/>
      <c r="BM25" s="4476"/>
      <c r="BN25" s="4478"/>
      <c r="BO25" s="3320"/>
    </row>
    <row r="26" spans="1:283" ht="47.25" customHeight="1" x14ac:dyDescent="0.2">
      <c r="A26" s="948"/>
      <c r="B26" s="971"/>
      <c r="C26" s="3224"/>
      <c r="D26" s="3225"/>
      <c r="E26" s="980"/>
      <c r="F26" s="981"/>
      <c r="G26" s="4505"/>
      <c r="H26" s="3197"/>
      <c r="I26" s="3197"/>
      <c r="J26" s="4506"/>
      <c r="K26" s="4509"/>
      <c r="L26" s="4471"/>
      <c r="M26" s="4499"/>
      <c r="N26" s="3180"/>
      <c r="O26" s="4504"/>
      <c r="P26" s="4463"/>
      <c r="Q26" s="3180"/>
      <c r="R26" s="3197"/>
      <c r="S26" s="2657" t="s">
        <v>810</v>
      </c>
      <c r="T26" s="982">
        <f>37180000-7801000</f>
        <v>29379000</v>
      </c>
      <c r="U26" s="2652">
        <v>13990000</v>
      </c>
      <c r="V26" s="2652">
        <v>5596000</v>
      </c>
      <c r="W26" s="2646" t="s">
        <v>689</v>
      </c>
      <c r="X26" s="2647" t="s">
        <v>368</v>
      </c>
      <c r="Y26" s="4491"/>
      <c r="Z26" s="4491"/>
      <c r="AA26" s="4491"/>
      <c r="AB26" s="4491"/>
      <c r="AC26" s="4491"/>
      <c r="AD26" s="4491"/>
      <c r="AE26" s="4491"/>
      <c r="AF26" s="4491"/>
      <c r="AG26" s="4491"/>
      <c r="AH26" s="4491"/>
      <c r="AI26" s="4491"/>
      <c r="AJ26" s="4491"/>
      <c r="AK26" s="4491"/>
      <c r="AL26" s="4491"/>
      <c r="AM26" s="4491"/>
      <c r="AN26" s="4491"/>
      <c r="AO26" s="4491"/>
      <c r="AP26" s="4491"/>
      <c r="AQ26" s="4491"/>
      <c r="AR26" s="4491"/>
      <c r="AS26" s="4491"/>
      <c r="AT26" s="4491"/>
      <c r="AU26" s="4491"/>
      <c r="AV26" s="4491"/>
      <c r="AW26" s="4491"/>
      <c r="AX26" s="4491"/>
      <c r="AY26" s="4491"/>
      <c r="AZ26" s="4491"/>
      <c r="BA26" s="4491"/>
      <c r="BB26" s="4491"/>
      <c r="BC26" s="4491"/>
      <c r="BD26" s="4491"/>
      <c r="BE26" s="4491"/>
      <c r="BF26" s="4096"/>
      <c r="BG26" s="4096"/>
      <c r="BH26" s="4484"/>
      <c r="BI26" s="4487"/>
      <c r="BJ26" s="4487"/>
      <c r="BK26" s="4475"/>
      <c r="BL26" s="4475"/>
      <c r="BM26" s="4476"/>
      <c r="BN26" s="4478"/>
      <c r="BO26" s="3320"/>
    </row>
    <row r="27" spans="1:283" ht="47.25" customHeight="1" x14ac:dyDescent="0.2">
      <c r="A27" s="948"/>
      <c r="B27" s="971"/>
      <c r="C27" s="3224"/>
      <c r="D27" s="3225"/>
      <c r="E27" s="980"/>
      <c r="F27" s="981"/>
      <c r="G27" s="4505"/>
      <c r="H27" s="3197"/>
      <c r="I27" s="3197"/>
      <c r="J27" s="4506"/>
      <c r="K27" s="4509"/>
      <c r="L27" s="4471"/>
      <c r="M27" s="4499"/>
      <c r="N27" s="3180"/>
      <c r="O27" s="4504"/>
      <c r="P27" s="4463"/>
      <c r="Q27" s="3180"/>
      <c r="R27" s="3197"/>
      <c r="S27" s="2657" t="s">
        <v>811</v>
      </c>
      <c r="T27" s="979">
        <v>31130000</v>
      </c>
      <c r="U27" s="2652">
        <v>0</v>
      </c>
      <c r="V27" s="2652">
        <v>0</v>
      </c>
      <c r="W27" s="2646" t="s">
        <v>689</v>
      </c>
      <c r="X27" s="2647" t="s">
        <v>368</v>
      </c>
      <c r="Y27" s="4491"/>
      <c r="Z27" s="4491"/>
      <c r="AA27" s="4491"/>
      <c r="AB27" s="4491"/>
      <c r="AC27" s="4491"/>
      <c r="AD27" s="4491"/>
      <c r="AE27" s="4491"/>
      <c r="AF27" s="4491"/>
      <c r="AG27" s="4491"/>
      <c r="AH27" s="4491"/>
      <c r="AI27" s="4491"/>
      <c r="AJ27" s="4491"/>
      <c r="AK27" s="4491"/>
      <c r="AL27" s="4491"/>
      <c r="AM27" s="4491"/>
      <c r="AN27" s="4491"/>
      <c r="AO27" s="4491"/>
      <c r="AP27" s="4491"/>
      <c r="AQ27" s="4491"/>
      <c r="AR27" s="4491"/>
      <c r="AS27" s="4491"/>
      <c r="AT27" s="4491"/>
      <c r="AU27" s="4491"/>
      <c r="AV27" s="4491"/>
      <c r="AW27" s="4491"/>
      <c r="AX27" s="4491"/>
      <c r="AY27" s="4491"/>
      <c r="AZ27" s="4491"/>
      <c r="BA27" s="4491"/>
      <c r="BB27" s="4491"/>
      <c r="BC27" s="4491"/>
      <c r="BD27" s="4491"/>
      <c r="BE27" s="4491"/>
      <c r="BF27" s="4096"/>
      <c r="BG27" s="4096"/>
      <c r="BH27" s="4484"/>
      <c r="BI27" s="4487"/>
      <c r="BJ27" s="4487"/>
      <c r="BK27" s="4475"/>
      <c r="BL27" s="4475"/>
      <c r="BM27" s="4476"/>
      <c r="BN27" s="4478"/>
      <c r="BO27" s="3320"/>
    </row>
    <row r="28" spans="1:283" s="924" customFormat="1" ht="45" customHeight="1" x14ac:dyDescent="0.2">
      <c r="A28" s="948"/>
      <c r="B28" s="971"/>
      <c r="C28" s="3224"/>
      <c r="D28" s="3225"/>
      <c r="E28" s="980"/>
      <c r="F28" s="981"/>
      <c r="G28" s="4505"/>
      <c r="H28" s="3197"/>
      <c r="I28" s="3197"/>
      <c r="J28" s="4506"/>
      <c r="K28" s="4509"/>
      <c r="L28" s="4471"/>
      <c r="M28" s="4499"/>
      <c r="N28" s="3180"/>
      <c r="O28" s="4504"/>
      <c r="P28" s="4463"/>
      <c r="Q28" s="3180"/>
      <c r="R28" s="3196" t="s">
        <v>812</v>
      </c>
      <c r="S28" s="2655" t="s">
        <v>813</v>
      </c>
      <c r="T28" s="983">
        <v>6000000</v>
      </c>
      <c r="U28" s="2652">
        <v>0</v>
      </c>
      <c r="V28" s="2652">
        <v>0</v>
      </c>
      <c r="W28" s="2646" t="s">
        <v>689</v>
      </c>
      <c r="X28" s="2647" t="s">
        <v>368</v>
      </c>
      <c r="Y28" s="4491"/>
      <c r="Z28" s="4491"/>
      <c r="AA28" s="4491"/>
      <c r="AB28" s="4491"/>
      <c r="AC28" s="4491"/>
      <c r="AD28" s="4491"/>
      <c r="AE28" s="4491"/>
      <c r="AF28" s="4491"/>
      <c r="AG28" s="4491"/>
      <c r="AH28" s="4491"/>
      <c r="AI28" s="4491"/>
      <c r="AJ28" s="4491"/>
      <c r="AK28" s="4491"/>
      <c r="AL28" s="4491"/>
      <c r="AM28" s="4491"/>
      <c r="AN28" s="4491"/>
      <c r="AO28" s="4491"/>
      <c r="AP28" s="4491"/>
      <c r="AQ28" s="4491"/>
      <c r="AR28" s="4491"/>
      <c r="AS28" s="4491"/>
      <c r="AT28" s="4491"/>
      <c r="AU28" s="4491"/>
      <c r="AV28" s="4491"/>
      <c r="AW28" s="4491"/>
      <c r="AX28" s="4491"/>
      <c r="AY28" s="4491"/>
      <c r="AZ28" s="4491"/>
      <c r="BA28" s="4491"/>
      <c r="BB28" s="4491"/>
      <c r="BC28" s="4491"/>
      <c r="BD28" s="4491"/>
      <c r="BE28" s="4491"/>
      <c r="BF28" s="4096"/>
      <c r="BG28" s="4096"/>
      <c r="BH28" s="4484"/>
      <c r="BI28" s="4487"/>
      <c r="BJ28" s="4487"/>
      <c r="BK28" s="4475"/>
      <c r="BL28" s="4475"/>
      <c r="BM28" s="4476"/>
      <c r="BN28" s="4478"/>
      <c r="BO28" s="3320"/>
      <c r="BU28" s="367"/>
      <c r="BV28" s="367"/>
      <c r="BW28" s="367"/>
      <c r="BX28" s="367"/>
      <c r="BY28" s="367"/>
      <c r="BZ28" s="367"/>
      <c r="CA28" s="367"/>
      <c r="CB28" s="367"/>
      <c r="CC28" s="367"/>
      <c r="CD28" s="367"/>
      <c r="CE28" s="367"/>
      <c r="CF28" s="367"/>
      <c r="CG28" s="367"/>
      <c r="CH28" s="367"/>
      <c r="CI28" s="367"/>
      <c r="CJ28" s="367"/>
      <c r="CK28" s="367"/>
      <c r="CL28" s="367"/>
      <c r="CM28" s="367"/>
      <c r="CN28" s="367"/>
      <c r="CO28" s="367"/>
      <c r="CP28" s="367"/>
      <c r="CQ28" s="367"/>
      <c r="CR28" s="367"/>
      <c r="CS28" s="367"/>
      <c r="CT28" s="367"/>
      <c r="CU28" s="367"/>
      <c r="CV28" s="367"/>
      <c r="CW28" s="367"/>
      <c r="CX28" s="367"/>
      <c r="CY28" s="367"/>
      <c r="CZ28" s="367"/>
      <c r="DA28" s="367"/>
      <c r="DB28" s="367"/>
      <c r="DC28" s="367"/>
      <c r="DD28" s="367"/>
      <c r="DE28" s="367"/>
      <c r="DF28" s="367"/>
      <c r="DG28" s="367"/>
      <c r="DH28" s="367"/>
      <c r="DI28" s="367"/>
      <c r="DJ28" s="367"/>
      <c r="DK28" s="367"/>
      <c r="DL28" s="367"/>
      <c r="DM28" s="367"/>
      <c r="DN28" s="367"/>
      <c r="DO28" s="367"/>
      <c r="DP28" s="367"/>
      <c r="DQ28" s="367"/>
      <c r="DR28" s="367"/>
      <c r="DS28" s="367"/>
      <c r="DT28" s="367"/>
      <c r="DU28" s="367"/>
      <c r="DV28" s="367"/>
      <c r="DW28" s="367"/>
      <c r="DX28" s="367"/>
      <c r="DY28" s="367"/>
      <c r="DZ28" s="367"/>
      <c r="EA28" s="367"/>
      <c r="EB28" s="367"/>
      <c r="EC28" s="367"/>
      <c r="ED28" s="367"/>
      <c r="EE28" s="367"/>
      <c r="EF28" s="367"/>
      <c r="EG28" s="367"/>
      <c r="EH28" s="367"/>
      <c r="EI28" s="367"/>
      <c r="EJ28" s="367"/>
      <c r="EK28" s="367"/>
      <c r="EL28" s="367"/>
      <c r="EM28" s="367"/>
      <c r="EN28" s="367"/>
      <c r="EO28" s="367"/>
      <c r="EP28" s="367"/>
      <c r="EQ28" s="367"/>
      <c r="ER28" s="367"/>
      <c r="ES28" s="367"/>
      <c r="ET28" s="367"/>
      <c r="EU28" s="367"/>
      <c r="EV28" s="367"/>
      <c r="EW28" s="367"/>
      <c r="EX28" s="367"/>
      <c r="EY28" s="367"/>
      <c r="EZ28" s="367"/>
      <c r="FA28" s="367"/>
      <c r="FB28" s="367"/>
      <c r="FC28" s="367"/>
      <c r="FD28" s="367"/>
      <c r="FE28" s="367"/>
      <c r="FF28" s="367"/>
      <c r="FG28" s="367"/>
      <c r="FH28" s="367"/>
      <c r="FI28" s="367"/>
      <c r="FJ28" s="367"/>
      <c r="FK28" s="367"/>
      <c r="FL28" s="367"/>
      <c r="FM28" s="367"/>
      <c r="FN28" s="367"/>
      <c r="FO28" s="367"/>
      <c r="FP28" s="367"/>
      <c r="FQ28" s="367"/>
      <c r="FR28" s="367"/>
      <c r="FS28" s="367"/>
      <c r="FT28" s="367"/>
      <c r="FU28" s="367"/>
      <c r="FV28" s="367"/>
      <c r="FW28" s="367"/>
      <c r="FX28" s="367"/>
      <c r="FY28" s="367"/>
      <c r="FZ28" s="367"/>
      <c r="GA28" s="367"/>
      <c r="GB28" s="367"/>
      <c r="GC28" s="367"/>
      <c r="GD28" s="367"/>
      <c r="GE28" s="367"/>
      <c r="GF28" s="367"/>
      <c r="GG28" s="367"/>
      <c r="GH28" s="367"/>
      <c r="GI28" s="367"/>
      <c r="GJ28" s="367"/>
      <c r="GK28" s="367"/>
      <c r="GL28" s="367"/>
      <c r="GM28" s="367"/>
      <c r="GN28" s="367"/>
      <c r="GO28" s="367"/>
      <c r="GP28" s="367"/>
      <c r="GQ28" s="367"/>
      <c r="GR28" s="367"/>
      <c r="GS28" s="367"/>
      <c r="GT28" s="367"/>
      <c r="GU28" s="367"/>
      <c r="GV28" s="367"/>
      <c r="GW28" s="367"/>
      <c r="GX28" s="367"/>
      <c r="GY28" s="367"/>
      <c r="GZ28" s="367"/>
      <c r="HA28" s="367"/>
      <c r="HB28" s="367"/>
      <c r="HC28" s="367"/>
      <c r="HD28" s="367"/>
      <c r="HE28" s="367"/>
      <c r="HF28" s="367"/>
      <c r="HG28" s="367"/>
      <c r="HH28" s="367"/>
      <c r="HI28" s="367"/>
      <c r="HJ28" s="367"/>
      <c r="HK28" s="367"/>
      <c r="HL28" s="367"/>
      <c r="HM28" s="367"/>
      <c r="HN28" s="367"/>
      <c r="HO28" s="367"/>
      <c r="HP28" s="367"/>
      <c r="HQ28" s="367"/>
      <c r="HR28" s="367"/>
      <c r="HS28" s="367"/>
      <c r="HT28" s="367"/>
      <c r="HU28" s="367"/>
      <c r="HV28" s="367"/>
      <c r="HW28" s="367"/>
      <c r="HX28" s="367"/>
      <c r="HY28" s="367"/>
      <c r="HZ28" s="367"/>
      <c r="IA28" s="367"/>
      <c r="IB28" s="367"/>
      <c r="IC28" s="367"/>
      <c r="ID28" s="367"/>
      <c r="IE28" s="367"/>
      <c r="IF28" s="367"/>
      <c r="IG28" s="367"/>
      <c r="IH28" s="367"/>
      <c r="II28" s="367"/>
      <c r="IJ28" s="367"/>
      <c r="IK28" s="367"/>
      <c r="IL28" s="367"/>
      <c r="IM28" s="367"/>
      <c r="IN28" s="367"/>
      <c r="IO28" s="367"/>
      <c r="IP28" s="367"/>
      <c r="IQ28" s="367"/>
      <c r="IR28" s="367"/>
      <c r="IS28" s="367"/>
      <c r="IT28" s="367"/>
      <c r="IU28" s="367"/>
      <c r="IV28" s="367"/>
      <c r="IW28" s="367"/>
      <c r="IX28" s="367"/>
      <c r="IY28" s="367"/>
      <c r="IZ28" s="367"/>
      <c r="JA28" s="367"/>
      <c r="JB28" s="367"/>
      <c r="JC28" s="367"/>
      <c r="JD28" s="367"/>
      <c r="JE28" s="367"/>
      <c r="JF28" s="367"/>
      <c r="JG28" s="367"/>
      <c r="JH28" s="367"/>
      <c r="JI28" s="367"/>
      <c r="JJ28" s="367"/>
      <c r="JK28" s="367"/>
      <c r="JL28" s="367"/>
      <c r="JM28" s="367"/>
      <c r="JN28" s="367"/>
      <c r="JO28" s="367"/>
      <c r="JP28" s="367"/>
      <c r="JQ28" s="367"/>
      <c r="JR28" s="367"/>
      <c r="JS28" s="367"/>
      <c r="JT28" s="367"/>
      <c r="JU28" s="367"/>
      <c r="JV28" s="367"/>
      <c r="JW28" s="367"/>
    </row>
    <row r="29" spans="1:283" s="924" customFormat="1" ht="45" customHeight="1" x14ac:dyDescent="0.2">
      <c r="A29" s="948"/>
      <c r="B29" s="971"/>
      <c r="C29" s="3224"/>
      <c r="D29" s="3225"/>
      <c r="E29" s="980"/>
      <c r="F29" s="981"/>
      <c r="G29" s="4505"/>
      <c r="H29" s="3197"/>
      <c r="I29" s="3197"/>
      <c r="J29" s="4507"/>
      <c r="K29" s="4510"/>
      <c r="L29" s="4471"/>
      <c r="M29" s="4499"/>
      <c r="N29" s="3180"/>
      <c r="O29" s="4504"/>
      <c r="P29" s="4095"/>
      <c r="Q29" s="3180"/>
      <c r="R29" s="3197"/>
      <c r="S29" s="2655" t="s">
        <v>814</v>
      </c>
      <c r="T29" s="984">
        <v>8000000</v>
      </c>
      <c r="U29" s="2652">
        <v>0</v>
      </c>
      <c r="V29" s="2652">
        <v>0</v>
      </c>
      <c r="W29" s="2646" t="s">
        <v>689</v>
      </c>
      <c r="X29" s="2647" t="s">
        <v>368</v>
      </c>
      <c r="Y29" s="4491"/>
      <c r="Z29" s="4491"/>
      <c r="AA29" s="4491"/>
      <c r="AB29" s="4491"/>
      <c r="AC29" s="4491"/>
      <c r="AD29" s="4491"/>
      <c r="AE29" s="4491"/>
      <c r="AF29" s="4491"/>
      <c r="AG29" s="4491"/>
      <c r="AH29" s="4491"/>
      <c r="AI29" s="4491"/>
      <c r="AJ29" s="4491"/>
      <c r="AK29" s="4491"/>
      <c r="AL29" s="4491"/>
      <c r="AM29" s="4491"/>
      <c r="AN29" s="4491"/>
      <c r="AO29" s="4491"/>
      <c r="AP29" s="4491"/>
      <c r="AQ29" s="4491"/>
      <c r="AR29" s="4491"/>
      <c r="AS29" s="4491"/>
      <c r="AT29" s="4491"/>
      <c r="AU29" s="4491"/>
      <c r="AV29" s="4491"/>
      <c r="AW29" s="4491"/>
      <c r="AX29" s="4491"/>
      <c r="AY29" s="4491"/>
      <c r="AZ29" s="4491"/>
      <c r="BA29" s="4491"/>
      <c r="BB29" s="4491"/>
      <c r="BC29" s="4491"/>
      <c r="BD29" s="4491"/>
      <c r="BE29" s="4491"/>
      <c r="BF29" s="4096"/>
      <c r="BG29" s="4096"/>
      <c r="BH29" s="4485"/>
      <c r="BI29" s="4488"/>
      <c r="BJ29" s="4488"/>
      <c r="BK29" s="4475"/>
      <c r="BL29" s="4476"/>
      <c r="BM29" s="4474"/>
      <c r="BN29" s="4479"/>
      <c r="BO29" s="3320"/>
      <c r="BU29" s="367"/>
      <c r="BV29" s="367"/>
      <c r="BW29" s="367"/>
      <c r="BX29" s="367"/>
      <c r="BY29" s="367"/>
      <c r="BZ29" s="367"/>
      <c r="CA29" s="367"/>
      <c r="CB29" s="367"/>
      <c r="CC29" s="367"/>
      <c r="CD29" s="367"/>
      <c r="CE29" s="367"/>
      <c r="CF29" s="367"/>
      <c r="CG29" s="367"/>
      <c r="CH29" s="367"/>
      <c r="CI29" s="367"/>
      <c r="CJ29" s="367"/>
      <c r="CK29" s="367"/>
      <c r="CL29" s="367"/>
      <c r="CM29" s="367"/>
      <c r="CN29" s="367"/>
      <c r="CO29" s="367"/>
      <c r="CP29" s="367"/>
      <c r="CQ29" s="367"/>
      <c r="CR29" s="367"/>
      <c r="CS29" s="367"/>
      <c r="CT29" s="367"/>
      <c r="CU29" s="367"/>
      <c r="CV29" s="367"/>
      <c r="CW29" s="367"/>
      <c r="CX29" s="367"/>
      <c r="CY29" s="367"/>
      <c r="CZ29" s="367"/>
      <c r="DA29" s="367"/>
      <c r="DB29" s="367"/>
      <c r="DC29" s="367"/>
      <c r="DD29" s="367"/>
      <c r="DE29" s="367"/>
      <c r="DF29" s="367"/>
      <c r="DG29" s="367"/>
      <c r="DH29" s="367"/>
      <c r="DI29" s="367"/>
      <c r="DJ29" s="367"/>
      <c r="DK29" s="367"/>
      <c r="DL29" s="367"/>
      <c r="DM29" s="367"/>
      <c r="DN29" s="367"/>
      <c r="DO29" s="367"/>
      <c r="DP29" s="367"/>
      <c r="DQ29" s="367"/>
      <c r="DR29" s="367"/>
      <c r="DS29" s="367"/>
      <c r="DT29" s="367"/>
      <c r="DU29" s="367"/>
      <c r="DV29" s="367"/>
      <c r="DW29" s="367"/>
      <c r="DX29" s="367"/>
      <c r="DY29" s="367"/>
      <c r="DZ29" s="367"/>
      <c r="EA29" s="367"/>
      <c r="EB29" s="367"/>
      <c r="EC29" s="367"/>
      <c r="ED29" s="367"/>
      <c r="EE29" s="367"/>
      <c r="EF29" s="367"/>
      <c r="EG29" s="367"/>
      <c r="EH29" s="367"/>
      <c r="EI29" s="367"/>
      <c r="EJ29" s="367"/>
      <c r="EK29" s="367"/>
      <c r="EL29" s="367"/>
      <c r="EM29" s="367"/>
      <c r="EN29" s="367"/>
      <c r="EO29" s="367"/>
      <c r="EP29" s="367"/>
      <c r="EQ29" s="367"/>
      <c r="ER29" s="367"/>
      <c r="ES29" s="367"/>
      <c r="ET29" s="367"/>
      <c r="EU29" s="367"/>
      <c r="EV29" s="367"/>
      <c r="EW29" s="367"/>
      <c r="EX29" s="367"/>
      <c r="EY29" s="367"/>
      <c r="EZ29" s="367"/>
      <c r="FA29" s="367"/>
      <c r="FB29" s="367"/>
      <c r="FC29" s="367"/>
      <c r="FD29" s="367"/>
      <c r="FE29" s="367"/>
      <c r="FF29" s="367"/>
      <c r="FG29" s="367"/>
      <c r="FH29" s="367"/>
      <c r="FI29" s="367"/>
      <c r="FJ29" s="367"/>
      <c r="FK29" s="367"/>
      <c r="FL29" s="367"/>
      <c r="FM29" s="367"/>
      <c r="FN29" s="367"/>
      <c r="FO29" s="367"/>
      <c r="FP29" s="367"/>
      <c r="FQ29" s="367"/>
      <c r="FR29" s="367"/>
      <c r="FS29" s="367"/>
      <c r="FT29" s="367"/>
      <c r="FU29" s="367"/>
      <c r="FV29" s="367"/>
      <c r="FW29" s="367"/>
      <c r="FX29" s="367"/>
      <c r="FY29" s="367"/>
      <c r="FZ29" s="367"/>
      <c r="GA29" s="367"/>
      <c r="GB29" s="367"/>
      <c r="GC29" s="367"/>
      <c r="GD29" s="367"/>
      <c r="GE29" s="367"/>
      <c r="GF29" s="367"/>
      <c r="GG29" s="367"/>
      <c r="GH29" s="367"/>
      <c r="GI29" s="367"/>
      <c r="GJ29" s="367"/>
      <c r="GK29" s="367"/>
      <c r="GL29" s="367"/>
      <c r="GM29" s="367"/>
      <c r="GN29" s="367"/>
      <c r="GO29" s="367"/>
      <c r="GP29" s="367"/>
      <c r="GQ29" s="367"/>
      <c r="GR29" s="367"/>
      <c r="GS29" s="367"/>
      <c r="GT29" s="367"/>
      <c r="GU29" s="367"/>
      <c r="GV29" s="367"/>
      <c r="GW29" s="367"/>
      <c r="GX29" s="367"/>
      <c r="GY29" s="367"/>
      <c r="GZ29" s="367"/>
      <c r="HA29" s="367"/>
      <c r="HB29" s="367"/>
      <c r="HC29" s="367"/>
      <c r="HD29" s="367"/>
      <c r="HE29" s="367"/>
      <c r="HF29" s="367"/>
      <c r="HG29" s="367"/>
      <c r="HH29" s="367"/>
      <c r="HI29" s="367"/>
      <c r="HJ29" s="367"/>
      <c r="HK29" s="367"/>
      <c r="HL29" s="367"/>
      <c r="HM29" s="367"/>
      <c r="HN29" s="367"/>
      <c r="HO29" s="367"/>
      <c r="HP29" s="367"/>
      <c r="HQ29" s="367"/>
      <c r="HR29" s="367"/>
      <c r="HS29" s="367"/>
      <c r="HT29" s="367"/>
      <c r="HU29" s="367"/>
      <c r="HV29" s="367"/>
      <c r="HW29" s="367"/>
      <c r="HX29" s="367"/>
      <c r="HY29" s="367"/>
      <c r="HZ29" s="367"/>
      <c r="IA29" s="367"/>
      <c r="IB29" s="367"/>
      <c r="IC29" s="367"/>
      <c r="ID29" s="367"/>
      <c r="IE29" s="367"/>
      <c r="IF29" s="367"/>
      <c r="IG29" s="367"/>
      <c r="IH29" s="367"/>
      <c r="II29" s="367"/>
      <c r="IJ29" s="367"/>
      <c r="IK29" s="367"/>
      <c r="IL29" s="367"/>
      <c r="IM29" s="367"/>
      <c r="IN29" s="367"/>
      <c r="IO29" s="367"/>
      <c r="IP29" s="367"/>
      <c r="IQ29" s="367"/>
      <c r="IR29" s="367"/>
      <c r="IS29" s="367"/>
      <c r="IT29" s="367"/>
      <c r="IU29" s="367"/>
      <c r="IV29" s="367"/>
      <c r="IW29" s="367"/>
      <c r="IX29" s="367"/>
      <c r="IY29" s="367"/>
      <c r="IZ29" s="367"/>
      <c r="JA29" s="367"/>
      <c r="JB29" s="367"/>
      <c r="JC29" s="367"/>
      <c r="JD29" s="367"/>
      <c r="JE29" s="367"/>
      <c r="JF29" s="367"/>
      <c r="JG29" s="367"/>
      <c r="JH29" s="367"/>
      <c r="JI29" s="367"/>
      <c r="JJ29" s="367"/>
      <c r="JK29" s="367"/>
      <c r="JL29" s="367"/>
      <c r="JM29" s="367"/>
      <c r="JN29" s="367"/>
      <c r="JO29" s="367"/>
      <c r="JP29" s="367"/>
      <c r="JQ29" s="367"/>
      <c r="JR29" s="367"/>
      <c r="JS29" s="367"/>
      <c r="JT29" s="367"/>
      <c r="JU29" s="367"/>
      <c r="JV29" s="367"/>
      <c r="JW29" s="367"/>
    </row>
    <row r="30" spans="1:283" s="924" customFormat="1" ht="15.75" x14ac:dyDescent="0.2">
      <c r="A30" s="948"/>
      <c r="B30" s="971"/>
      <c r="C30" s="3224"/>
      <c r="D30" s="3225"/>
      <c r="E30" s="423">
        <v>59</v>
      </c>
      <c r="F30" s="951" t="s">
        <v>815</v>
      </c>
      <c r="G30" s="985"/>
      <c r="H30" s="953"/>
      <c r="I30" s="953"/>
      <c r="J30" s="952"/>
      <c r="K30" s="952"/>
      <c r="L30" s="952"/>
      <c r="M30" s="952"/>
      <c r="N30" s="953"/>
      <c r="O30" s="972"/>
      <c r="P30" s="973"/>
      <c r="Q30" s="953"/>
      <c r="R30" s="986"/>
      <c r="S30" s="953" t="s">
        <v>816</v>
      </c>
      <c r="T30" s="974"/>
      <c r="U30" s="974"/>
      <c r="V30" s="974"/>
      <c r="W30" s="954"/>
      <c r="X30" s="954"/>
      <c r="Y30" s="952"/>
      <c r="Z30" s="952"/>
      <c r="AA30" s="952"/>
      <c r="AB30" s="952"/>
      <c r="AC30" s="952"/>
      <c r="AD30" s="952"/>
      <c r="AE30" s="952"/>
      <c r="AF30" s="952"/>
      <c r="AG30" s="952"/>
      <c r="AH30" s="952"/>
      <c r="AI30" s="952"/>
      <c r="AJ30" s="952"/>
      <c r="AK30" s="952"/>
      <c r="AL30" s="952"/>
      <c r="AM30" s="952"/>
      <c r="AN30" s="952"/>
      <c r="AO30" s="952"/>
      <c r="AP30" s="952"/>
      <c r="AQ30" s="952"/>
      <c r="AR30" s="952"/>
      <c r="AS30" s="952"/>
      <c r="AT30" s="952"/>
      <c r="AU30" s="952"/>
      <c r="AV30" s="952"/>
      <c r="AW30" s="952"/>
      <c r="AX30" s="952"/>
      <c r="AY30" s="952"/>
      <c r="AZ30" s="952"/>
      <c r="BA30" s="952"/>
      <c r="BB30" s="952"/>
      <c r="BC30" s="952"/>
      <c r="BD30" s="952"/>
      <c r="BE30" s="952"/>
      <c r="BF30" s="973"/>
      <c r="BG30" s="973"/>
      <c r="BH30" s="975"/>
      <c r="BI30" s="952"/>
      <c r="BJ30" s="952"/>
      <c r="BK30" s="952"/>
      <c r="BL30" s="952"/>
      <c r="BM30" s="952"/>
      <c r="BN30" s="952"/>
      <c r="BO30" s="976"/>
      <c r="BU30" s="367"/>
      <c r="BV30" s="367"/>
      <c r="BW30" s="367"/>
      <c r="BX30" s="367"/>
      <c r="BY30" s="367"/>
      <c r="BZ30" s="367"/>
      <c r="CA30" s="367"/>
      <c r="CB30" s="367"/>
      <c r="CC30" s="367"/>
      <c r="CD30" s="367"/>
      <c r="CE30" s="367"/>
      <c r="CF30" s="367"/>
      <c r="CG30" s="367"/>
      <c r="CH30" s="367"/>
      <c r="CI30" s="367"/>
      <c r="CJ30" s="367"/>
      <c r="CK30" s="367"/>
      <c r="CL30" s="367"/>
      <c r="CM30" s="367"/>
      <c r="CN30" s="367"/>
      <c r="CO30" s="367"/>
      <c r="CP30" s="367"/>
      <c r="CQ30" s="367"/>
      <c r="CR30" s="367"/>
      <c r="CS30" s="367"/>
      <c r="CT30" s="367"/>
      <c r="CU30" s="367"/>
      <c r="CV30" s="367"/>
      <c r="CW30" s="367"/>
      <c r="CX30" s="367"/>
      <c r="CY30" s="367"/>
      <c r="CZ30" s="367"/>
      <c r="DA30" s="367"/>
      <c r="DB30" s="367"/>
      <c r="DC30" s="367"/>
      <c r="DD30" s="367"/>
      <c r="DE30" s="367"/>
      <c r="DF30" s="367"/>
      <c r="DG30" s="367"/>
      <c r="DH30" s="367"/>
      <c r="DI30" s="367"/>
      <c r="DJ30" s="367"/>
      <c r="DK30" s="367"/>
      <c r="DL30" s="367"/>
      <c r="DM30" s="367"/>
      <c r="DN30" s="367"/>
      <c r="DO30" s="367"/>
      <c r="DP30" s="367"/>
      <c r="DQ30" s="367"/>
      <c r="DR30" s="367"/>
      <c r="DS30" s="367"/>
      <c r="DT30" s="367"/>
      <c r="DU30" s="367"/>
      <c r="DV30" s="367"/>
      <c r="DW30" s="367"/>
      <c r="DX30" s="367"/>
      <c r="DY30" s="367"/>
      <c r="DZ30" s="367"/>
      <c r="EA30" s="367"/>
      <c r="EB30" s="367"/>
      <c r="EC30" s="367"/>
      <c r="ED30" s="367"/>
      <c r="EE30" s="367"/>
      <c r="EF30" s="367"/>
      <c r="EG30" s="367"/>
      <c r="EH30" s="367"/>
      <c r="EI30" s="367"/>
      <c r="EJ30" s="367"/>
      <c r="EK30" s="367"/>
      <c r="EL30" s="367"/>
      <c r="EM30" s="367"/>
      <c r="EN30" s="367"/>
      <c r="EO30" s="367"/>
      <c r="EP30" s="367"/>
      <c r="EQ30" s="367"/>
      <c r="ER30" s="367"/>
      <c r="ES30" s="367"/>
      <c r="ET30" s="367"/>
      <c r="EU30" s="367"/>
      <c r="EV30" s="367"/>
      <c r="EW30" s="367"/>
      <c r="EX30" s="367"/>
      <c r="EY30" s="367"/>
      <c r="EZ30" s="367"/>
      <c r="FA30" s="367"/>
      <c r="FB30" s="367"/>
      <c r="FC30" s="367"/>
      <c r="FD30" s="367"/>
      <c r="FE30" s="367"/>
      <c r="FF30" s="367"/>
      <c r="FG30" s="367"/>
      <c r="FH30" s="367"/>
      <c r="FI30" s="367"/>
      <c r="FJ30" s="367"/>
      <c r="FK30" s="367"/>
      <c r="FL30" s="367"/>
      <c r="FM30" s="367"/>
      <c r="FN30" s="367"/>
      <c r="FO30" s="367"/>
      <c r="FP30" s="367"/>
      <c r="FQ30" s="367"/>
      <c r="FR30" s="367"/>
      <c r="FS30" s="367"/>
      <c r="FT30" s="367"/>
      <c r="FU30" s="367"/>
      <c r="FV30" s="367"/>
      <c r="FW30" s="367"/>
      <c r="FX30" s="367"/>
      <c r="FY30" s="367"/>
      <c r="FZ30" s="367"/>
      <c r="GA30" s="367"/>
      <c r="GB30" s="367"/>
      <c r="GC30" s="367"/>
      <c r="GD30" s="367"/>
      <c r="GE30" s="367"/>
      <c r="GF30" s="367"/>
      <c r="GG30" s="367"/>
      <c r="GH30" s="367"/>
      <c r="GI30" s="367"/>
      <c r="GJ30" s="367"/>
      <c r="GK30" s="367"/>
      <c r="GL30" s="367"/>
      <c r="GM30" s="367"/>
      <c r="GN30" s="367"/>
      <c r="GO30" s="367"/>
      <c r="GP30" s="367"/>
      <c r="GQ30" s="367"/>
      <c r="GR30" s="367"/>
      <c r="GS30" s="367"/>
      <c r="GT30" s="367"/>
      <c r="GU30" s="367"/>
      <c r="GV30" s="367"/>
      <c r="GW30" s="367"/>
      <c r="GX30" s="367"/>
      <c r="GY30" s="367"/>
      <c r="GZ30" s="367"/>
      <c r="HA30" s="367"/>
      <c r="HB30" s="367"/>
      <c r="HC30" s="367"/>
      <c r="HD30" s="367"/>
      <c r="HE30" s="367"/>
      <c r="HF30" s="367"/>
      <c r="HG30" s="367"/>
      <c r="HH30" s="367"/>
      <c r="HI30" s="367"/>
      <c r="HJ30" s="367"/>
      <c r="HK30" s="367"/>
      <c r="HL30" s="367"/>
      <c r="HM30" s="367"/>
      <c r="HN30" s="367"/>
      <c r="HO30" s="367"/>
      <c r="HP30" s="367"/>
      <c r="HQ30" s="367"/>
      <c r="HR30" s="367"/>
      <c r="HS30" s="367"/>
      <c r="HT30" s="367"/>
      <c r="HU30" s="367"/>
      <c r="HV30" s="367"/>
      <c r="HW30" s="367"/>
      <c r="HX30" s="367"/>
      <c r="HY30" s="367"/>
      <c r="HZ30" s="367"/>
      <c r="IA30" s="367"/>
      <c r="IB30" s="367"/>
      <c r="IC30" s="367"/>
      <c r="ID30" s="367"/>
      <c r="IE30" s="367"/>
      <c r="IF30" s="367"/>
      <c r="IG30" s="367"/>
      <c r="IH30" s="367"/>
      <c r="II30" s="367"/>
      <c r="IJ30" s="367"/>
      <c r="IK30" s="367"/>
      <c r="IL30" s="367"/>
      <c r="IM30" s="367"/>
      <c r="IN30" s="367"/>
      <c r="IO30" s="367"/>
      <c r="IP30" s="367"/>
      <c r="IQ30" s="367"/>
      <c r="IR30" s="367"/>
      <c r="IS30" s="367"/>
      <c r="IT30" s="367"/>
      <c r="IU30" s="367"/>
      <c r="IV30" s="367"/>
      <c r="IW30" s="367"/>
      <c r="IX30" s="367"/>
      <c r="IY30" s="367"/>
      <c r="IZ30" s="367"/>
      <c r="JA30" s="367"/>
      <c r="JB30" s="367"/>
      <c r="JC30" s="367"/>
      <c r="JD30" s="367"/>
      <c r="JE30" s="367"/>
      <c r="JF30" s="367"/>
      <c r="JG30" s="367"/>
      <c r="JH30" s="367"/>
      <c r="JI30" s="367"/>
      <c r="JJ30" s="367"/>
      <c r="JK30" s="367"/>
      <c r="JL30" s="367"/>
      <c r="JM30" s="367"/>
      <c r="JN30" s="367"/>
      <c r="JO30" s="367"/>
      <c r="JP30" s="367"/>
      <c r="JQ30" s="367"/>
      <c r="JR30" s="367"/>
      <c r="JS30" s="367"/>
      <c r="JT30" s="367"/>
      <c r="JU30" s="367"/>
      <c r="JV30" s="367"/>
      <c r="JW30" s="367"/>
    </row>
    <row r="31" spans="1:283" s="924" customFormat="1" ht="60.75" customHeight="1" x14ac:dyDescent="0.2">
      <c r="A31" s="948"/>
      <c r="B31" s="971"/>
      <c r="C31" s="3224"/>
      <c r="D31" s="3225"/>
      <c r="E31" s="980"/>
      <c r="F31" s="987"/>
      <c r="G31" s="3320">
        <v>184</v>
      </c>
      <c r="H31" s="4467" t="s">
        <v>817</v>
      </c>
      <c r="I31" s="3179" t="s">
        <v>818</v>
      </c>
      <c r="J31" s="4440">
        <v>1</v>
      </c>
      <c r="K31" s="4442">
        <v>0.25</v>
      </c>
      <c r="L31" s="988"/>
      <c r="M31" s="4498" t="s">
        <v>819</v>
      </c>
      <c r="N31" s="4501" t="s">
        <v>820</v>
      </c>
      <c r="O31" s="4444">
        <f>SUM(T31:T37)/P31</f>
        <v>0.52774498229043687</v>
      </c>
      <c r="P31" s="4464">
        <f>SUM(T31:T43)</f>
        <v>169400000</v>
      </c>
      <c r="Q31" s="4496" t="s">
        <v>821</v>
      </c>
      <c r="R31" s="3317" t="s">
        <v>822</v>
      </c>
      <c r="S31" s="2657" t="s">
        <v>823</v>
      </c>
      <c r="T31" s="984">
        <f>12600000-6100000</f>
        <v>6500000</v>
      </c>
      <c r="U31" s="989">
        <v>5000000</v>
      </c>
      <c r="V31" s="989">
        <v>2000000</v>
      </c>
      <c r="W31" s="2646" t="s">
        <v>689</v>
      </c>
      <c r="X31" s="2647" t="s">
        <v>368</v>
      </c>
      <c r="Y31" s="4493">
        <v>8575</v>
      </c>
      <c r="Z31" s="4493">
        <v>450</v>
      </c>
      <c r="AA31" s="4493">
        <v>8925</v>
      </c>
      <c r="AB31" s="4493">
        <v>430</v>
      </c>
      <c r="AC31" s="4490">
        <v>12000</v>
      </c>
      <c r="AD31" s="4490">
        <v>95</v>
      </c>
      <c r="AE31" s="4490">
        <v>4000</v>
      </c>
      <c r="AF31" s="4490">
        <v>436</v>
      </c>
      <c r="AG31" s="4490">
        <v>1500</v>
      </c>
      <c r="AH31" s="4490">
        <v>349</v>
      </c>
      <c r="AI31" s="4490"/>
      <c r="AJ31" s="4490"/>
      <c r="AK31" s="4490"/>
      <c r="AL31" s="4490"/>
      <c r="AM31" s="4490"/>
      <c r="AN31" s="4490"/>
      <c r="AO31" s="4490"/>
      <c r="AP31" s="4490"/>
      <c r="AQ31" s="4490"/>
      <c r="AR31" s="4490"/>
      <c r="AS31" s="4490"/>
      <c r="AT31" s="4490"/>
      <c r="AU31" s="4490"/>
      <c r="AV31" s="4490"/>
      <c r="AW31" s="4490"/>
      <c r="AX31" s="4490"/>
      <c r="AY31" s="4490"/>
      <c r="AZ31" s="4490"/>
      <c r="BA31" s="4490"/>
      <c r="BB31" s="4490"/>
      <c r="BC31" s="4490">
        <f>AC31+AE31+AG31</f>
        <v>17500</v>
      </c>
      <c r="BD31" s="4490">
        <f>AD31+AF31+AH31</f>
        <v>880</v>
      </c>
      <c r="BE31" s="4480"/>
      <c r="BF31" s="3185">
        <f>SUM(U31:U43)</f>
        <v>45895000</v>
      </c>
      <c r="BG31" s="3185">
        <f>SUM(V31:V43)</f>
        <v>18358000</v>
      </c>
      <c r="BH31" s="4483">
        <f>+BG31/BF31</f>
        <v>0.4</v>
      </c>
      <c r="BI31" s="4486">
        <v>20</v>
      </c>
      <c r="BJ31" s="4489" t="s">
        <v>786</v>
      </c>
      <c r="BK31" s="4473">
        <v>43467</v>
      </c>
      <c r="BL31" s="4474">
        <v>43475</v>
      </c>
      <c r="BM31" s="4473">
        <v>43830</v>
      </c>
      <c r="BN31" s="4477">
        <v>43819</v>
      </c>
      <c r="BO31" s="3320" t="s">
        <v>787</v>
      </c>
      <c r="BU31" s="367"/>
      <c r="BV31" s="367"/>
      <c r="BW31" s="367"/>
      <c r="BX31" s="367"/>
      <c r="BY31" s="367"/>
      <c r="BZ31" s="367"/>
      <c r="CA31" s="367"/>
      <c r="CB31" s="367"/>
      <c r="CC31" s="367"/>
      <c r="CD31" s="367"/>
      <c r="CE31" s="367"/>
      <c r="CF31" s="367"/>
      <c r="CG31" s="367"/>
      <c r="CH31" s="367"/>
      <c r="CI31" s="367"/>
      <c r="CJ31" s="367"/>
      <c r="CK31" s="367"/>
      <c r="CL31" s="367"/>
      <c r="CM31" s="367"/>
      <c r="CN31" s="367"/>
      <c r="CO31" s="367"/>
      <c r="CP31" s="367"/>
      <c r="CQ31" s="367"/>
      <c r="CR31" s="367"/>
      <c r="CS31" s="367"/>
      <c r="CT31" s="367"/>
      <c r="CU31" s="367"/>
      <c r="CV31" s="367"/>
      <c r="CW31" s="367"/>
      <c r="CX31" s="367"/>
      <c r="CY31" s="367"/>
      <c r="CZ31" s="367"/>
      <c r="DA31" s="367"/>
      <c r="DB31" s="367"/>
      <c r="DC31" s="367"/>
      <c r="DD31" s="367"/>
      <c r="DE31" s="367"/>
      <c r="DF31" s="367"/>
      <c r="DG31" s="367"/>
      <c r="DH31" s="367"/>
      <c r="DI31" s="367"/>
      <c r="DJ31" s="367"/>
      <c r="DK31" s="367"/>
      <c r="DL31" s="367"/>
      <c r="DM31" s="367"/>
      <c r="DN31" s="367"/>
      <c r="DO31" s="367"/>
      <c r="DP31" s="367"/>
      <c r="DQ31" s="367"/>
      <c r="DR31" s="367"/>
      <c r="DS31" s="367"/>
      <c r="DT31" s="367"/>
      <c r="DU31" s="367"/>
      <c r="DV31" s="367"/>
      <c r="DW31" s="367"/>
      <c r="DX31" s="367"/>
      <c r="DY31" s="367"/>
      <c r="DZ31" s="367"/>
      <c r="EA31" s="367"/>
      <c r="EB31" s="367"/>
      <c r="EC31" s="367"/>
      <c r="ED31" s="367"/>
      <c r="EE31" s="367"/>
      <c r="EF31" s="367"/>
      <c r="EG31" s="367"/>
      <c r="EH31" s="367"/>
      <c r="EI31" s="367"/>
      <c r="EJ31" s="367"/>
      <c r="EK31" s="367"/>
      <c r="EL31" s="367"/>
      <c r="EM31" s="367"/>
      <c r="EN31" s="367"/>
      <c r="EO31" s="367"/>
      <c r="EP31" s="367"/>
      <c r="EQ31" s="367"/>
      <c r="ER31" s="367"/>
      <c r="ES31" s="367"/>
      <c r="ET31" s="367"/>
      <c r="EU31" s="367"/>
      <c r="EV31" s="367"/>
      <c r="EW31" s="367"/>
      <c r="EX31" s="367"/>
      <c r="EY31" s="367"/>
      <c r="EZ31" s="367"/>
      <c r="FA31" s="367"/>
      <c r="FB31" s="367"/>
      <c r="FC31" s="367"/>
      <c r="FD31" s="367"/>
      <c r="FE31" s="367"/>
      <c r="FF31" s="367"/>
      <c r="FG31" s="367"/>
      <c r="FH31" s="367"/>
      <c r="FI31" s="367"/>
      <c r="FJ31" s="367"/>
      <c r="FK31" s="367"/>
      <c r="FL31" s="367"/>
      <c r="FM31" s="367"/>
      <c r="FN31" s="367"/>
      <c r="FO31" s="367"/>
      <c r="FP31" s="367"/>
      <c r="FQ31" s="367"/>
      <c r="FR31" s="367"/>
      <c r="FS31" s="367"/>
      <c r="FT31" s="367"/>
      <c r="FU31" s="367"/>
      <c r="FV31" s="367"/>
      <c r="FW31" s="367"/>
      <c r="FX31" s="367"/>
      <c r="FY31" s="367"/>
      <c r="FZ31" s="367"/>
      <c r="GA31" s="367"/>
      <c r="GB31" s="367"/>
      <c r="GC31" s="367"/>
      <c r="GD31" s="367"/>
      <c r="GE31" s="367"/>
      <c r="GF31" s="367"/>
      <c r="GG31" s="367"/>
      <c r="GH31" s="367"/>
      <c r="GI31" s="367"/>
      <c r="GJ31" s="367"/>
      <c r="GK31" s="367"/>
      <c r="GL31" s="367"/>
      <c r="GM31" s="367"/>
      <c r="GN31" s="367"/>
      <c r="GO31" s="367"/>
      <c r="GP31" s="367"/>
      <c r="GQ31" s="367"/>
      <c r="GR31" s="367"/>
      <c r="GS31" s="367"/>
      <c r="GT31" s="367"/>
      <c r="GU31" s="367"/>
      <c r="GV31" s="367"/>
      <c r="GW31" s="367"/>
      <c r="GX31" s="367"/>
      <c r="GY31" s="367"/>
      <c r="GZ31" s="367"/>
      <c r="HA31" s="367"/>
      <c r="HB31" s="367"/>
      <c r="HC31" s="367"/>
      <c r="HD31" s="367"/>
      <c r="HE31" s="367"/>
      <c r="HF31" s="367"/>
      <c r="HG31" s="367"/>
      <c r="HH31" s="367"/>
      <c r="HI31" s="367"/>
      <c r="HJ31" s="367"/>
      <c r="HK31" s="367"/>
      <c r="HL31" s="367"/>
      <c r="HM31" s="367"/>
      <c r="HN31" s="367"/>
      <c r="HO31" s="367"/>
      <c r="HP31" s="367"/>
      <c r="HQ31" s="367"/>
      <c r="HR31" s="367"/>
      <c r="HS31" s="367"/>
      <c r="HT31" s="367"/>
      <c r="HU31" s="367"/>
      <c r="HV31" s="367"/>
      <c r="HW31" s="367"/>
      <c r="HX31" s="367"/>
      <c r="HY31" s="367"/>
      <c r="HZ31" s="367"/>
      <c r="IA31" s="367"/>
      <c r="IB31" s="367"/>
      <c r="IC31" s="367"/>
      <c r="ID31" s="367"/>
      <c r="IE31" s="367"/>
      <c r="IF31" s="367"/>
      <c r="IG31" s="367"/>
      <c r="IH31" s="367"/>
      <c r="II31" s="367"/>
      <c r="IJ31" s="367"/>
      <c r="IK31" s="367"/>
      <c r="IL31" s="367"/>
      <c r="IM31" s="367"/>
      <c r="IN31" s="367"/>
      <c r="IO31" s="367"/>
      <c r="IP31" s="367"/>
      <c r="IQ31" s="367"/>
      <c r="IR31" s="367"/>
      <c r="IS31" s="367"/>
      <c r="IT31" s="367"/>
      <c r="IU31" s="367"/>
      <c r="IV31" s="367"/>
      <c r="IW31" s="367"/>
      <c r="IX31" s="367"/>
      <c r="IY31" s="367"/>
      <c r="IZ31" s="367"/>
      <c r="JA31" s="367"/>
      <c r="JB31" s="367"/>
      <c r="JC31" s="367"/>
      <c r="JD31" s="367"/>
      <c r="JE31" s="367"/>
      <c r="JF31" s="367"/>
      <c r="JG31" s="367"/>
      <c r="JH31" s="367"/>
      <c r="JI31" s="367"/>
      <c r="JJ31" s="367"/>
      <c r="JK31" s="367"/>
      <c r="JL31" s="367"/>
      <c r="JM31" s="367"/>
      <c r="JN31" s="367"/>
      <c r="JO31" s="367"/>
      <c r="JP31" s="367"/>
      <c r="JQ31" s="367"/>
      <c r="JR31" s="367"/>
      <c r="JS31" s="367"/>
      <c r="JT31" s="367"/>
      <c r="JU31" s="367"/>
      <c r="JV31" s="367"/>
      <c r="JW31" s="367"/>
    </row>
    <row r="32" spans="1:283" s="924" customFormat="1" ht="60.75" customHeight="1" x14ac:dyDescent="0.2">
      <c r="A32" s="948"/>
      <c r="B32" s="971"/>
      <c r="C32" s="3224"/>
      <c r="D32" s="3225"/>
      <c r="E32" s="980"/>
      <c r="F32" s="987"/>
      <c r="G32" s="3320"/>
      <c r="H32" s="4468"/>
      <c r="I32" s="3180"/>
      <c r="J32" s="4441"/>
      <c r="K32" s="4443"/>
      <c r="L32" s="990"/>
      <c r="M32" s="4499"/>
      <c r="N32" s="4502"/>
      <c r="O32" s="4445"/>
      <c r="P32" s="4464"/>
      <c r="Q32" s="4496"/>
      <c r="R32" s="3317"/>
      <c r="S32" s="2657" t="s">
        <v>824</v>
      </c>
      <c r="T32" s="991">
        <f>12100000-5600000</f>
        <v>6500000</v>
      </c>
      <c r="U32" s="992">
        <v>5000000</v>
      </c>
      <c r="V32" s="992">
        <v>2000000</v>
      </c>
      <c r="W32" s="2646" t="s">
        <v>689</v>
      </c>
      <c r="X32" s="2647" t="s">
        <v>368</v>
      </c>
      <c r="Y32" s="4494"/>
      <c r="Z32" s="4494"/>
      <c r="AA32" s="4494"/>
      <c r="AB32" s="4494"/>
      <c r="AC32" s="4491"/>
      <c r="AD32" s="4491"/>
      <c r="AE32" s="4491"/>
      <c r="AF32" s="4491"/>
      <c r="AG32" s="4491"/>
      <c r="AH32" s="4491"/>
      <c r="AI32" s="4491"/>
      <c r="AJ32" s="4491"/>
      <c r="AK32" s="4491"/>
      <c r="AL32" s="4491"/>
      <c r="AM32" s="4491"/>
      <c r="AN32" s="4491"/>
      <c r="AO32" s="4491"/>
      <c r="AP32" s="4491"/>
      <c r="AQ32" s="4491"/>
      <c r="AR32" s="4491"/>
      <c r="AS32" s="4491"/>
      <c r="AT32" s="4491"/>
      <c r="AU32" s="4491"/>
      <c r="AV32" s="4491"/>
      <c r="AW32" s="4491"/>
      <c r="AX32" s="4491"/>
      <c r="AY32" s="4491"/>
      <c r="AZ32" s="4491"/>
      <c r="BA32" s="4491"/>
      <c r="BB32" s="4491"/>
      <c r="BC32" s="4491"/>
      <c r="BD32" s="4491"/>
      <c r="BE32" s="4481"/>
      <c r="BF32" s="3186"/>
      <c r="BG32" s="3186"/>
      <c r="BH32" s="4484"/>
      <c r="BI32" s="4487"/>
      <c r="BJ32" s="4487"/>
      <c r="BK32" s="4473"/>
      <c r="BL32" s="4475"/>
      <c r="BM32" s="4473"/>
      <c r="BN32" s="4478"/>
      <c r="BO32" s="3320"/>
      <c r="BU32" s="367"/>
      <c r="BV32" s="367"/>
      <c r="BW32" s="367"/>
      <c r="BX32" s="367"/>
      <c r="BY32" s="367"/>
      <c r="BZ32" s="367"/>
      <c r="CA32" s="367"/>
      <c r="CB32" s="367"/>
      <c r="CC32" s="367"/>
      <c r="CD32" s="367"/>
      <c r="CE32" s="367"/>
      <c r="CF32" s="367"/>
      <c r="CG32" s="367"/>
      <c r="CH32" s="367"/>
      <c r="CI32" s="367"/>
      <c r="CJ32" s="367"/>
      <c r="CK32" s="367"/>
      <c r="CL32" s="367"/>
      <c r="CM32" s="367"/>
      <c r="CN32" s="367"/>
      <c r="CO32" s="367"/>
      <c r="CP32" s="367"/>
      <c r="CQ32" s="367"/>
      <c r="CR32" s="367"/>
      <c r="CS32" s="367"/>
      <c r="CT32" s="367"/>
      <c r="CU32" s="367"/>
      <c r="CV32" s="367"/>
      <c r="CW32" s="367"/>
      <c r="CX32" s="367"/>
      <c r="CY32" s="367"/>
      <c r="CZ32" s="367"/>
      <c r="DA32" s="367"/>
      <c r="DB32" s="367"/>
      <c r="DC32" s="367"/>
      <c r="DD32" s="367"/>
      <c r="DE32" s="367"/>
      <c r="DF32" s="367"/>
      <c r="DG32" s="367"/>
      <c r="DH32" s="367"/>
      <c r="DI32" s="367"/>
      <c r="DJ32" s="367"/>
      <c r="DK32" s="367"/>
      <c r="DL32" s="367"/>
      <c r="DM32" s="367"/>
      <c r="DN32" s="367"/>
      <c r="DO32" s="367"/>
      <c r="DP32" s="367"/>
      <c r="DQ32" s="367"/>
      <c r="DR32" s="367"/>
      <c r="DS32" s="367"/>
      <c r="DT32" s="367"/>
      <c r="DU32" s="367"/>
      <c r="DV32" s="367"/>
      <c r="DW32" s="367"/>
      <c r="DX32" s="367"/>
      <c r="DY32" s="367"/>
      <c r="DZ32" s="367"/>
      <c r="EA32" s="367"/>
      <c r="EB32" s="367"/>
      <c r="EC32" s="367"/>
      <c r="ED32" s="367"/>
      <c r="EE32" s="367"/>
      <c r="EF32" s="367"/>
      <c r="EG32" s="367"/>
      <c r="EH32" s="367"/>
      <c r="EI32" s="367"/>
      <c r="EJ32" s="367"/>
      <c r="EK32" s="367"/>
      <c r="EL32" s="367"/>
      <c r="EM32" s="367"/>
      <c r="EN32" s="367"/>
      <c r="EO32" s="367"/>
      <c r="EP32" s="367"/>
      <c r="EQ32" s="367"/>
      <c r="ER32" s="367"/>
      <c r="ES32" s="367"/>
      <c r="ET32" s="367"/>
      <c r="EU32" s="367"/>
      <c r="EV32" s="367"/>
      <c r="EW32" s="367"/>
      <c r="EX32" s="367"/>
      <c r="EY32" s="367"/>
      <c r="EZ32" s="367"/>
      <c r="FA32" s="367"/>
      <c r="FB32" s="367"/>
      <c r="FC32" s="367"/>
      <c r="FD32" s="367"/>
      <c r="FE32" s="367"/>
      <c r="FF32" s="367"/>
      <c r="FG32" s="367"/>
      <c r="FH32" s="367"/>
      <c r="FI32" s="367"/>
      <c r="FJ32" s="367"/>
      <c r="FK32" s="367"/>
      <c r="FL32" s="367"/>
      <c r="FM32" s="367"/>
      <c r="FN32" s="367"/>
      <c r="FO32" s="367"/>
      <c r="FP32" s="367"/>
      <c r="FQ32" s="367"/>
      <c r="FR32" s="367"/>
      <c r="FS32" s="367"/>
      <c r="FT32" s="367"/>
      <c r="FU32" s="367"/>
      <c r="FV32" s="367"/>
      <c r="FW32" s="367"/>
      <c r="FX32" s="367"/>
      <c r="FY32" s="367"/>
      <c r="FZ32" s="367"/>
      <c r="GA32" s="367"/>
      <c r="GB32" s="367"/>
      <c r="GC32" s="367"/>
      <c r="GD32" s="367"/>
      <c r="GE32" s="367"/>
      <c r="GF32" s="367"/>
      <c r="GG32" s="367"/>
      <c r="GH32" s="367"/>
      <c r="GI32" s="367"/>
      <c r="GJ32" s="367"/>
      <c r="GK32" s="367"/>
      <c r="GL32" s="367"/>
      <c r="GM32" s="367"/>
      <c r="GN32" s="367"/>
      <c r="GO32" s="367"/>
      <c r="GP32" s="367"/>
      <c r="GQ32" s="367"/>
      <c r="GR32" s="367"/>
      <c r="GS32" s="367"/>
      <c r="GT32" s="367"/>
      <c r="GU32" s="367"/>
      <c r="GV32" s="367"/>
      <c r="GW32" s="367"/>
      <c r="GX32" s="367"/>
      <c r="GY32" s="367"/>
      <c r="GZ32" s="367"/>
      <c r="HA32" s="367"/>
      <c r="HB32" s="367"/>
      <c r="HC32" s="367"/>
      <c r="HD32" s="367"/>
      <c r="HE32" s="367"/>
      <c r="HF32" s="367"/>
      <c r="HG32" s="367"/>
      <c r="HH32" s="367"/>
      <c r="HI32" s="367"/>
      <c r="HJ32" s="367"/>
      <c r="HK32" s="367"/>
      <c r="HL32" s="367"/>
      <c r="HM32" s="367"/>
      <c r="HN32" s="367"/>
      <c r="HO32" s="367"/>
      <c r="HP32" s="367"/>
      <c r="HQ32" s="367"/>
      <c r="HR32" s="367"/>
      <c r="HS32" s="367"/>
      <c r="HT32" s="367"/>
      <c r="HU32" s="367"/>
      <c r="HV32" s="367"/>
      <c r="HW32" s="367"/>
      <c r="HX32" s="367"/>
      <c r="HY32" s="367"/>
      <c r="HZ32" s="367"/>
      <c r="IA32" s="367"/>
      <c r="IB32" s="367"/>
      <c r="IC32" s="367"/>
      <c r="ID32" s="367"/>
      <c r="IE32" s="367"/>
      <c r="IF32" s="367"/>
      <c r="IG32" s="367"/>
      <c r="IH32" s="367"/>
      <c r="II32" s="367"/>
      <c r="IJ32" s="367"/>
      <c r="IK32" s="367"/>
      <c r="IL32" s="367"/>
      <c r="IM32" s="367"/>
      <c r="IN32" s="367"/>
      <c r="IO32" s="367"/>
      <c r="IP32" s="367"/>
      <c r="IQ32" s="367"/>
      <c r="IR32" s="367"/>
      <c r="IS32" s="367"/>
      <c r="IT32" s="367"/>
      <c r="IU32" s="367"/>
      <c r="IV32" s="367"/>
      <c r="IW32" s="367"/>
      <c r="IX32" s="367"/>
      <c r="IY32" s="367"/>
      <c r="IZ32" s="367"/>
      <c r="JA32" s="367"/>
      <c r="JB32" s="367"/>
      <c r="JC32" s="367"/>
      <c r="JD32" s="367"/>
      <c r="JE32" s="367"/>
      <c r="JF32" s="367"/>
      <c r="JG32" s="367"/>
      <c r="JH32" s="367"/>
      <c r="JI32" s="367"/>
      <c r="JJ32" s="367"/>
      <c r="JK32" s="367"/>
      <c r="JL32" s="367"/>
      <c r="JM32" s="367"/>
      <c r="JN32" s="367"/>
      <c r="JO32" s="367"/>
      <c r="JP32" s="367"/>
      <c r="JQ32" s="367"/>
      <c r="JR32" s="367"/>
      <c r="JS32" s="367"/>
      <c r="JT32" s="367"/>
      <c r="JU32" s="367"/>
      <c r="JV32" s="367"/>
      <c r="JW32" s="367"/>
    </row>
    <row r="33" spans="1:283" s="924" customFormat="1" ht="60.75" customHeight="1" x14ac:dyDescent="0.2">
      <c r="A33" s="948"/>
      <c r="B33" s="971"/>
      <c r="C33" s="3224"/>
      <c r="D33" s="3225"/>
      <c r="E33" s="980"/>
      <c r="F33" s="987"/>
      <c r="G33" s="3320"/>
      <c r="H33" s="4468"/>
      <c r="I33" s="3180"/>
      <c r="J33" s="4441"/>
      <c r="K33" s="4443"/>
      <c r="L33" s="990"/>
      <c r="M33" s="4499"/>
      <c r="N33" s="4502"/>
      <c r="O33" s="4445"/>
      <c r="P33" s="4464"/>
      <c r="Q33" s="4496"/>
      <c r="R33" s="3317"/>
      <c r="S33" s="2657" t="s">
        <v>825</v>
      </c>
      <c r="T33" s="983">
        <f>20000000+10170000</f>
        <v>30170000</v>
      </c>
      <c r="U33" s="993">
        <v>11030000</v>
      </c>
      <c r="V33" s="993">
        <v>4412000</v>
      </c>
      <c r="W33" s="2646" t="s">
        <v>689</v>
      </c>
      <c r="X33" s="2647" t="s">
        <v>368</v>
      </c>
      <c r="Y33" s="4494"/>
      <c r="Z33" s="4494"/>
      <c r="AA33" s="4494"/>
      <c r="AB33" s="4494"/>
      <c r="AC33" s="4491"/>
      <c r="AD33" s="4491"/>
      <c r="AE33" s="4491"/>
      <c r="AF33" s="4491"/>
      <c r="AG33" s="4491"/>
      <c r="AH33" s="4491"/>
      <c r="AI33" s="4491"/>
      <c r="AJ33" s="4491"/>
      <c r="AK33" s="4491"/>
      <c r="AL33" s="4491"/>
      <c r="AM33" s="4491"/>
      <c r="AN33" s="4491"/>
      <c r="AO33" s="4491"/>
      <c r="AP33" s="4491"/>
      <c r="AQ33" s="4491"/>
      <c r="AR33" s="4491"/>
      <c r="AS33" s="4491"/>
      <c r="AT33" s="4491"/>
      <c r="AU33" s="4491"/>
      <c r="AV33" s="4491"/>
      <c r="AW33" s="4491"/>
      <c r="AX33" s="4491"/>
      <c r="AY33" s="4491"/>
      <c r="AZ33" s="4491"/>
      <c r="BA33" s="4491"/>
      <c r="BB33" s="4491"/>
      <c r="BC33" s="4491"/>
      <c r="BD33" s="4491"/>
      <c r="BE33" s="4481"/>
      <c r="BF33" s="3186"/>
      <c r="BG33" s="3186"/>
      <c r="BH33" s="4484"/>
      <c r="BI33" s="4487"/>
      <c r="BJ33" s="4487"/>
      <c r="BK33" s="4473"/>
      <c r="BL33" s="4475"/>
      <c r="BM33" s="4473"/>
      <c r="BN33" s="4478"/>
      <c r="BO33" s="3320"/>
      <c r="BU33" s="367"/>
      <c r="BV33" s="367"/>
      <c r="BW33" s="367"/>
      <c r="BX33" s="367"/>
      <c r="BY33" s="367"/>
      <c r="BZ33" s="367"/>
      <c r="CA33" s="367"/>
      <c r="CB33" s="367"/>
      <c r="CC33" s="367"/>
      <c r="CD33" s="367"/>
      <c r="CE33" s="367"/>
      <c r="CF33" s="367"/>
      <c r="CG33" s="367"/>
      <c r="CH33" s="367"/>
      <c r="CI33" s="367"/>
      <c r="CJ33" s="367"/>
      <c r="CK33" s="367"/>
      <c r="CL33" s="367"/>
      <c r="CM33" s="367"/>
      <c r="CN33" s="367"/>
      <c r="CO33" s="367"/>
      <c r="CP33" s="367"/>
      <c r="CQ33" s="367"/>
      <c r="CR33" s="367"/>
      <c r="CS33" s="367"/>
      <c r="CT33" s="367"/>
      <c r="CU33" s="367"/>
      <c r="CV33" s="367"/>
      <c r="CW33" s="367"/>
      <c r="CX33" s="367"/>
      <c r="CY33" s="367"/>
      <c r="CZ33" s="367"/>
      <c r="DA33" s="367"/>
      <c r="DB33" s="367"/>
      <c r="DC33" s="367"/>
      <c r="DD33" s="367"/>
      <c r="DE33" s="367"/>
      <c r="DF33" s="367"/>
      <c r="DG33" s="367"/>
      <c r="DH33" s="367"/>
      <c r="DI33" s="367"/>
      <c r="DJ33" s="367"/>
      <c r="DK33" s="367"/>
      <c r="DL33" s="367"/>
      <c r="DM33" s="367"/>
      <c r="DN33" s="367"/>
      <c r="DO33" s="367"/>
      <c r="DP33" s="367"/>
      <c r="DQ33" s="367"/>
      <c r="DR33" s="367"/>
      <c r="DS33" s="367"/>
      <c r="DT33" s="367"/>
      <c r="DU33" s="367"/>
      <c r="DV33" s="367"/>
      <c r="DW33" s="367"/>
      <c r="DX33" s="367"/>
      <c r="DY33" s="367"/>
      <c r="DZ33" s="367"/>
      <c r="EA33" s="367"/>
      <c r="EB33" s="367"/>
      <c r="EC33" s="367"/>
      <c r="ED33" s="367"/>
      <c r="EE33" s="367"/>
      <c r="EF33" s="367"/>
      <c r="EG33" s="367"/>
      <c r="EH33" s="367"/>
      <c r="EI33" s="367"/>
      <c r="EJ33" s="367"/>
      <c r="EK33" s="367"/>
      <c r="EL33" s="367"/>
      <c r="EM33" s="367"/>
      <c r="EN33" s="367"/>
      <c r="EO33" s="367"/>
      <c r="EP33" s="367"/>
      <c r="EQ33" s="367"/>
      <c r="ER33" s="367"/>
      <c r="ES33" s="367"/>
      <c r="ET33" s="367"/>
      <c r="EU33" s="367"/>
      <c r="EV33" s="367"/>
      <c r="EW33" s="367"/>
      <c r="EX33" s="367"/>
      <c r="EY33" s="367"/>
      <c r="EZ33" s="367"/>
      <c r="FA33" s="367"/>
      <c r="FB33" s="367"/>
      <c r="FC33" s="367"/>
      <c r="FD33" s="367"/>
      <c r="FE33" s="367"/>
      <c r="FF33" s="367"/>
      <c r="FG33" s="367"/>
      <c r="FH33" s="367"/>
      <c r="FI33" s="367"/>
      <c r="FJ33" s="367"/>
      <c r="FK33" s="367"/>
      <c r="FL33" s="367"/>
      <c r="FM33" s="367"/>
      <c r="FN33" s="367"/>
      <c r="FO33" s="367"/>
      <c r="FP33" s="367"/>
      <c r="FQ33" s="367"/>
      <c r="FR33" s="367"/>
      <c r="FS33" s="367"/>
      <c r="FT33" s="367"/>
      <c r="FU33" s="367"/>
      <c r="FV33" s="367"/>
      <c r="FW33" s="367"/>
      <c r="FX33" s="367"/>
      <c r="FY33" s="367"/>
      <c r="FZ33" s="367"/>
      <c r="GA33" s="367"/>
      <c r="GB33" s="367"/>
      <c r="GC33" s="367"/>
      <c r="GD33" s="367"/>
      <c r="GE33" s="367"/>
      <c r="GF33" s="367"/>
      <c r="GG33" s="367"/>
      <c r="GH33" s="367"/>
      <c r="GI33" s="367"/>
      <c r="GJ33" s="367"/>
      <c r="GK33" s="367"/>
      <c r="GL33" s="367"/>
      <c r="GM33" s="367"/>
      <c r="GN33" s="367"/>
      <c r="GO33" s="367"/>
      <c r="GP33" s="367"/>
      <c r="GQ33" s="367"/>
      <c r="GR33" s="367"/>
      <c r="GS33" s="367"/>
      <c r="GT33" s="367"/>
      <c r="GU33" s="367"/>
      <c r="GV33" s="367"/>
      <c r="GW33" s="367"/>
      <c r="GX33" s="367"/>
      <c r="GY33" s="367"/>
      <c r="GZ33" s="367"/>
      <c r="HA33" s="367"/>
      <c r="HB33" s="367"/>
      <c r="HC33" s="367"/>
      <c r="HD33" s="367"/>
      <c r="HE33" s="367"/>
      <c r="HF33" s="367"/>
      <c r="HG33" s="367"/>
      <c r="HH33" s="367"/>
      <c r="HI33" s="367"/>
      <c r="HJ33" s="367"/>
      <c r="HK33" s="367"/>
      <c r="HL33" s="367"/>
      <c r="HM33" s="367"/>
      <c r="HN33" s="367"/>
      <c r="HO33" s="367"/>
      <c r="HP33" s="367"/>
      <c r="HQ33" s="367"/>
      <c r="HR33" s="367"/>
      <c r="HS33" s="367"/>
      <c r="HT33" s="367"/>
      <c r="HU33" s="367"/>
      <c r="HV33" s="367"/>
      <c r="HW33" s="367"/>
      <c r="HX33" s="367"/>
      <c r="HY33" s="367"/>
      <c r="HZ33" s="367"/>
      <c r="IA33" s="367"/>
      <c r="IB33" s="367"/>
      <c r="IC33" s="367"/>
      <c r="ID33" s="367"/>
      <c r="IE33" s="367"/>
      <c r="IF33" s="367"/>
      <c r="IG33" s="367"/>
      <c r="IH33" s="367"/>
      <c r="II33" s="367"/>
      <c r="IJ33" s="367"/>
      <c r="IK33" s="367"/>
      <c r="IL33" s="367"/>
      <c r="IM33" s="367"/>
      <c r="IN33" s="367"/>
      <c r="IO33" s="367"/>
      <c r="IP33" s="367"/>
      <c r="IQ33" s="367"/>
      <c r="IR33" s="367"/>
      <c r="IS33" s="367"/>
      <c r="IT33" s="367"/>
      <c r="IU33" s="367"/>
      <c r="IV33" s="367"/>
      <c r="IW33" s="367"/>
      <c r="IX33" s="367"/>
      <c r="IY33" s="367"/>
      <c r="IZ33" s="367"/>
      <c r="JA33" s="367"/>
      <c r="JB33" s="367"/>
      <c r="JC33" s="367"/>
      <c r="JD33" s="367"/>
      <c r="JE33" s="367"/>
      <c r="JF33" s="367"/>
      <c r="JG33" s="367"/>
      <c r="JH33" s="367"/>
      <c r="JI33" s="367"/>
      <c r="JJ33" s="367"/>
      <c r="JK33" s="367"/>
      <c r="JL33" s="367"/>
      <c r="JM33" s="367"/>
      <c r="JN33" s="367"/>
      <c r="JO33" s="367"/>
      <c r="JP33" s="367"/>
      <c r="JQ33" s="367"/>
      <c r="JR33" s="367"/>
      <c r="JS33" s="367"/>
      <c r="JT33" s="367"/>
      <c r="JU33" s="367"/>
      <c r="JV33" s="367"/>
      <c r="JW33" s="367"/>
    </row>
    <row r="34" spans="1:283" s="924" customFormat="1" ht="60.75" customHeight="1" x14ac:dyDescent="0.2">
      <c r="A34" s="948"/>
      <c r="B34" s="971"/>
      <c r="C34" s="3224"/>
      <c r="D34" s="3225"/>
      <c r="E34" s="980"/>
      <c r="F34" s="987"/>
      <c r="G34" s="3320"/>
      <c r="H34" s="4468"/>
      <c r="I34" s="3180"/>
      <c r="J34" s="4441"/>
      <c r="K34" s="4443"/>
      <c r="L34" s="990"/>
      <c r="M34" s="4499"/>
      <c r="N34" s="4502"/>
      <c r="O34" s="4445"/>
      <c r="P34" s="4464"/>
      <c r="Q34" s="4496"/>
      <c r="R34" s="3317"/>
      <c r="S34" s="2657" t="s">
        <v>826</v>
      </c>
      <c r="T34" s="983">
        <v>29400000</v>
      </c>
      <c r="U34" s="993">
        <v>15425000</v>
      </c>
      <c r="V34" s="993">
        <v>6170000</v>
      </c>
      <c r="W34" s="2646" t="s">
        <v>689</v>
      </c>
      <c r="X34" s="2647" t="s">
        <v>368</v>
      </c>
      <c r="Y34" s="4494"/>
      <c r="Z34" s="4494"/>
      <c r="AA34" s="4494"/>
      <c r="AB34" s="4494"/>
      <c r="AC34" s="4491"/>
      <c r="AD34" s="4491"/>
      <c r="AE34" s="4491"/>
      <c r="AF34" s="4491"/>
      <c r="AG34" s="4491"/>
      <c r="AH34" s="4491"/>
      <c r="AI34" s="4491"/>
      <c r="AJ34" s="4491"/>
      <c r="AK34" s="4491"/>
      <c r="AL34" s="4491"/>
      <c r="AM34" s="4491"/>
      <c r="AN34" s="4491"/>
      <c r="AO34" s="4491"/>
      <c r="AP34" s="4491"/>
      <c r="AQ34" s="4491"/>
      <c r="AR34" s="4491"/>
      <c r="AS34" s="4491"/>
      <c r="AT34" s="4491"/>
      <c r="AU34" s="4491"/>
      <c r="AV34" s="4491"/>
      <c r="AW34" s="4491"/>
      <c r="AX34" s="4491"/>
      <c r="AY34" s="4491"/>
      <c r="AZ34" s="4491"/>
      <c r="BA34" s="4491"/>
      <c r="BB34" s="4491"/>
      <c r="BC34" s="4491"/>
      <c r="BD34" s="4491"/>
      <c r="BE34" s="4481"/>
      <c r="BF34" s="3186"/>
      <c r="BG34" s="3186"/>
      <c r="BH34" s="4484"/>
      <c r="BI34" s="4487"/>
      <c r="BJ34" s="4487"/>
      <c r="BK34" s="4473"/>
      <c r="BL34" s="4475"/>
      <c r="BM34" s="4473"/>
      <c r="BN34" s="4478"/>
      <c r="BO34" s="3320"/>
      <c r="BU34" s="367"/>
      <c r="BV34" s="367"/>
      <c r="BW34" s="367"/>
      <c r="BX34" s="367"/>
      <c r="BY34" s="367"/>
      <c r="BZ34" s="367"/>
      <c r="CA34" s="367"/>
      <c r="CB34" s="367"/>
      <c r="CC34" s="367"/>
      <c r="CD34" s="367"/>
      <c r="CE34" s="367"/>
      <c r="CF34" s="367"/>
      <c r="CG34" s="367"/>
      <c r="CH34" s="367"/>
      <c r="CI34" s="367"/>
      <c r="CJ34" s="367"/>
      <c r="CK34" s="367"/>
      <c r="CL34" s="367"/>
      <c r="CM34" s="367"/>
      <c r="CN34" s="367"/>
      <c r="CO34" s="367"/>
      <c r="CP34" s="367"/>
      <c r="CQ34" s="367"/>
      <c r="CR34" s="367"/>
      <c r="CS34" s="367"/>
      <c r="CT34" s="367"/>
      <c r="CU34" s="367"/>
      <c r="CV34" s="367"/>
      <c r="CW34" s="367"/>
      <c r="CX34" s="367"/>
      <c r="CY34" s="367"/>
      <c r="CZ34" s="367"/>
      <c r="DA34" s="367"/>
      <c r="DB34" s="367"/>
      <c r="DC34" s="367"/>
      <c r="DD34" s="367"/>
      <c r="DE34" s="367"/>
      <c r="DF34" s="367"/>
      <c r="DG34" s="367"/>
      <c r="DH34" s="367"/>
      <c r="DI34" s="367"/>
      <c r="DJ34" s="367"/>
      <c r="DK34" s="367"/>
      <c r="DL34" s="367"/>
      <c r="DM34" s="367"/>
      <c r="DN34" s="367"/>
      <c r="DO34" s="367"/>
      <c r="DP34" s="367"/>
      <c r="DQ34" s="367"/>
      <c r="DR34" s="367"/>
      <c r="DS34" s="367"/>
      <c r="DT34" s="367"/>
      <c r="DU34" s="367"/>
      <c r="DV34" s="367"/>
      <c r="DW34" s="367"/>
      <c r="DX34" s="367"/>
      <c r="DY34" s="367"/>
      <c r="DZ34" s="367"/>
      <c r="EA34" s="367"/>
      <c r="EB34" s="367"/>
      <c r="EC34" s="367"/>
      <c r="ED34" s="367"/>
      <c r="EE34" s="367"/>
      <c r="EF34" s="367"/>
      <c r="EG34" s="367"/>
      <c r="EH34" s="367"/>
      <c r="EI34" s="367"/>
      <c r="EJ34" s="367"/>
      <c r="EK34" s="367"/>
      <c r="EL34" s="367"/>
      <c r="EM34" s="367"/>
      <c r="EN34" s="367"/>
      <c r="EO34" s="367"/>
      <c r="EP34" s="367"/>
      <c r="EQ34" s="367"/>
      <c r="ER34" s="367"/>
      <c r="ES34" s="367"/>
      <c r="ET34" s="367"/>
      <c r="EU34" s="367"/>
      <c r="EV34" s="367"/>
      <c r="EW34" s="367"/>
      <c r="EX34" s="367"/>
      <c r="EY34" s="367"/>
      <c r="EZ34" s="367"/>
      <c r="FA34" s="367"/>
      <c r="FB34" s="367"/>
      <c r="FC34" s="367"/>
      <c r="FD34" s="367"/>
      <c r="FE34" s="367"/>
      <c r="FF34" s="367"/>
      <c r="FG34" s="367"/>
      <c r="FH34" s="367"/>
      <c r="FI34" s="367"/>
      <c r="FJ34" s="367"/>
      <c r="FK34" s="367"/>
      <c r="FL34" s="367"/>
      <c r="FM34" s="367"/>
      <c r="FN34" s="367"/>
      <c r="FO34" s="367"/>
      <c r="FP34" s="367"/>
      <c r="FQ34" s="367"/>
      <c r="FR34" s="367"/>
      <c r="FS34" s="367"/>
      <c r="FT34" s="367"/>
      <c r="FU34" s="367"/>
      <c r="FV34" s="367"/>
      <c r="FW34" s="367"/>
      <c r="FX34" s="367"/>
      <c r="FY34" s="367"/>
      <c r="FZ34" s="367"/>
      <c r="GA34" s="367"/>
      <c r="GB34" s="367"/>
      <c r="GC34" s="367"/>
      <c r="GD34" s="367"/>
      <c r="GE34" s="367"/>
      <c r="GF34" s="367"/>
      <c r="GG34" s="367"/>
      <c r="GH34" s="367"/>
      <c r="GI34" s="367"/>
      <c r="GJ34" s="367"/>
      <c r="GK34" s="367"/>
      <c r="GL34" s="367"/>
      <c r="GM34" s="367"/>
      <c r="GN34" s="367"/>
      <c r="GO34" s="367"/>
      <c r="GP34" s="367"/>
      <c r="GQ34" s="367"/>
      <c r="GR34" s="367"/>
      <c r="GS34" s="367"/>
      <c r="GT34" s="367"/>
      <c r="GU34" s="367"/>
      <c r="GV34" s="367"/>
      <c r="GW34" s="367"/>
      <c r="GX34" s="367"/>
      <c r="GY34" s="367"/>
      <c r="GZ34" s="367"/>
      <c r="HA34" s="367"/>
      <c r="HB34" s="367"/>
      <c r="HC34" s="367"/>
      <c r="HD34" s="367"/>
      <c r="HE34" s="367"/>
      <c r="HF34" s="367"/>
      <c r="HG34" s="367"/>
      <c r="HH34" s="367"/>
      <c r="HI34" s="367"/>
      <c r="HJ34" s="367"/>
      <c r="HK34" s="367"/>
      <c r="HL34" s="367"/>
      <c r="HM34" s="367"/>
      <c r="HN34" s="367"/>
      <c r="HO34" s="367"/>
      <c r="HP34" s="367"/>
      <c r="HQ34" s="367"/>
      <c r="HR34" s="367"/>
      <c r="HS34" s="367"/>
      <c r="HT34" s="367"/>
      <c r="HU34" s="367"/>
      <c r="HV34" s="367"/>
      <c r="HW34" s="367"/>
      <c r="HX34" s="367"/>
      <c r="HY34" s="367"/>
      <c r="HZ34" s="367"/>
      <c r="IA34" s="367"/>
      <c r="IB34" s="367"/>
      <c r="IC34" s="367"/>
      <c r="ID34" s="367"/>
      <c r="IE34" s="367"/>
      <c r="IF34" s="367"/>
      <c r="IG34" s="367"/>
      <c r="IH34" s="367"/>
      <c r="II34" s="367"/>
      <c r="IJ34" s="367"/>
      <c r="IK34" s="367"/>
      <c r="IL34" s="367"/>
      <c r="IM34" s="367"/>
      <c r="IN34" s="367"/>
      <c r="IO34" s="367"/>
      <c r="IP34" s="367"/>
      <c r="IQ34" s="367"/>
      <c r="IR34" s="367"/>
      <c r="IS34" s="367"/>
      <c r="IT34" s="367"/>
      <c r="IU34" s="367"/>
      <c r="IV34" s="367"/>
      <c r="IW34" s="367"/>
      <c r="IX34" s="367"/>
      <c r="IY34" s="367"/>
      <c r="IZ34" s="367"/>
      <c r="JA34" s="367"/>
      <c r="JB34" s="367"/>
      <c r="JC34" s="367"/>
      <c r="JD34" s="367"/>
      <c r="JE34" s="367"/>
      <c r="JF34" s="367"/>
      <c r="JG34" s="367"/>
      <c r="JH34" s="367"/>
      <c r="JI34" s="367"/>
      <c r="JJ34" s="367"/>
      <c r="JK34" s="367"/>
      <c r="JL34" s="367"/>
      <c r="JM34" s="367"/>
      <c r="JN34" s="367"/>
      <c r="JO34" s="367"/>
      <c r="JP34" s="367"/>
      <c r="JQ34" s="367"/>
      <c r="JR34" s="367"/>
      <c r="JS34" s="367"/>
      <c r="JT34" s="367"/>
      <c r="JU34" s="367"/>
      <c r="JV34" s="367"/>
      <c r="JW34" s="367"/>
    </row>
    <row r="35" spans="1:283" s="924" customFormat="1" ht="60.75" customHeight="1" x14ac:dyDescent="0.2">
      <c r="A35" s="948"/>
      <c r="B35" s="971"/>
      <c r="C35" s="3224"/>
      <c r="D35" s="3225"/>
      <c r="E35" s="980"/>
      <c r="F35" s="987"/>
      <c r="G35" s="3320"/>
      <c r="H35" s="4468"/>
      <c r="I35" s="3180"/>
      <c r="J35" s="4441"/>
      <c r="K35" s="4443"/>
      <c r="L35" s="2662"/>
      <c r="M35" s="4499"/>
      <c r="N35" s="4502"/>
      <c r="O35" s="4445"/>
      <c r="P35" s="4464"/>
      <c r="Q35" s="4496"/>
      <c r="R35" s="3317"/>
      <c r="S35" s="2657" t="s">
        <v>827</v>
      </c>
      <c r="T35" s="983">
        <f>11300000-9470000</f>
        <v>1830000</v>
      </c>
      <c r="U35" s="993">
        <v>1830000</v>
      </c>
      <c r="V35" s="993">
        <v>732000</v>
      </c>
      <c r="W35" s="2646" t="s">
        <v>689</v>
      </c>
      <c r="X35" s="2647" t="s">
        <v>368</v>
      </c>
      <c r="Y35" s="4494"/>
      <c r="Z35" s="4494"/>
      <c r="AA35" s="4494"/>
      <c r="AB35" s="4494"/>
      <c r="AC35" s="4491"/>
      <c r="AD35" s="4491"/>
      <c r="AE35" s="4491"/>
      <c r="AF35" s="4491"/>
      <c r="AG35" s="4491"/>
      <c r="AH35" s="4491"/>
      <c r="AI35" s="4491"/>
      <c r="AJ35" s="4491"/>
      <c r="AK35" s="4491"/>
      <c r="AL35" s="4491"/>
      <c r="AM35" s="4491"/>
      <c r="AN35" s="4491"/>
      <c r="AO35" s="4491"/>
      <c r="AP35" s="4491"/>
      <c r="AQ35" s="4491"/>
      <c r="AR35" s="4491"/>
      <c r="AS35" s="4491"/>
      <c r="AT35" s="4491"/>
      <c r="AU35" s="4491"/>
      <c r="AV35" s="4491"/>
      <c r="AW35" s="4491"/>
      <c r="AX35" s="4491"/>
      <c r="AY35" s="4491"/>
      <c r="AZ35" s="4491"/>
      <c r="BA35" s="4491"/>
      <c r="BB35" s="4491"/>
      <c r="BC35" s="4491"/>
      <c r="BD35" s="4491"/>
      <c r="BE35" s="4481"/>
      <c r="BF35" s="3186"/>
      <c r="BG35" s="3186"/>
      <c r="BH35" s="4484"/>
      <c r="BI35" s="4487"/>
      <c r="BJ35" s="4487"/>
      <c r="BK35" s="4473"/>
      <c r="BL35" s="4475"/>
      <c r="BM35" s="4473"/>
      <c r="BN35" s="4478"/>
      <c r="BO35" s="3320"/>
      <c r="BU35" s="367"/>
      <c r="BV35" s="367"/>
      <c r="BW35" s="367"/>
      <c r="BX35" s="367"/>
      <c r="BY35" s="367"/>
      <c r="BZ35" s="367"/>
      <c r="CA35" s="367"/>
      <c r="CB35" s="367"/>
      <c r="CC35" s="367"/>
      <c r="CD35" s="367"/>
      <c r="CE35" s="367"/>
      <c r="CF35" s="367"/>
      <c r="CG35" s="367"/>
      <c r="CH35" s="367"/>
      <c r="CI35" s="367"/>
      <c r="CJ35" s="367"/>
      <c r="CK35" s="367"/>
      <c r="CL35" s="367"/>
      <c r="CM35" s="367"/>
      <c r="CN35" s="367"/>
      <c r="CO35" s="367"/>
      <c r="CP35" s="367"/>
      <c r="CQ35" s="367"/>
      <c r="CR35" s="367"/>
      <c r="CS35" s="367"/>
      <c r="CT35" s="367"/>
      <c r="CU35" s="367"/>
      <c r="CV35" s="367"/>
      <c r="CW35" s="367"/>
      <c r="CX35" s="367"/>
      <c r="CY35" s="367"/>
      <c r="CZ35" s="367"/>
      <c r="DA35" s="367"/>
      <c r="DB35" s="367"/>
      <c r="DC35" s="367"/>
      <c r="DD35" s="367"/>
      <c r="DE35" s="367"/>
      <c r="DF35" s="367"/>
      <c r="DG35" s="367"/>
      <c r="DH35" s="367"/>
      <c r="DI35" s="367"/>
      <c r="DJ35" s="367"/>
      <c r="DK35" s="367"/>
      <c r="DL35" s="367"/>
      <c r="DM35" s="367"/>
      <c r="DN35" s="367"/>
      <c r="DO35" s="367"/>
      <c r="DP35" s="367"/>
      <c r="DQ35" s="367"/>
      <c r="DR35" s="367"/>
      <c r="DS35" s="367"/>
      <c r="DT35" s="367"/>
      <c r="DU35" s="367"/>
      <c r="DV35" s="367"/>
      <c r="DW35" s="367"/>
      <c r="DX35" s="367"/>
      <c r="DY35" s="367"/>
      <c r="DZ35" s="367"/>
      <c r="EA35" s="367"/>
      <c r="EB35" s="367"/>
      <c r="EC35" s="367"/>
      <c r="ED35" s="367"/>
      <c r="EE35" s="367"/>
      <c r="EF35" s="367"/>
      <c r="EG35" s="367"/>
      <c r="EH35" s="367"/>
      <c r="EI35" s="367"/>
      <c r="EJ35" s="367"/>
      <c r="EK35" s="367"/>
      <c r="EL35" s="367"/>
      <c r="EM35" s="367"/>
      <c r="EN35" s="367"/>
      <c r="EO35" s="367"/>
      <c r="EP35" s="367"/>
      <c r="EQ35" s="367"/>
      <c r="ER35" s="367"/>
      <c r="ES35" s="367"/>
      <c r="ET35" s="367"/>
      <c r="EU35" s="367"/>
      <c r="EV35" s="367"/>
      <c r="EW35" s="367"/>
      <c r="EX35" s="367"/>
      <c r="EY35" s="367"/>
      <c r="EZ35" s="367"/>
      <c r="FA35" s="367"/>
      <c r="FB35" s="367"/>
      <c r="FC35" s="367"/>
      <c r="FD35" s="367"/>
      <c r="FE35" s="367"/>
      <c r="FF35" s="367"/>
      <c r="FG35" s="367"/>
      <c r="FH35" s="367"/>
      <c r="FI35" s="367"/>
      <c r="FJ35" s="367"/>
      <c r="FK35" s="367"/>
      <c r="FL35" s="367"/>
      <c r="FM35" s="367"/>
      <c r="FN35" s="367"/>
      <c r="FO35" s="367"/>
      <c r="FP35" s="367"/>
      <c r="FQ35" s="367"/>
      <c r="FR35" s="367"/>
      <c r="FS35" s="367"/>
      <c r="FT35" s="367"/>
      <c r="FU35" s="367"/>
      <c r="FV35" s="367"/>
      <c r="FW35" s="367"/>
      <c r="FX35" s="367"/>
      <c r="FY35" s="367"/>
      <c r="FZ35" s="367"/>
      <c r="GA35" s="367"/>
      <c r="GB35" s="367"/>
      <c r="GC35" s="367"/>
      <c r="GD35" s="367"/>
      <c r="GE35" s="367"/>
      <c r="GF35" s="367"/>
      <c r="GG35" s="367"/>
      <c r="GH35" s="367"/>
      <c r="GI35" s="367"/>
      <c r="GJ35" s="367"/>
      <c r="GK35" s="367"/>
      <c r="GL35" s="367"/>
      <c r="GM35" s="367"/>
      <c r="GN35" s="367"/>
      <c r="GO35" s="367"/>
      <c r="GP35" s="367"/>
      <c r="GQ35" s="367"/>
      <c r="GR35" s="367"/>
      <c r="GS35" s="367"/>
      <c r="GT35" s="367"/>
      <c r="GU35" s="367"/>
      <c r="GV35" s="367"/>
      <c r="GW35" s="367"/>
      <c r="GX35" s="367"/>
      <c r="GY35" s="367"/>
      <c r="GZ35" s="367"/>
      <c r="HA35" s="367"/>
      <c r="HB35" s="367"/>
      <c r="HC35" s="367"/>
      <c r="HD35" s="367"/>
      <c r="HE35" s="367"/>
      <c r="HF35" s="367"/>
      <c r="HG35" s="367"/>
      <c r="HH35" s="367"/>
      <c r="HI35" s="367"/>
      <c r="HJ35" s="367"/>
      <c r="HK35" s="367"/>
      <c r="HL35" s="367"/>
      <c r="HM35" s="367"/>
      <c r="HN35" s="367"/>
      <c r="HO35" s="367"/>
      <c r="HP35" s="367"/>
      <c r="HQ35" s="367"/>
      <c r="HR35" s="367"/>
      <c r="HS35" s="367"/>
      <c r="HT35" s="367"/>
      <c r="HU35" s="367"/>
      <c r="HV35" s="367"/>
      <c r="HW35" s="367"/>
      <c r="HX35" s="367"/>
      <c r="HY35" s="367"/>
      <c r="HZ35" s="367"/>
      <c r="IA35" s="367"/>
      <c r="IB35" s="367"/>
      <c r="IC35" s="367"/>
      <c r="ID35" s="367"/>
      <c r="IE35" s="367"/>
      <c r="IF35" s="367"/>
      <c r="IG35" s="367"/>
      <c r="IH35" s="367"/>
      <c r="II35" s="367"/>
      <c r="IJ35" s="367"/>
      <c r="IK35" s="367"/>
      <c r="IL35" s="367"/>
      <c r="IM35" s="367"/>
      <c r="IN35" s="367"/>
      <c r="IO35" s="367"/>
      <c r="IP35" s="367"/>
      <c r="IQ35" s="367"/>
      <c r="IR35" s="367"/>
      <c r="IS35" s="367"/>
      <c r="IT35" s="367"/>
      <c r="IU35" s="367"/>
      <c r="IV35" s="367"/>
      <c r="IW35" s="367"/>
      <c r="IX35" s="367"/>
      <c r="IY35" s="367"/>
      <c r="IZ35" s="367"/>
      <c r="JA35" s="367"/>
      <c r="JB35" s="367"/>
      <c r="JC35" s="367"/>
      <c r="JD35" s="367"/>
      <c r="JE35" s="367"/>
      <c r="JF35" s="367"/>
      <c r="JG35" s="367"/>
      <c r="JH35" s="367"/>
      <c r="JI35" s="367"/>
      <c r="JJ35" s="367"/>
      <c r="JK35" s="367"/>
      <c r="JL35" s="367"/>
      <c r="JM35" s="367"/>
      <c r="JN35" s="367"/>
      <c r="JO35" s="367"/>
      <c r="JP35" s="367"/>
      <c r="JQ35" s="367"/>
      <c r="JR35" s="367"/>
      <c r="JS35" s="367"/>
      <c r="JT35" s="367"/>
      <c r="JU35" s="367"/>
      <c r="JV35" s="367"/>
      <c r="JW35" s="367"/>
    </row>
    <row r="36" spans="1:283" s="924" customFormat="1" ht="60.75" customHeight="1" x14ac:dyDescent="0.2">
      <c r="A36" s="948"/>
      <c r="B36" s="971"/>
      <c r="C36" s="3224"/>
      <c r="D36" s="3225"/>
      <c r="E36" s="980"/>
      <c r="F36" s="987"/>
      <c r="G36" s="3320"/>
      <c r="H36" s="4468"/>
      <c r="I36" s="3180"/>
      <c r="J36" s="4441"/>
      <c r="K36" s="4443"/>
      <c r="L36" s="990"/>
      <c r="M36" s="4499"/>
      <c r="N36" s="4502"/>
      <c r="O36" s="4445"/>
      <c r="P36" s="4464"/>
      <c r="Q36" s="4496"/>
      <c r="R36" s="3317"/>
      <c r="S36" s="2657" t="s">
        <v>828</v>
      </c>
      <c r="T36" s="983">
        <v>0</v>
      </c>
      <c r="U36" s="993">
        <v>0</v>
      </c>
      <c r="V36" s="993"/>
      <c r="W36" s="2646"/>
      <c r="X36" s="2647"/>
      <c r="Y36" s="4494"/>
      <c r="Z36" s="4494"/>
      <c r="AA36" s="4494"/>
      <c r="AB36" s="4494"/>
      <c r="AC36" s="4491"/>
      <c r="AD36" s="4491"/>
      <c r="AE36" s="4491"/>
      <c r="AF36" s="4491"/>
      <c r="AG36" s="4491"/>
      <c r="AH36" s="4491"/>
      <c r="AI36" s="4491"/>
      <c r="AJ36" s="4491"/>
      <c r="AK36" s="4491"/>
      <c r="AL36" s="4491"/>
      <c r="AM36" s="4491"/>
      <c r="AN36" s="4491"/>
      <c r="AO36" s="4491"/>
      <c r="AP36" s="4491"/>
      <c r="AQ36" s="4491"/>
      <c r="AR36" s="4491"/>
      <c r="AS36" s="4491"/>
      <c r="AT36" s="4491"/>
      <c r="AU36" s="4491"/>
      <c r="AV36" s="4491"/>
      <c r="AW36" s="4491"/>
      <c r="AX36" s="4491"/>
      <c r="AY36" s="4491"/>
      <c r="AZ36" s="4491"/>
      <c r="BA36" s="4491"/>
      <c r="BB36" s="4491"/>
      <c r="BC36" s="4491"/>
      <c r="BD36" s="4491"/>
      <c r="BE36" s="4481"/>
      <c r="BF36" s="3186"/>
      <c r="BG36" s="3186"/>
      <c r="BH36" s="4484"/>
      <c r="BI36" s="4487"/>
      <c r="BJ36" s="4487"/>
      <c r="BK36" s="4473"/>
      <c r="BL36" s="4475"/>
      <c r="BM36" s="4473"/>
      <c r="BN36" s="4478"/>
      <c r="BO36" s="3320"/>
      <c r="BU36" s="367"/>
      <c r="BV36" s="367"/>
      <c r="BW36" s="367"/>
      <c r="BX36" s="367"/>
      <c r="BY36" s="367"/>
      <c r="BZ36" s="367"/>
      <c r="CA36" s="367"/>
      <c r="CB36" s="367"/>
      <c r="CC36" s="367"/>
      <c r="CD36" s="367"/>
      <c r="CE36" s="367"/>
      <c r="CF36" s="367"/>
      <c r="CG36" s="367"/>
      <c r="CH36" s="367"/>
      <c r="CI36" s="367"/>
      <c r="CJ36" s="367"/>
      <c r="CK36" s="367"/>
      <c r="CL36" s="367"/>
      <c r="CM36" s="367"/>
      <c r="CN36" s="367"/>
      <c r="CO36" s="367"/>
      <c r="CP36" s="367"/>
      <c r="CQ36" s="367"/>
      <c r="CR36" s="367"/>
      <c r="CS36" s="367"/>
      <c r="CT36" s="367"/>
      <c r="CU36" s="367"/>
      <c r="CV36" s="367"/>
      <c r="CW36" s="367"/>
      <c r="CX36" s="367"/>
      <c r="CY36" s="367"/>
      <c r="CZ36" s="367"/>
      <c r="DA36" s="367"/>
      <c r="DB36" s="367"/>
      <c r="DC36" s="367"/>
      <c r="DD36" s="367"/>
      <c r="DE36" s="367"/>
      <c r="DF36" s="367"/>
      <c r="DG36" s="367"/>
      <c r="DH36" s="367"/>
      <c r="DI36" s="367"/>
      <c r="DJ36" s="367"/>
      <c r="DK36" s="367"/>
      <c r="DL36" s="367"/>
      <c r="DM36" s="367"/>
      <c r="DN36" s="367"/>
      <c r="DO36" s="367"/>
      <c r="DP36" s="367"/>
      <c r="DQ36" s="367"/>
      <c r="DR36" s="367"/>
      <c r="DS36" s="367"/>
      <c r="DT36" s="367"/>
      <c r="DU36" s="367"/>
      <c r="DV36" s="367"/>
      <c r="DW36" s="367"/>
      <c r="DX36" s="367"/>
      <c r="DY36" s="367"/>
      <c r="DZ36" s="367"/>
      <c r="EA36" s="367"/>
      <c r="EB36" s="367"/>
      <c r="EC36" s="367"/>
      <c r="ED36" s="367"/>
      <c r="EE36" s="367"/>
      <c r="EF36" s="367"/>
      <c r="EG36" s="367"/>
      <c r="EH36" s="367"/>
      <c r="EI36" s="367"/>
      <c r="EJ36" s="367"/>
      <c r="EK36" s="367"/>
      <c r="EL36" s="367"/>
      <c r="EM36" s="367"/>
      <c r="EN36" s="367"/>
      <c r="EO36" s="367"/>
      <c r="EP36" s="367"/>
      <c r="EQ36" s="367"/>
      <c r="ER36" s="367"/>
      <c r="ES36" s="367"/>
      <c r="ET36" s="367"/>
      <c r="EU36" s="367"/>
      <c r="EV36" s="367"/>
      <c r="EW36" s="367"/>
      <c r="EX36" s="367"/>
      <c r="EY36" s="367"/>
      <c r="EZ36" s="367"/>
      <c r="FA36" s="367"/>
      <c r="FB36" s="367"/>
      <c r="FC36" s="367"/>
      <c r="FD36" s="367"/>
      <c r="FE36" s="367"/>
      <c r="FF36" s="367"/>
      <c r="FG36" s="367"/>
      <c r="FH36" s="367"/>
      <c r="FI36" s="367"/>
      <c r="FJ36" s="367"/>
      <c r="FK36" s="367"/>
      <c r="FL36" s="367"/>
      <c r="FM36" s="367"/>
      <c r="FN36" s="367"/>
      <c r="FO36" s="367"/>
      <c r="FP36" s="367"/>
      <c r="FQ36" s="367"/>
      <c r="FR36" s="367"/>
      <c r="FS36" s="367"/>
      <c r="FT36" s="367"/>
      <c r="FU36" s="367"/>
      <c r="FV36" s="367"/>
      <c r="FW36" s="367"/>
      <c r="FX36" s="367"/>
      <c r="FY36" s="367"/>
      <c r="FZ36" s="367"/>
      <c r="GA36" s="367"/>
      <c r="GB36" s="367"/>
      <c r="GC36" s="367"/>
      <c r="GD36" s="367"/>
      <c r="GE36" s="367"/>
      <c r="GF36" s="367"/>
      <c r="GG36" s="367"/>
      <c r="GH36" s="367"/>
      <c r="GI36" s="367"/>
      <c r="GJ36" s="367"/>
      <c r="GK36" s="367"/>
      <c r="GL36" s="367"/>
      <c r="GM36" s="367"/>
      <c r="GN36" s="367"/>
      <c r="GO36" s="367"/>
      <c r="GP36" s="367"/>
      <c r="GQ36" s="367"/>
      <c r="GR36" s="367"/>
      <c r="GS36" s="367"/>
      <c r="GT36" s="367"/>
      <c r="GU36" s="367"/>
      <c r="GV36" s="367"/>
      <c r="GW36" s="367"/>
      <c r="GX36" s="367"/>
      <c r="GY36" s="367"/>
      <c r="GZ36" s="367"/>
      <c r="HA36" s="367"/>
      <c r="HB36" s="367"/>
      <c r="HC36" s="367"/>
      <c r="HD36" s="367"/>
      <c r="HE36" s="367"/>
      <c r="HF36" s="367"/>
      <c r="HG36" s="367"/>
      <c r="HH36" s="367"/>
      <c r="HI36" s="367"/>
      <c r="HJ36" s="367"/>
      <c r="HK36" s="367"/>
      <c r="HL36" s="367"/>
      <c r="HM36" s="367"/>
      <c r="HN36" s="367"/>
      <c r="HO36" s="367"/>
      <c r="HP36" s="367"/>
      <c r="HQ36" s="367"/>
      <c r="HR36" s="367"/>
      <c r="HS36" s="367"/>
      <c r="HT36" s="367"/>
      <c r="HU36" s="367"/>
      <c r="HV36" s="367"/>
      <c r="HW36" s="367"/>
      <c r="HX36" s="367"/>
      <c r="HY36" s="367"/>
      <c r="HZ36" s="367"/>
      <c r="IA36" s="367"/>
      <c r="IB36" s="367"/>
      <c r="IC36" s="367"/>
      <c r="ID36" s="367"/>
      <c r="IE36" s="367"/>
      <c r="IF36" s="367"/>
      <c r="IG36" s="367"/>
      <c r="IH36" s="367"/>
      <c r="II36" s="367"/>
      <c r="IJ36" s="367"/>
      <c r="IK36" s="367"/>
      <c r="IL36" s="367"/>
      <c r="IM36" s="367"/>
      <c r="IN36" s="367"/>
      <c r="IO36" s="367"/>
      <c r="IP36" s="367"/>
      <c r="IQ36" s="367"/>
      <c r="IR36" s="367"/>
      <c r="IS36" s="367"/>
      <c r="IT36" s="367"/>
      <c r="IU36" s="367"/>
      <c r="IV36" s="367"/>
      <c r="IW36" s="367"/>
      <c r="IX36" s="367"/>
      <c r="IY36" s="367"/>
      <c r="IZ36" s="367"/>
      <c r="JA36" s="367"/>
      <c r="JB36" s="367"/>
      <c r="JC36" s="367"/>
      <c r="JD36" s="367"/>
      <c r="JE36" s="367"/>
      <c r="JF36" s="367"/>
      <c r="JG36" s="367"/>
      <c r="JH36" s="367"/>
      <c r="JI36" s="367"/>
      <c r="JJ36" s="367"/>
      <c r="JK36" s="367"/>
      <c r="JL36" s="367"/>
      <c r="JM36" s="367"/>
      <c r="JN36" s="367"/>
      <c r="JO36" s="367"/>
      <c r="JP36" s="367"/>
      <c r="JQ36" s="367"/>
      <c r="JR36" s="367"/>
      <c r="JS36" s="367"/>
      <c r="JT36" s="367"/>
      <c r="JU36" s="367"/>
      <c r="JV36" s="367"/>
      <c r="JW36" s="367"/>
    </row>
    <row r="37" spans="1:283" s="924" customFormat="1" ht="60.75" customHeight="1" x14ac:dyDescent="0.2">
      <c r="A37" s="948"/>
      <c r="B37" s="971"/>
      <c r="C37" s="3224"/>
      <c r="D37" s="3225"/>
      <c r="E37" s="980"/>
      <c r="F37" s="987"/>
      <c r="G37" s="3320"/>
      <c r="H37" s="4468"/>
      <c r="I37" s="3180"/>
      <c r="J37" s="4441"/>
      <c r="K37" s="4443"/>
      <c r="L37" s="990" t="s">
        <v>829</v>
      </c>
      <c r="M37" s="4499"/>
      <c r="N37" s="4502"/>
      <c r="O37" s="4445"/>
      <c r="P37" s="4464"/>
      <c r="Q37" s="4496"/>
      <c r="R37" s="3317"/>
      <c r="S37" s="2657" t="s">
        <v>830</v>
      </c>
      <c r="T37" s="983">
        <f>4000000+11000000</f>
        <v>15000000</v>
      </c>
      <c r="U37" s="993">
        <v>0</v>
      </c>
      <c r="V37" s="993"/>
      <c r="W37" s="2646" t="s">
        <v>689</v>
      </c>
      <c r="X37" s="2647" t="s">
        <v>368</v>
      </c>
      <c r="Y37" s="4494"/>
      <c r="Z37" s="4494"/>
      <c r="AA37" s="4494"/>
      <c r="AB37" s="4494"/>
      <c r="AC37" s="4491"/>
      <c r="AD37" s="4491"/>
      <c r="AE37" s="4491"/>
      <c r="AF37" s="4491"/>
      <c r="AG37" s="4491"/>
      <c r="AH37" s="4491"/>
      <c r="AI37" s="4491"/>
      <c r="AJ37" s="4491"/>
      <c r="AK37" s="4491"/>
      <c r="AL37" s="4491"/>
      <c r="AM37" s="4491"/>
      <c r="AN37" s="4491"/>
      <c r="AO37" s="4491"/>
      <c r="AP37" s="4491"/>
      <c r="AQ37" s="4491"/>
      <c r="AR37" s="4491"/>
      <c r="AS37" s="4491"/>
      <c r="AT37" s="4491"/>
      <c r="AU37" s="4491"/>
      <c r="AV37" s="4491"/>
      <c r="AW37" s="4491"/>
      <c r="AX37" s="4491"/>
      <c r="AY37" s="4491"/>
      <c r="AZ37" s="4491"/>
      <c r="BA37" s="4491"/>
      <c r="BB37" s="4491"/>
      <c r="BC37" s="4491"/>
      <c r="BD37" s="4491"/>
      <c r="BE37" s="4481"/>
      <c r="BF37" s="3186"/>
      <c r="BG37" s="3186"/>
      <c r="BH37" s="4484"/>
      <c r="BI37" s="4487"/>
      <c r="BJ37" s="4487"/>
      <c r="BK37" s="4473"/>
      <c r="BL37" s="4475"/>
      <c r="BM37" s="4473"/>
      <c r="BN37" s="4478"/>
      <c r="BO37" s="3320"/>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7"/>
      <c r="CY37" s="367"/>
      <c r="CZ37" s="367"/>
      <c r="DA37" s="367"/>
      <c r="DB37" s="367"/>
      <c r="DC37" s="367"/>
      <c r="DD37" s="367"/>
      <c r="DE37" s="367"/>
      <c r="DF37" s="367"/>
      <c r="DG37" s="367"/>
      <c r="DH37" s="367"/>
      <c r="DI37" s="367"/>
      <c r="DJ37" s="367"/>
      <c r="DK37" s="367"/>
      <c r="DL37" s="367"/>
      <c r="DM37" s="367"/>
      <c r="DN37" s="367"/>
      <c r="DO37" s="367"/>
      <c r="DP37" s="367"/>
      <c r="DQ37" s="367"/>
      <c r="DR37" s="367"/>
      <c r="DS37" s="367"/>
      <c r="DT37" s="367"/>
      <c r="DU37" s="367"/>
      <c r="DV37" s="367"/>
      <c r="DW37" s="367"/>
      <c r="DX37" s="367"/>
      <c r="DY37" s="367"/>
      <c r="DZ37" s="367"/>
      <c r="EA37" s="367"/>
      <c r="EB37" s="367"/>
      <c r="EC37" s="367"/>
      <c r="ED37" s="367"/>
      <c r="EE37" s="367"/>
      <c r="EF37" s="367"/>
      <c r="EG37" s="367"/>
      <c r="EH37" s="367"/>
      <c r="EI37" s="367"/>
      <c r="EJ37" s="367"/>
      <c r="EK37" s="367"/>
      <c r="EL37" s="367"/>
      <c r="EM37" s="367"/>
      <c r="EN37" s="367"/>
      <c r="EO37" s="367"/>
      <c r="EP37" s="367"/>
      <c r="EQ37" s="367"/>
      <c r="ER37" s="367"/>
      <c r="ES37" s="367"/>
      <c r="ET37" s="367"/>
      <c r="EU37" s="367"/>
      <c r="EV37" s="367"/>
      <c r="EW37" s="367"/>
      <c r="EX37" s="367"/>
      <c r="EY37" s="367"/>
      <c r="EZ37" s="367"/>
      <c r="FA37" s="367"/>
      <c r="FB37" s="367"/>
      <c r="FC37" s="367"/>
      <c r="FD37" s="367"/>
      <c r="FE37" s="367"/>
      <c r="FF37" s="367"/>
      <c r="FG37" s="367"/>
      <c r="FH37" s="367"/>
      <c r="FI37" s="367"/>
      <c r="FJ37" s="367"/>
      <c r="FK37" s="367"/>
      <c r="FL37" s="367"/>
      <c r="FM37" s="367"/>
      <c r="FN37" s="367"/>
      <c r="FO37" s="367"/>
      <c r="FP37" s="367"/>
      <c r="FQ37" s="367"/>
      <c r="FR37" s="367"/>
      <c r="FS37" s="367"/>
      <c r="FT37" s="367"/>
      <c r="FU37" s="367"/>
      <c r="FV37" s="367"/>
      <c r="FW37" s="367"/>
      <c r="FX37" s="367"/>
      <c r="FY37" s="367"/>
      <c r="FZ37" s="367"/>
      <c r="GA37" s="367"/>
      <c r="GB37" s="367"/>
      <c r="GC37" s="367"/>
      <c r="GD37" s="367"/>
      <c r="GE37" s="367"/>
      <c r="GF37" s="367"/>
      <c r="GG37" s="367"/>
      <c r="GH37" s="367"/>
      <c r="GI37" s="367"/>
      <c r="GJ37" s="367"/>
      <c r="GK37" s="367"/>
      <c r="GL37" s="367"/>
      <c r="GM37" s="367"/>
      <c r="GN37" s="367"/>
      <c r="GO37" s="367"/>
      <c r="GP37" s="367"/>
      <c r="GQ37" s="367"/>
      <c r="GR37" s="367"/>
      <c r="GS37" s="367"/>
      <c r="GT37" s="367"/>
      <c r="GU37" s="367"/>
      <c r="GV37" s="367"/>
      <c r="GW37" s="367"/>
      <c r="GX37" s="367"/>
      <c r="GY37" s="367"/>
      <c r="GZ37" s="367"/>
      <c r="HA37" s="367"/>
      <c r="HB37" s="367"/>
      <c r="HC37" s="367"/>
      <c r="HD37" s="367"/>
      <c r="HE37" s="367"/>
      <c r="HF37" s="367"/>
      <c r="HG37" s="367"/>
      <c r="HH37" s="367"/>
      <c r="HI37" s="367"/>
      <c r="HJ37" s="367"/>
      <c r="HK37" s="367"/>
      <c r="HL37" s="367"/>
      <c r="HM37" s="367"/>
      <c r="HN37" s="367"/>
      <c r="HO37" s="367"/>
      <c r="HP37" s="367"/>
      <c r="HQ37" s="367"/>
      <c r="HR37" s="367"/>
      <c r="HS37" s="367"/>
      <c r="HT37" s="367"/>
      <c r="HU37" s="367"/>
      <c r="HV37" s="367"/>
      <c r="HW37" s="367"/>
      <c r="HX37" s="367"/>
      <c r="HY37" s="367"/>
      <c r="HZ37" s="367"/>
      <c r="IA37" s="367"/>
      <c r="IB37" s="367"/>
      <c r="IC37" s="367"/>
      <c r="ID37" s="367"/>
      <c r="IE37" s="367"/>
      <c r="IF37" s="367"/>
      <c r="IG37" s="367"/>
      <c r="IH37" s="367"/>
      <c r="II37" s="367"/>
      <c r="IJ37" s="367"/>
      <c r="IK37" s="367"/>
      <c r="IL37" s="367"/>
      <c r="IM37" s="367"/>
      <c r="IN37" s="367"/>
      <c r="IO37" s="367"/>
      <c r="IP37" s="367"/>
      <c r="IQ37" s="367"/>
      <c r="IR37" s="367"/>
      <c r="IS37" s="367"/>
      <c r="IT37" s="367"/>
      <c r="IU37" s="367"/>
      <c r="IV37" s="367"/>
      <c r="IW37" s="367"/>
      <c r="IX37" s="367"/>
      <c r="IY37" s="367"/>
      <c r="IZ37" s="367"/>
      <c r="JA37" s="367"/>
      <c r="JB37" s="367"/>
      <c r="JC37" s="367"/>
      <c r="JD37" s="367"/>
      <c r="JE37" s="367"/>
      <c r="JF37" s="367"/>
      <c r="JG37" s="367"/>
      <c r="JH37" s="367"/>
      <c r="JI37" s="367"/>
      <c r="JJ37" s="367"/>
      <c r="JK37" s="367"/>
      <c r="JL37" s="367"/>
      <c r="JM37" s="367"/>
      <c r="JN37" s="367"/>
      <c r="JO37" s="367"/>
      <c r="JP37" s="367"/>
      <c r="JQ37" s="367"/>
      <c r="JR37" s="367"/>
      <c r="JS37" s="367"/>
      <c r="JT37" s="367"/>
      <c r="JU37" s="367"/>
      <c r="JV37" s="367"/>
      <c r="JW37" s="367"/>
    </row>
    <row r="38" spans="1:283" s="924" customFormat="1" ht="60.75" customHeight="1" x14ac:dyDescent="0.2">
      <c r="A38" s="948"/>
      <c r="B38" s="971"/>
      <c r="C38" s="3224"/>
      <c r="D38" s="3225"/>
      <c r="E38" s="980"/>
      <c r="F38" s="981"/>
      <c r="G38" s="3257">
        <v>185</v>
      </c>
      <c r="H38" s="3196" t="s">
        <v>831</v>
      </c>
      <c r="I38" s="3179" t="s">
        <v>832</v>
      </c>
      <c r="J38" s="4440">
        <v>1</v>
      </c>
      <c r="K38" s="4442">
        <v>0.3</v>
      </c>
      <c r="L38" s="990"/>
      <c r="M38" s="4499"/>
      <c r="N38" s="4502"/>
      <c r="O38" s="4444">
        <f>SUM(T38:T40)/P31</f>
        <v>0.23612750885478159</v>
      </c>
      <c r="P38" s="4464"/>
      <c r="Q38" s="3822"/>
      <c r="R38" s="4468" t="s">
        <v>833</v>
      </c>
      <c r="S38" s="2657" t="s">
        <v>834</v>
      </c>
      <c r="T38" s="991">
        <v>19000000</v>
      </c>
      <c r="U38" s="992"/>
      <c r="V38" s="992"/>
      <c r="W38" s="2646" t="s">
        <v>689</v>
      </c>
      <c r="X38" s="2647" t="s">
        <v>368</v>
      </c>
      <c r="Y38" s="4494"/>
      <c r="Z38" s="4494"/>
      <c r="AA38" s="4494"/>
      <c r="AB38" s="4494"/>
      <c r="AC38" s="4491"/>
      <c r="AD38" s="4491"/>
      <c r="AE38" s="4491"/>
      <c r="AF38" s="4491"/>
      <c r="AG38" s="4491"/>
      <c r="AH38" s="4491"/>
      <c r="AI38" s="4491"/>
      <c r="AJ38" s="4491"/>
      <c r="AK38" s="4491"/>
      <c r="AL38" s="4491"/>
      <c r="AM38" s="4491"/>
      <c r="AN38" s="4491"/>
      <c r="AO38" s="4491"/>
      <c r="AP38" s="4491"/>
      <c r="AQ38" s="4491"/>
      <c r="AR38" s="4491"/>
      <c r="AS38" s="4491"/>
      <c r="AT38" s="4491"/>
      <c r="AU38" s="4491"/>
      <c r="AV38" s="4491"/>
      <c r="AW38" s="4491"/>
      <c r="AX38" s="4491"/>
      <c r="AY38" s="4491"/>
      <c r="AZ38" s="4491"/>
      <c r="BA38" s="4491"/>
      <c r="BB38" s="4491"/>
      <c r="BC38" s="4491"/>
      <c r="BD38" s="4491"/>
      <c r="BE38" s="4481"/>
      <c r="BF38" s="3186"/>
      <c r="BG38" s="3186"/>
      <c r="BH38" s="4484"/>
      <c r="BI38" s="4487"/>
      <c r="BJ38" s="4487"/>
      <c r="BK38" s="4473"/>
      <c r="BL38" s="4475"/>
      <c r="BM38" s="4473"/>
      <c r="BN38" s="4478"/>
      <c r="BO38" s="3320"/>
      <c r="BU38" s="367"/>
      <c r="BV38" s="367"/>
      <c r="BW38" s="367"/>
      <c r="BX38" s="367"/>
      <c r="BY38" s="367"/>
      <c r="BZ38" s="367"/>
      <c r="CA38" s="367"/>
      <c r="CB38" s="367"/>
      <c r="CC38" s="367"/>
      <c r="CD38" s="367"/>
      <c r="CE38" s="367"/>
      <c r="CF38" s="367"/>
      <c r="CG38" s="367"/>
      <c r="CH38" s="367"/>
      <c r="CI38" s="367"/>
      <c r="CJ38" s="367"/>
      <c r="CK38" s="367"/>
      <c r="CL38" s="367"/>
      <c r="CM38" s="367"/>
      <c r="CN38" s="367"/>
      <c r="CO38" s="367"/>
      <c r="CP38" s="367"/>
      <c r="CQ38" s="367"/>
      <c r="CR38" s="367"/>
      <c r="CS38" s="367"/>
      <c r="CT38" s="367"/>
      <c r="CU38" s="367"/>
      <c r="CV38" s="367"/>
      <c r="CW38" s="367"/>
      <c r="CX38" s="367"/>
      <c r="CY38" s="367"/>
      <c r="CZ38" s="367"/>
      <c r="DA38" s="367"/>
      <c r="DB38" s="367"/>
      <c r="DC38" s="367"/>
      <c r="DD38" s="367"/>
      <c r="DE38" s="367"/>
      <c r="DF38" s="367"/>
      <c r="DG38" s="367"/>
      <c r="DH38" s="367"/>
      <c r="DI38" s="367"/>
      <c r="DJ38" s="367"/>
      <c r="DK38" s="367"/>
      <c r="DL38" s="367"/>
      <c r="DM38" s="367"/>
      <c r="DN38" s="367"/>
      <c r="DO38" s="367"/>
      <c r="DP38" s="367"/>
      <c r="DQ38" s="367"/>
      <c r="DR38" s="367"/>
      <c r="DS38" s="367"/>
      <c r="DT38" s="367"/>
      <c r="DU38" s="367"/>
      <c r="DV38" s="367"/>
      <c r="DW38" s="367"/>
      <c r="DX38" s="367"/>
      <c r="DY38" s="367"/>
      <c r="DZ38" s="367"/>
      <c r="EA38" s="367"/>
      <c r="EB38" s="367"/>
      <c r="EC38" s="367"/>
      <c r="ED38" s="367"/>
      <c r="EE38" s="367"/>
      <c r="EF38" s="367"/>
      <c r="EG38" s="367"/>
      <c r="EH38" s="367"/>
      <c r="EI38" s="367"/>
      <c r="EJ38" s="367"/>
      <c r="EK38" s="367"/>
      <c r="EL38" s="367"/>
      <c r="EM38" s="367"/>
      <c r="EN38" s="367"/>
      <c r="EO38" s="367"/>
      <c r="EP38" s="367"/>
      <c r="EQ38" s="367"/>
      <c r="ER38" s="367"/>
      <c r="ES38" s="367"/>
      <c r="ET38" s="367"/>
      <c r="EU38" s="367"/>
      <c r="EV38" s="367"/>
      <c r="EW38" s="367"/>
      <c r="EX38" s="367"/>
      <c r="EY38" s="367"/>
      <c r="EZ38" s="367"/>
      <c r="FA38" s="367"/>
      <c r="FB38" s="367"/>
      <c r="FC38" s="367"/>
      <c r="FD38" s="367"/>
      <c r="FE38" s="367"/>
      <c r="FF38" s="367"/>
      <c r="FG38" s="367"/>
      <c r="FH38" s="367"/>
      <c r="FI38" s="367"/>
      <c r="FJ38" s="367"/>
      <c r="FK38" s="367"/>
      <c r="FL38" s="367"/>
      <c r="FM38" s="367"/>
      <c r="FN38" s="367"/>
      <c r="FO38" s="367"/>
      <c r="FP38" s="367"/>
      <c r="FQ38" s="367"/>
      <c r="FR38" s="367"/>
      <c r="FS38" s="367"/>
      <c r="FT38" s="367"/>
      <c r="FU38" s="367"/>
      <c r="FV38" s="367"/>
      <c r="FW38" s="367"/>
      <c r="FX38" s="367"/>
      <c r="FY38" s="367"/>
      <c r="FZ38" s="367"/>
      <c r="GA38" s="367"/>
      <c r="GB38" s="367"/>
      <c r="GC38" s="367"/>
      <c r="GD38" s="367"/>
      <c r="GE38" s="367"/>
      <c r="GF38" s="367"/>
      <c r="GG38" s="367"/>
      <c r="GH38" s="367"/>
      <c r="GI38" s="367"/>
      <c r="GJ38" s="367"/>
      <c r="GK38" s="367"/>
      <c r="GL38" s="367"/>
      <c r="GM38" s="367"/>
      <c r="GN38" s="367"/>
      <c r="GO38" s="367"/>
      <c r="GP38" s="367"/>
      <c r="GQ38" s="367"/>
      <c r="GR38" s="367"/>
      <c r="GS38" s="367"/>
      <c r="GT38" s="367"/>
      <c r="GU38" s="367"/>
      <c r="GV38" s="367"/>
      <c r="GW38" s="367"/>
      <c r="GX38" s="367"/>
      <c r="GY38" s="367"/>
      <c r="GZ38" s="367"/>
      <c r="HA38" s="367"/>
      <c r="HB38" s="367"/>
      <c r="HC38" s="367"/>
      <c r="HD38" s="367"/>
      <c r="HE38" s="367"/>
      <c r="HF38" s="367"/>
      <c r="HG38" s="367"/>
      <c r="HH38" s="367"/>
      <c r="HI38" s="367"/>
      <c r="HJ38" s="367"/>
      <c r="HK38" s="367"/>
      <c r="HL38" s="367"/>
      <c r="HM38" s="367"/>
      <c r="HN38" s="367"/>
      <c r="HO38" s="367"/>
      <c r="HP38" s="367"/>
      <c r="HQ38" s="367"/>
      <c r="HR38" s="367"/>
      <c r="HS38" s="367"/>
      <c r="HT38" s="367"/>
      <c r="HU38" s="367"/>
      <c r="HV38" s="367"/>
      <c r="HW38" s="367"/>
      <c r="HX38" s="367"/>
      <c r="HY38" s="367"/>
      <c r="HZ38" s="367"/>
      <c r="IA38" s="367"/>
      <c r="IB38" s="367"/>
      <c r="IC38" s="367"/>
      <c r="ID38" s="367"/>
      <c r="IE38" s="367"/>
      <c r="IF38" s="367"/>
      <c r="IG38" s="367"/>
      <c r="IH38" s="367"/>
      <c r="II38" s="367"/>
      <c r="IJ38" s="367"/>
      <c r="IK38" s="367"/>
      <c r="IL38" s="367"/>
      <c r="IM38" s="367"/>
      <c r="IN38" s="367"/>
      <c r="IO38" s="367"/>
      <c r="IP38" s="367"/>
      <c r="IQ38" s="367"/>
      <c r="IR38" s="367"/>
      <c r="IS38" s="367"/>
      <c r="IT38" s="367"/>
      <c r="IU38" s="367"/>
      <c r="IV38" s="367"/>
      <c r="IW38" s="367"/>
      <c r="IX38" s="367"/>
      <c r="IY38" s="367"/>
      <c r="IZ38" s="367"/>
      <c r="JA38" s="367"/>
      <c r="JB38" s="367"/>
      <c r="JC38" s="367"/>
      <c r="JD38" s="367"/>
      <c r="JE38" s="367"/>
      <c r="JF38" s="367"/>
      <c r="JG38" s="367"/>
      <c r="JH38" s="367"/>
      <c r="JI38" s="367"/>
      <c r="JJ38" s="367"/>
      <c r="JK38" s="367"/>
      <c r="JL38" s="367"/>
      <c r="JM38" s="367"/>
      <c r="JN38" s="367"/>
      <c r="JO38" s="367"/>
      <c r="JP38" s="367"/>
      <c r="JQ38" s="367"/>
      <c r="JR38" s="367"/>
      <c r="JS38" s="367"/>
      <c r="JT38" s="367"/>
      <c r="JU38" s="367"/>
      <c r="JV38" s="367"/>
      <c r="JW38" s="367"/>
    </row>
    <row r="39" spans="1:283" s="924" customFormat="1" ht="60.75" customHeight="1" x14ac:dyDescent="0.2">
      <c r="A39" s="948"/>
      <c r="B39" s="971"/>
      <c r="C39" s="3224"/>
      <c r="D39" s="3225"/>
      <c r="E39" s="980"/>
      <c r="F39" s="981"/>
      <c r="G39" s="3257"/>
      <c r="H39" s="3197"/>
      <c r="I39" s="3180"/>
      <c r="J39" s="4441"/>
      <c r="K39" s="4443"/>
      <c r="L39" s="990"/>
      <c r="M39" s="4499"/>
      <c r="N39" s="4502"/>
      <c r="O39" s="4445"/>
      <c r="P39" s="4464"/>
      <c r="Q39" s="3822"/>
      <c r="R39" s="4468"/>
      <c r="S39" s="2657" t="s">
        <v>835</v>
      </c>
      <c r="T39" s="991">
        <v>18600000</v>
      </c>
      <c r="U39" s="992">
        <v>4250000</v>
      </c>
      <c r="V39" s="992">
        <v>1700000</v>
      </c>
      <c r="W39" s="2646" t="s">
        <v>689</v>
      </c>
      <c r="X39" s="2647" t="s">
        <v>368</v>
      </c>
      <c r="Y39" s="4494"/>
      <c r="Z39" s="4494"/>
      <c r="AA39" s="4494"/>
      <c r="AB39" s="4494"/>
      <c r="AC39" s="4491"/>
      <c r="AD39" s="4491"/>
      <c r="AE39" s="4491"/>
      <c r="AF39" s="4491"/>
      <c r="AG39" s="4491"/>
      <c r="AH39" s="4491"/>
      <c r="AI39" s="4491"/>
      <c r="AJ39" s="4491"/>
      <c r="AK39" s="4491"/>
      <c r="AL39" s="4491"/>
      <c r="AM39" s="4491"/>
      <c r="AN39" s="4491"/>
      <c r="AO39" s="4491"/>
      <c r="AP39" s="4491"/>
      <c r="AQ39" s="4491"/>
      <c r="AR39" s="4491"/>
      <c r="AS39" s="4491"/>
      <c r="AT39" s="4491"/>
      <c r="AU39" s="4491"/>
      <c r="AV39" s="4491"/>
      <c r="AW39" s="4491"/>
      <c r="AX39" s="4491"/>
      <c r="AY39" s="4491"/>
      <c r="AZ39" s="4491"/>
      <c r="BA39" s="4491"/>
      <c r="BB39" s="4491"/>
      <c r="BC39" s="4491"/>
      <c r="BD39" s="4491"/>
      <c r="BE39" s="4481"/>
      <c r="BF39" s="3186"/>
      <c r="BG39" s="3186"/>
      <c r="BH39" s="4484"/>
      <c r="BI39" s="4487"/>
      <c r="BJ39" s="4487"/>
      <c r="BK39" s="4473"/>
      <c r="BL39" s="4475"/>
      <c r="BM39" s="4473"/>
      <c r="BN39" s="4478"/>
      <c r="BO39" s="3320"/>
      <c r="BU39" s="367"/>
      <c r="BV39" s="367"/>
      <c r="BW39" s="367"/>
      <c r="BX39" s="367"/>
      <c r="BY39" s="367"/>
      <c r="BZ39" s="367"/>
      <c r="CA39" s="367"/>
      <c r="CB39" s="367"/>
      <c r="CC39" s="367"/>
      <c r="CD39" s="367"/>
      <c r="CE39" s="367"/>
      <c r="CF39" s="367"/>
      <c r="CG39" s="367"/>
      <c r="CH39" s="367"/>
      <c r="CI39" s="367"/>
      <c r="CJ39" s="367"/>
      <c r="CK39" s="367"/>
      <c r="CL39" s="367"/>
      <c r="CM39" s="367"/>
      <c r="CN39" s="367"/>
      <c r="CO39" s="367"/>
      <c r="CP39" s="367"/>
      <c r="CQ39" s="367"/>
      <c r="CR39" s="367"/>
      <c r="CS39" s="367"/>
      <c r="CT39" s="367"/>
      <c r="CU39" s="367"/>
      <c r="CV39" s="367"/>
      <c r="CW39" s="367"/>
      <c r="CX39" s="367"/>
      <c r="CY39" s="367"/>
      <c r="CZ39" s="367"/>
      <c r="DA39" s="367"/>
      <c r="DB39" s="367"/>
      <c r="DC39" s="367"/>
      <c r="DD39" s="367"/>
      <c r="DE39" s="367"/>
      <c r="DF39" s="367"/>
      <c r="DG39" s="367"/>
      <c r="DH39" s="367"/>
      <c r="DI39" s="367"/>
      <c r="DJ39" s="367"/>
      <c r="DK39" s="367"/>
      <c r="DL39" s="367"/>
      <c r="DM39" s="367"/>
      <c r="DN39" s="367"/>
      <c r="DO39" s="367"/>
      <c r="DP39" s="367"/>
      <c r="DQ39" s="367"/>
      <c r="DR39" s="367"/>
      <c r="DS39" s="367"/>
      <c r="DT39" s="367"/>
      <c r="DU39" s="367"/>
      <c r="DV39" s="367"/>
      <c r="DW39" s="367"/>
      <c r="DX39" s="367"/>
      <c r="DY39" s="367"/>
      <c r="DZ39" s="367"/>
      <c r="EA39" s="367"/>
      <c r="EB39" s="367"/>
      <c r="EC39" s="367"/>
      <c r="ED39" s="367"/>
      <c r="EE39" s="367"/>
      <c r="EF39" s="367"/>
      <c r="EG39" s="367"/>
      <c r="EH39" s="367"/>
      <c r="EI39" s="367"/>
      <c r="EJ39" s="367"/>
      <c r="EK39" s="367"/>
      <c r="EL39" s="367"/>
      <c r="EM39" s="367"/>
      <c r="EN39" s="367"/>
      <c r="EO39" s="367"/>
      <c r="EP39" s="367"/>
      <c r="EQ39" s="367"/>
      <c r="ER39" s="367"/>
      <c r="ES39" s="367"/>
      <c r="ET39" s="367"/>
      <c r="EU39" s="367"/>
      <c r="EV39" s="367"/>
      <c r="EW39" s="367"/>
      <c r="EX39" s="367"/>
      <c r="EY39" s="367"/>
      <c r="EZ39" s="367"/>
      <c r="FA39" s="367"/>
      <c r="FB39" s="367"/>
      <c r="FC39" s="367"/>
      <c r="FD39" s="367"/>
      <c r="FE39" s="367"/>
      <c r="FF39" s="367"/>
      <c r="FG39" s="367"/>
      <c r="FH39" s="367"/>
      <c r="FI39" s="367"/>
      <c r="FJ39" s="367"/>
      <c r="FK39" s="367"/>
      <c r="FL39" s="367"/>
      <c r="FM39" s="367"/>
      <c r="FN39" s="367"/>
      <c r="FO39" s="367"/>
      <c r="FP39" s="367"/>
      <c r="FQ39" s="367"/>
      <c r="FR39" s="367"/>
      <c r="FS39" s="367"/>
      <c r="FT39" s="367"/>
      <c r="FU39" s="367"/>
      <c r="FV39" s="367"/>
      <c r="FW39" s="367"/>
      <c r="FX39" s="367"/>
      <c r="FY39" s="367"/>
      <c r="FZ39" s="367"/>
      <c r="GA39" s="367"/>
      <c r="GB39" s="367"/>
      <c r="GC39" s="367"/>
      <c r="GD39" s="367"/>
      <c r="GE39" s="367"/>
      <c r="GF39" s="367"/>
      <c r="GG39" s="367"/>
      <c r="GH39" s="367"/>
      <c r="GI39" s="367"/>
      <c r="GJ39" s="367"/>
      <c r="GK39" s="367"/>
      <c r="GL39" s="367"/>
      <c r="GM39" s="367"/>
      <c r="GN39" s="367"/>
      <c r="GO39" s="367"/>
      <c r="GP39" s="367"/>
      <c r="GQ39" s="367"/>
      <c r="GR39" s="367"/>
      <c r="GS39" s="367"/>
      <c r="GT39" s="367"/>
      <c r="GU39" s="367"/>
      <c r="GV39" s="367"/>
      <c r="GW39" s="367"/>
      <c r="GX39" s="367"/>
      <c r="GY39" s="367"/>
      <c r="GZ39" s="367"/>
      <c r="HA39" s="367"/>
      <c r="HB39" s="367"/>
      <c r="HC39" s="367"/>
      <c r="HD39" s="367"/>
      <c r="HE39" s="367"/>
      <c r="HF39" s="367"/>
      <c r="HG39" s="367"/>
      <c r="HH39" s="367"/>
      <c r="HI39" s="367"/>
      <c r="HJ39" s="367"/>
      <c r="HK39" s="367"/>
      <c r="HL39" s="367"/>
      <c r="HM39" s="367"/>
      <c r="HN39" s="367"/>
      <c r="HO39" s="367"/>
      <c r="HP39" s="367"/>
      <c r="HQ39" s="367"/>
      <c r="HR39" s="367"/>
      <c r="HS39" s="367"/>
      <c r="HT39" s="367"/>
      <c r="HU39" s="367"/>
      <c r="HV39" s="367"/>
      <c r="HW39" s="367"/>
      <c r="HX39" s="367"/>
      <c r="HY39" s="367"/>
      <c r="HZ39" s="367"/>
      <c r="IA39" s="367"/>
      <c r="IB39" s="367"/>
      <c r="IC39" s="367"/>
      <c r="ID39" s="367"/>
      <c r="IE39" s="367"/>
      <c r="IF39" s="367"/>
      <c r="IG39" s="367"/>
      <c r="IH39" s="367"/>
      <c r="II39" s="367"/>
      <c r="IJ39" s="367"/>
      <c r="IK39" s="367"/>
      <c r="IL39" s="367"/>
      <c r="IM39" s="367"/>
      <c r="IN39" s="367"/>
      <c r="IO39" s="367"/>
      <c r="IP39" s="367"/>
      <c r="IQ39" s="367"/>
      <c r="IR39" s="367"/>
      <c r="IS39" s="367"/>
      <c r="IT39" s="367"/>
      <c r="IU39" s="367"/>
      <c r="IV39" s="367"/>
      <c r="IW39" s="367"/>
      <c r="IX39" s="367"/>
      <c r="IY39" s="367"/>
      <c r="IZ39" s="367"/>
      <c r="JA39" s="367"/>
      <c r="JB39" s="367"/>
      <c r="JC39" s="367"/>
      <c r="JD39" s="367"/>
      <c r="JE39" s="367"/>
      <c r="JF39" s="367"/>
      <c r="JG39" s="367"/>
      <c r="JH39" s="367"/>
      <c r="JI39" s="367"/>
      <c r="JJ39" s="367"/>
      <c r="JK39" s="367"/>
      <c r="JL39" s="367"/>
      <c r="JM39" s="367"/>
      <c r="JN39" s="367"/>
      <c r="JO39" s="367"/>
      <c r="JP39" s="367"/>
      <c r="JQ39" s="367"/>
      <c r="JR39" s="367"/>
      <c r="JS39" s="367"/>
      <c r="JT39" s="367"/>
      <c r="JU39" s="367"/>
      <c r="JV39" s="367"/>
      <c r="JW39" s="367"/>
    </row>
    <row r="40" spans="1:283" s="924" customFormat="1" ht="60.75" customHeight="1" x14ac:dyDescent="0.2">
      <c r="A40" s="948"/>
      <c r="B40" s="971"/>
      <c r="C40" s="3224"/>
      <c r="D40" s="3225"/>
      <c r="E40" s="980"/>
      <c r="F40" s="981"/>
      <c r="G40" s="3258"/>
      <c r="H40" s="3198"/>
      <c r="I40" s="3181"/>
      <c r="J40" s="4448"/>
      <c r="K40" s="4465"/>
      <c r="L40" s="990"/>
      <c r="M40" s="4499"/>
      <c r="N40" s="4502"/>
      <c r="O40" s="4497"/>
      <c r="P40" s="4464"/>
      <c r="Q40" s="3822"/>
      <c r="R40" s="4469"/>
      <c r="S40" s="2657" t="s">
        <v>836</v>
      </c>
      <c r="T40" s="991">
        <v>2400000</v>
      </c>
      <c r="U40" s="992">
        <v>1200000</v>
      </c>
      <c r="V40" s="992">
        <v>480000</v>
      </c>
      <c r="W40" s="2646" t="s">
        <v>689</v>
      </c>
      <c r="X40" s="2647" t="s">
        <v>368</v>
      </c>
      <c r="Y40" s="4494"/>
      <c r="Z40" s="4494"/>
      <c r="AA40" s="4494"/>
      <c r="AB40" s="4494"/>
      <c r="AC40" s="4491"/>
      <c r="AD40" s="4491"/>
      <c r="AE40" s="4491"/>
      <c r="AF40" s="4491"/>
      <c r="AG40" s="4491"/>
      <c r="AH40" s="4491"/>
      <c r="AI40" s="4491"/>
      <c r="AJ40" s="4491"/>
      <c r="AK40" s="4491"/>
      <c r="AL40" s="4491"/>
      <c r="AM40" s="4491"/>
      <c r="AN40" s="4491"/>
      <c r="AO40" s="4491"/>
      <c r="AP40" s="4491"/>
      <c r="AQ40" s="4491"/>
      <c r="AR40" s="4491"/>
      <c r="AS40" s="4491"/>
      <c r="AT40" s="4491"/>
      <c r="AU40" s="4491"/>
      <c r="AV40" s="4491"/>
      <c r="AW40" s="4491"/>
      <c r="AX40" s="4491"/>
      <c r="AY40" s="4491"/>
      <c r="AZ40" s="4491"/>
      <c r="BA40" s="4491"/>
      <c r="BB40" s="4491"/>
      <c r="BC40" s="4491"/>
      <c r="BD40" s="4491"/>
      <c r="BE40" s="4481"/>
      <c r="BF40" s="3186"/>
      <c r="BG40" s="3186"/>
      <c r="BH40" s="4484"/>
      <c r="BI40" s="4487"/>
      <c r="BJ40" s="4487"/>
      <c r="BK40" s="4473"/>
      <c r="BL40" s="4475"/>
      <c r="BM40" s="4473"/>
      <c r="BN40" s="4478"/>
      <c r="BO40" s="3320"/>
      <c r="BU40" s="367"/>
      <c r="BV40" s="367"/>
      <c r="BW40" s="367"/>
      <c r="BX40" s="367"/>
      <c r="BY40" s="367"/>
      <c r="BZ40" s="367"/>
      <c r="CA40" s="367"/>
      <c r="CB40" s="367"/>
      <c r="CC40" s="367"/>
      <c r="CD40" s="367"/>
      <c r="CE40" s="367"/>
      <c r="CF40" s="367"/>
      <c r="CG40" s="367"/>
      <c r="CH40" s="367"/>
      <c r="CI40" s="367"/>
      <c r="CJ40" s="367"/>
      <c r="CK40" s="367"/>
      <c r="CL40" s="367"/>
      <c r="CM40" s="367"/>
      <c r="CN40" s="367"/>
      <c r="CO40" s="367"/>
      <c r="CP40" s="367"/>
      <c r="CQ40" s="367"/>
      <c r="CR40" s="367"/>
      <c r="CS40" s="367"/>
      <c r="CT40" s="367"/>
      <c r="CU40" s="367"/>
      <c r="CV40" s="367"/>
      <c r="CW40" s="367"/>
      <c r="CX40" s="367"/>
      <c r="CY40" s="367"/>
      <c r="CZ40" s="367"/>
      <c r="DA40" s="367"/>
      <c r="DB40" s="367"/>
      <c r="DC40" s="367"/>
      <c r="DD40" s="367"/>
      <c r="DE40" s="367"/>
      <c r="DF40" s="367"/>
      <c r="DG40" s="367"/>
      <c r="DH40" s="367"/>
      <c r="DI40" s="367"/>
      <c r="DJ40" s="367"/>
      <c r="DK40" s="367"/>
      <c r="DL40" s="367"/>
      <c r="DM40" s="367"/>
      <c r="DN40" s="367"/>
      <c r="DO40" s="367"/>
      <c r="DP40" s="367"/>
      <c r="DQ40" s="367"/>
      <c r="DR40" s="367"/>
      <c r="DS40" s="367"/>
      <c r="DT40" s="367"/>
      <c r="DU40" s="367"/>
      <c r="DV40" s="367"/>
      <c r="DW40" s="367"/>
      <c r="DX40" s="367"/>
      <c r="DY40" s="367"/>
      <c r="DZ40" s="367"/>
      <c r="EA40" s="367"/>
      <c r="EB40" s="367"/>
      <c r="EC40" s="367"/>
      <c r="ED40" s="367"/>
      <c r="EE40" s="367"/>
      <c r="EF40" s="367"/>
      <c r="EG40" s="367"/>
      <c r="EH40" s="367"/>
      <c r="EI40" s="367"/>
      <c r="EJ40" s="367"/>
      <c r="EK40" s="367"/>
      <c r="EL40" s="367"/>
      <c r="EM40" s="367"/>
      <c r="EN40" s="367"/>
      <c r="EO40" s="367"/>
      <c r="EP40" s="367"/>
      <c r="EQ40" s="367"/>
      <c r="ER40" s="367"/>
      <c r="ES40" s="367"/>
      <c r="ET40" s="367"/>
      <c r="EU40" s="367"/>
      <c r="EV40" s="367"/>
      <c r="EW40" s="367"/>
      <c r="EX40" s="367"/>
      <c r="EY40" s="367"/>
      <c r="EZ40" s="367"/>
      <c r="FA40" s="367"/>
      <c r="FB40" s="367"/>
      <c r="FC40" s="367"/>
      <c r="FD40" s="367"/>
      <c r="FE40" s="367"/>
      <c r="FF40" s="367"/>
      <c r="FG40" s="367"/>
      <c r="FH40" s="367"/>
      <c r="FI40" s="367"/>
      <c r="FJ40" s="367"/>
      <c r="FK40" s="367"/>
      <c r="FL40" s="367"/>
      <c r="FM40" s="367"/>
      <c r="FN40" s="367"/>
      <c r="FO40" s="367"/>
      <c r="FP40" s="367"/>
      <c r="FQ40" s="367"/>
      <c r="FR40" s="367"/>
      <c r="FS40" s="367"/>
      <c r="FT40" s="367"/>
      <c r="FU40" s="367"/>
      <c r="FV40" s="367"/>
      <c r="FW40" s="367"/>
      <c r="FX40" s="367"/>
      <c r="FY40" s="367"/>
      <c r="FZ40" s="367"/>
      <c r="GA40" s="367"/>
      <c r="GB40" s="367"/>
      <c r="GC40" s="367"/>
      <c r="GD40" s="367"/>
      <c r="GE40" s="367"/>
      <c r="GF40" s="367"/>
      <c r="GG40" s="367"/>
      <c r="GH40" s="367"/>
      <c r="GI40" s="367"/>
      <c r="GJ40" s="367"/>
      <c r="GK40" s="367"/>
      <c r="GL40" s="367"/>
      <c r="GM40" s="367"/>
      <c r="GN40" s="367"/>
      <c r="GO40" s="367"/>
      <c r="GP40" s="367"/>
      <c r="GQ40" s="367"/>
      <c r="GR40" s="367"/>
      <c r="GS40" s="367"/>
      <c r="GT40" s="367"/>
      <c r="GU40" s="367"/>
      <c r="GV40" s="367"/>
      <c r="GW40" s="367"/>
      <c r="GX40" s="367"/>
      <c r="GY40" s="367"/>
      <c r="GZ40" s="367"/>
      <c r="HA40" s="367"/>
      <c r="HB40" s="367"/>
      <c r="HC40" s="367"/>
      <c r="HD40" s="367"/>
      <c r="HE40" s="367"/>
      <c r="HF40" s="367"/>
      <c r="HG40" s="367"/>
      <c r="HH40" s="367"/>
      <c r="HI40" s="367"/>
      <c r="HJ40" s="367"/>
      <c r="HK40" s="367"/>
      <c r="HL40" s="367"/>
      <c r="HM40" s="367"/>
      <c r="HN40" s="367"/>
      <c r="HO40" s="367"/>
      <c r="HP40" s="367"/>
      <c r="HQ40" s="367"/>
      <c r="HR40" s="367"/>
      <c r="HS40" s="367"/>
      <c r="HT40" s="367"/>
      <c r="HU40" s="367"/>
      <c r="HV40" s="367"/>
      <c r="HW40" s="367"/>
      <c r="HX40" s="367"/>
      <c r="HY40" s="367"/>
      <c r="HZ40" s="367"/>
      <c r="IA40" s="367"/>
      <c r="IB40" s="367"/>
      <c r="IC40" s="367"/>
      <c r="ID40" s="367"/>
      <c r="IE40" s="367"/>
      <c r="IF40" s="367"/>
      <c r="IG40" s="367"/>
      <c r="IH40" s="367"/>
      <c r="II40" s="367"/>
      <c r="IJ40" s="367"/>
      <c r="IK40" s="367"/>
      <c r="IL40" s="367"/>
      <c r="IM40" s="367"/>
      <c r="IN40" s="367"/>
      <c r="IO40" s="367"/>
      <c r="IP40" s="367"/>
      <c r="IQ40" s="367"/>
      <c r="IR40" s="367"/>
      <c r="IS40" s="367"/>
      <c r="IT40" s="367"/>
      <c r="IU40" s="367"/>
      <c r="IV40" s="367"/>
      <c r="IW40" s="367"/>
      <c r="IX40" s="367"/>
      <c r="IY40" s="367"/>
      <c r="IZ40" s="367"/>
      <c r="JA40" s="367"/>
      <c r="JB40" s="367"/>
      <c r="JC40" s="367"/>
      <c r="JD40" s="367"/>
      <c r="JE40" s="367"/>
      <c r="JF40" s="367"/>
      <c r="JG40" s="367"/>
      <c r="JH40" s="367"/>
      <c r="JI40" s="367"/>
      <c r="JJ40" s="367"/>
      <c r="JK40" s="367"/>
      <c r="JL40" s="367"/>
      <c r="JM40" s="367"/>
      <c r="JN40" s="367"/>
      <c r="JO40" s="367"/>
      <c r="JP40" s="367"/>
      <c r="JQ40" s="367"/>
      <c r="JR40" s="367"/>
      <c r="JS40" s="367"/>
      <c r="JT40" s="367"/>
      <c r="JU40" s="367"/>
      <c r="JV40" s="367"/>
      <c r="JW40" s="367"/>
    </row>
    <row r="41" spans="1:283" s="924" customFormat="1" ht="60.75" customHeight="1" x14ac:dyDescent="0.2">
      <c r="A41" s="948"/>
      <c r="B41" s="971"/>
      <c r="C41" s="3224"/>
      <c r="D41" s="3225"/>
      <c r="E41" s="980"/>
      <c r="F41" s="987"/>
      <c r="G41" s="3320">
        <v>186</v>
      </c>
      <c r="H41" s="3317" t="s">
        <v>837</v>
      </c>
      <c r="I41" s="3822" t="s">
        <v>838</v>
      </c>
      <c r="J41" s="4457">
        <v>1</v>
      </c>
      <c r="K41" s="4442">
        <v>0.2</v>
      </c>
      <c r="L41" s="990"/>
      <c r="M41" s="4499"/>
      <c r="N41" s="4502"/>
      <c r="O41" s="4466">
        <f>SUM(T41:T43)/P31</f>
        <v>0.23612750885478159</v>
      </c>
      <c r="P41" s="4464"/>
      <c r="Q41" s="3822"/>
      <c r="R41" s="4467" t="s">
        <v>839</v>
      </c>
      <c r="S41" s="2651" t="s">
        <v>840</v>
      </c>
      <c r="T41" s="991">
        <f>25000000+1451000</f>
        <v>26451000</v>
      </c>
      <c r="U41" s="992">
        <v>0</v>
      </c>
      <c r="V41" s="992"/>
      <c r="W41" s="2646" t="s">
        <v>689</v>
      </c>
      <c r="X41" s="2647" t="s">
        <v>368</v>
      </c>
      <c r="Y41" s="4494"/>
      <c r="Z41" s="4494"/>
      <c r="AA41" s="4494"/>
      <c r="AB41" s="4494"/>
      <c r="AC41" s="4491"/>
      <c r="AD41" s="4491"/>
      <c r="AE41" s="4491"/>
      <c r="AF41" s="4491"/>
      <c r="AG41" s="4491"/>
      <c r="AH41" s="4491"/>
      <c r="AI41" s="4491"/>
      <c r="AJ41" s="4491"/>
      <c r="AK41" s="4491"/>
      <c r="AL41" s="4491"/>
      <c r="AM41" s="4491"/>
      <c r="AN41" s="4491"/>
      <c r="AO41" s="4491"/>
      <c r="AP41" s="4491"/>
      <c r="AQ41" s="4491"/>
      <c r="AR41" s="4491"/>
      <c r="AS41" s="4491"/>
      <c r="AT41" s="4491"/>
      <c r="AU41" s="4491"/>
      <c r="AV41" s="4491"/>
      <c r="AW41" s="4491"/>
      <c r="AX41" s="4491"/>
      <c r="AY41" s="4491"/>
      <c r="AZ41" s="4491"/>
      <c r="BA41" s="4491"/>
      <c r="BB41" s="4491"/>
      <c r="BC41" s="4491"/>
      <c r="BD41" s="4491"/>
      <c r="BE41" s="4481"/>
      <c r="BF41" s="3186"/>
      <c r="BG41" s="3186"/>
      <c r="BH41" s="4484"/>
      <c r="BI41" s="4487"/>
      <c r="BJ41" s="4487"/>
      <c r="BK41" s="4473"/>
      <c r="BL41" s="4475"/>
      <c r="BM41" s="4473"/>
      <c r="BN41" s="4478"/>
      <c r="BO41" s="3320"/>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7"/>
      <c r="DE41" s="367"/>
      <c r="DF41" s="367"/>
      <c r="DG41" s="367"/>
      <c r="DH41" s="367"/>
      <c r="DI41" s="367"/>
      <c r="DJ41" s="367"/>
      <c r="DK41" s="367"/>
      <c r="DL41" s="367"/>
      <c r="DM41" s="367"/>
      <c r="DN41" s="367"/>
      <c r="DO41" s="367"/>
      <c r="DP41" s="367"/>
      <c r="DQ41" s="367"/>
      <c r="DR41" s="367"/>
      <c r="DS41" s="367"/>
      <c r="DT41" s="367"/>
      <c r="DU41" s="367"/>
      <c r="DV41" s="367"/>
      <c r="DW41" s="367"/>
      <c r="DX41" s="367"/>
      <c r="DY41" s="367"/>
      <c r="DZ41" s="367"/>
      <c r="EA41" s="367"/>
      <c r="EB41" s="367"/>
      <c r="EC41" s="367"/>
      <c r="ED41" s="367"/>
      <c r="EE41" s="367"/>
      <c r="EF41" s="367"/>
      <c r="EG41" s="367"/>
      <c r="EH41" s="367"/>
      <c r="EI41" s="367"/>
      <c r="EJ41" s="367"/>
      <c r="EK41" s="367"/>
      <c r="EL41" s="367"/>
      <c r="EM41" s="367"/>
      <c r="EN41" s="367"/>
      <c r="EO41" s="367"/>
      <c r="EP41" s="367"/>
      <c r="EQ41" s="367"/>
      <c r="ER41" s="367"/>
      <c r="ES41" s="367"/>
      <c r="ET41" s="367"/>
      <c r="EU41" s="367"/>
      <c r="EV41" s="367"/>
      <c r="EW41" s="367"/>
      <c r="EX41" s="367"/>
      <c r="EY41" s="367"/>
      <c r="EZ41" s="367"/>
      <c r="FA41" s="367"/>
      <c r="FB41" s="367"/>
      <c r="FC41" s="367"/>
      <c r="FD41" s="367"/>
      <c r="FE41" s="367"/>
      <c r="FF41" s="367"/>
      <c r="FG41" s="367"/>
      <c r="FH41" s="367"/>
      <c r="FI41" s="367"/>
      <c r="FJ41" s="367"/>
      <c r="FK41" s="367"/>
      <c r="FL41" s="367"/>
      <c r="FM41" s="367"/>
      <c r="FN41" s="367"/>
      <c r="FO41" s="367"/>
      <c r="FP41" s="367"/>
      <c r="FQ41" s="367"/>
      <c r="FR41" s="367"/>
      <c r="FS41" s="367"/>
      <c r="FT41" s="367"/>
      <c r="FU41" s="367"/>
      <c r="FV41" s="367"/>
      <c r="FW41" s="367"/>
      <c r="FX41" s="367"/>
      <c r="FY41" s="367"/>
      <c r="FZ41" s="367"/>
      <c r="GA41" s="367"/>
      <c r="GB41" s="367"/>
      <c r="GC41" s="367"/>
      <c r="GD41" s="367"/>
      <c r="GE41" s="367"/>
      <c r="GF41" s="367"/>
      <c r="GG41" s="367"/>
      <c r="GH41" s="367"/>
      <c r="GI41" s="367"/>
      <c r="GJ41" s="367"/>
      <c r="GK41" s="367"/>
      <c r="GL41" s="367"/>
      <c r="GM41" s="367"/>
      <c r="GN41" s="367"/>
      <c r="GO41" s="367"/>
      <c r="GP41" s="367"/>
      <c r="GQ41" s="367"/>
      <c r="GR41" s="367"/>
      <c r="GS41" s="367"/>
      <c r="GT41" s="367"/>
      <c r="GU41" s="367"/>
      <c r="GV41" s="367"/>
      <c r="GW41" s="367"/>
      <c r="GX41" s="367"/>
      <c r="GY41" s="367"/>
      <c r="GZ41" s="367"/>
      <c r="HA41" s="367"/>
      <c r="HB41" s="367"/>
      <c r="HC41" s="367"/>
      <c r="HD41" s="367"/>
      <c r="HE41" s="367"/>
      <c r="HF41" s="367"/>
      <c r="HG41" s="367"/>
      <c r="HH41" s="367"/>
      <c r="HI41" s="367"/>
      <c r="HJ41" s="367"/>
      <c r="HK41" s="367"/>
      <c r="HL41" s="367"/>
      <c r="HM41" s="367"/>
      <c r="HN41" s="367"/>
      <c r="HO41" s="367"/>
      <c r="HP41" s="367"/>
      <c r="HQ41" s="367"/>
      <c r="HR41" s="367"/>
      <c r="HS41" s="367"/>
      <c r="HT41" s="367"/>
      <c r="HU41" s="367"/>
      <c r="HV41" s="367"/>
      <c r="HW41" s="367"/>
      <c r="HX41" s="367"/>
      <c r="HY41" s="367"/>
      <c r="HZ41" s="367"/>
      <c r="IA41" s="367"/>
      <c r="IB41" s="367"/>
      <c r="IC41" s="367"/>
      <c r="ID41" s="367"/>
      <c r="IE41" s="367"/>
      <c r="IF41" s="367"/>
      <c r="IG41" s="367"/>
      <c r="IH41" s="367"/>
      <c r="II41" s="367"/>
      <c r="IJ41" s="367"/>
      <c r="IK41" s="367"/>
      <c r="IL41" s="367"/>
      <c r="IM41" s="367"/>
      <c r="IN41" s="367"/>
      <c r="IO41" s="367"/>
      <c r="IP41" s="367"/>
      <c r="IQ41" s="367"/>
      <c r="IR41" s="367"/>
      <c r="IS41" s="367"/>
      <c r="IT41" s="367"/>
      <c r="IU41" s="367"/>
      <c r="IV41" s="367"/>
      <c r="IW41" s="367"/>
      <c r="IX41" s="367"/>
      <c r="IY41" s="367"/>
      <c r="IZ41" s="367"/>
      <c r="JA41" s="367"/>
      <c r="JB41" s="367"/>
      <c r="JC41" s="367"/>
      <c r="JD41" s="367"/>
      <c r="JE41" s="367"/>
      <c r="JF41" s="367"/>
      <c r="JG41" s="367"/>
      <c r="JH41" s="367"/>
      <c r="JI41" s="367"/>
      <c r="JJ41" s="367"/>
      <c r="JK41" s="367"/>
      <c r="JL41" s="367"/>
      <c r="JM41" s="367"/>
      <c r="JN41" s="367"/>
      <c r="JO41" s="367"/>
      <c r="JP41" s="367"/>
      <c r="JQ41" s="367"/>
      <c r="JR41" s="367"/>
      <c r="JS41" s="367"/>
      <c r="JT41" s="367"/>
      <c r="JU41" s="367"/>
      <c r="JV41" s="367"/>
      <c r="JW41" s="367"/>
    </row>
    <row r="42" spans="1:283" s="924" customFormat="1" ht="60.75" customHeight="1" x14ac:dyDescent="0.2">
      <c r="A42" s="948"/>
      <c r="B42" s="971"/>
      <c r="C42" s="3224"/>
      <c r="D42" s="3225"/>
      <c r="E42" s="980"/>
      <c r="F42" s="987"/>
      <c r="G42" s="3320"/>
      <c r="H42" s="3317"/>
      <c r="I42" s="3822"/>
      <c r="J42" s="4457"/>
      <c r="K42" s="4443"/>
      <c r="L42" s="990"/>
      <c r="M42" s="4499"/>
      <c r="N42" s="4502"/>
      <c r="O42" s="4466"/>
      <c r="P42" s="4464"/>
      <c r="Q42" s="3822"/>
      <c r="R42" s="4468"/>
      <c r="S42" s="2651" t="s">
        <v>841</v>
      </c>
      <c r="T42" s="991">
        <f>8500000-1451000</f>
        <v>7049000</v>
      </c>
      <c r="U42" s="992">
        <v>2160000</v>
      </c>
      <c r="V42" s="992">
        <v>864000</v>
      </c>
      <c r="W42" s="2646" t="s">
        <v>689</v>
      </c>
      <c r="X42" s="2647" t="s">
        <v>368</v>
      </c>
      <c r="Y42" s="4494"/>
      <c r="Z42" s="4494"/>
      <c r="AA42" s="4494"/>
      <c r="AB42" s="4494"/>
      <c r="AC42" s="4491"/>
      <c r="AD42" s="4491"/>
      <c r="AE42" s="4491"/>
      <c r="AF42" s="4491"/>
      <c r="AG42" s="4491"/>
      <c r="AH42" s="4491"/>
      <c r="AI42" s="4491"/>
      <c r="AJ42" s="4491"/>
      <c r="AK42" s="4491"/>
      <c r="AL42" s="4491"/>
      <c r="AM42" s="4491"/>
      <c r="AN42" s="4491"/>
      <c r="AO42" s="4491"/>
      <c r="AP42" s="4491"/>
      <c r="AQ42" s="4491"/>
      <c r="AR42" s="4491"/>
      <c r="AS42" s="4491"/>
      <c r="AT42" s="4491"/>
      <c r="AU42" s="4491"/>
      <c r="AV42" s="4491"/>
      <c r="AW42" s="4491"/>
      <c r="AX42" s="4491"/>
      <c r="AY42" s="4491"/>
      <c r="AZ42" s="4491"/>
      <c r="BA42" s="4491"/>
      <c r="BB42" s="4491"/>
      <c r="BC42" s="4491"/>
      <c r="BD42" s="4491"/>
      <c r="BE42" s="4481"/>
      <c r="BF42" s="3186"/>
      <c r="BG42" s="3186"/>
      <c r="BH42" s="4484"/>
      <c r="BI42" s="4487"/>
      <c r="BJ42" s="4487"/>
      <c r="BK42" s="4473"/>
      <c r="BL42" s="4475"/>
      <c r="BM42" s="4473"/>
      <c r="BN42" s="4478"/>
      <c r="BO42" s="3320"/>
      <c r="BU42" s="367"/>
      <c r="BV42" s="367"/>
      <c r="BW42" s="367"/>
      <c r="BX42" s="367"/>
      <c r="BY42" s="367"/>
      <c r="BZ42" s="367"/>
      <c r="CA42" s="367"/>
      <c r="CB42" s="367"/>
      <c r="CC42" s="367"/>
      <c r="CD42" s="367"/>
      <c r="CE42" s="367"/>
      <c r="CF42" s="367"/>
      <c r="CG42" s="367"/>
      <c r="CH42" s="367"/>
      <c r="CI42" s="367"/>
      <c r="CJ42" s="367"/>
      <c r="CK42" s="367"/>
      <c r="CL42" s="367"/>
      <c r="CM42" s="367"/>
      <c r="CN42" s="367"/>
      <c r="CO42" s="367"/>
      <c r="CP42" s="367"/>
      <c r="CQ42" s="367"/>
      <c r="CR42" s="367"/>
      <c r="CS42" s="367"/>
      <c r="CT42" s="367"/>
      <c r="CU42" s="367"/>
      <c r="CV42" s="367"/>
      <c r="CW42" s="367"/>
      <c r="CX42" s="367"/>
      <c r="CY42" s="367"/>
      <c r="CZ42" s="367"/>
      <c r="DA42" s="367"/>
      <c r="DB42" s="367"/>
      <c r="DC42" s="367"/>
      <c r="DD42" s="367"/>
      <c r="DE42" s="367"/>
      <c r="DF42" s="367"/>
      <c r="DG42" s="367"/>
      <c r="DH42" s="367"/>
      <c r="DI42" s="367"/>
      <c r="DJ42" s="367"/>
      <c r="DK42" s="367"/>
      <c r="DL42" s="367"/>
      <c r="DM42" s="367"/>
      <c r="DN42" s="367"/>
      <c r="DO42" s="367"/>
      <c r="DP42" s="367"/>
      <c r="DQ42" s="367"/>
      <c r="DR42" s="367"/>
      <c r="DS42" s="367"/>
      <c r="DT42" s="367"/>
      <c r="DU42" s="367"/>
      <c r="DV42" s="367"/>
      <c r="DW42" s="367"/>
      <c r="DX42" s="367"/>
      <c r="DY42" s="367"/>
      <c r="DZ42" s="367"/>
      <c r="EA42" s="367"/>
      <c r="EB42" s="367"/>
      <c r="EC42" s="367"/>
      <c r="ED42" s="367"/>
      <c r="EE42" s="367"/>
      <c r="EF42" s="367"/>
      <c r="EG42" s="367"/>
      <c r="EH42" s="367"/>
      <c r="EI42" s="367"/>
      <c r="EJ42" s="367"/>
      <c r="EK42" s="367"/>
      <c r="EL42" s="367"/>
      <c r="EM42" s="367"/>
      <c r="EN42" s="367"/>
      <c r="EO42" s="367"/>
      <c r="EP42" s="367"/>
      <c r="EQ42" s="367"/>
      <c r="ER42" s="367"/>
      <c r="ES42" s="367"/>
      <c r="ET42" s="367"/>
      <c r="EU42" s="367"/>
      <c r="EV42" s="367"/>
      <c r="EW42" s="367"/>
      <c r="EX42" s="367"/>
      <c r="EY42" s="367"/>
      <c r="EZ42" s="367"/>
      <c r="FA42" s="367"/>
      <c r="FB42" s="367"/>
      <c r="FC42" s="367"/>
      <c r="FD42" s="367"/>
      <c r="FE42" s="367"/>
      <c r="FF42" s="367"/>
      <c r="FG42" s="367"/>
      <c r="FH42" s="367"/>
      <c r="FI42" s="367"/>
      <c r="FJ42" s="367"/>
      <c r="FK42" s="367"/>
      <c r="FL42" s="367"/>
      <c r="FM42" s="367"/>
      <c r="FN42" s="367"/>
      <c r="FO42" s="367"/>
      <c r="FP42" s="367"/>
      <c r="FQ42" s="367"/>
      <c r="FR42" s="367"/>
      <c r="FS42" s="367"/>
      <c r="FT42" s="367"/>
      <c r="FU42" s="367"/>
      <c r="FV42" s="367"/>
      <c r="FW42" s="367"/>
      <c r="FX42" s="367"/>
      <c r="FY42" s="367"/>
      <c r="FZ42" s="367"/>
      <c r="GA42" s="367"/>
      <c r="GB42" s="367"/>
      <c r="GC42" s="367"/>
      <c r="GD42" s="367"/>
      <c r="GE42" s="367"/>
      <c r="GF42" s="367"/>
      <c r="GG42" s="367"/>
      <c r="GH42" s="367"/>
      <c r="GI42" s="367"/>
      <c r="GJ42" s="367"/>
      <c r="GK42" s="367"/>
      <c r="GL42" s="367"/>
      <c r="GM42" s="367"/>
      <c r="GN42" s="367"/>
      <c r="GO42" s="367"/>
      <c r="GP42" s="367"/>
      <c r="GQ42" s="367"/>
      <c r="GR42" s="367"/>
      <c r="GS42" s="367"/>
      <c r="GT42" s="367"/>
      <c r="GU42" s="367"/>
      <c r="GV42" s="367"/>
      <c r="GW42" s="367"/>
      <c r="GX42" s="367"/>
      <c r="GY42" s="367"/>
      <c r="GZ42" s="367"/>
      <c r="HA42" s="367"/>
      <c r="HB42" s="367"/>
      <c r="HC42" s="367"/>
      <c r="HD42" s="367"/>
      <c r="HE42" s="367"/>
      <c r="HF42" s="367"/>
      <c r="HG42" s="367"/>
      <c r="HH42" s="367"/>
      <c r="HI42" s="367"/>
      <c r="HJ42" s="367"/>
      <c r="HK42" s="367"/>
      <c r="HL42" s="367"/>
      <c r="HM42" s="367"/>
      <c r="HN42" s="367"/>
      <c r="HO42" s="367"/>
      <c r="HP42" s="367"/>
      <c r="HQ42" s="367"/>
      <c r="HR42" s="367"/>
      <c r="HS42" s="367"/>
      <c r="HT42" s="367"/>
      <c r="HU42" s="367"/>
      <c r="HV42" s="367"/>
      <c r="HW42" s="367"/>
      <c r="HX42" s="367"/>
      <c r="HY42" s="367"/>
      <c r="HZ42" s="367"/>
      <c r="IA42" s="367"/>
      <c r="IB42" s="367"/>
      <c r="IC42" s="367"/>
      <c r="ID42" s="367"/>
      <c r="IE42" s="367"/>
      <c r="IF42" s="367"/>
      <c r="IG42" s="367"/>
      <c r="IH42" s="367"/>
      <c r="II42" s="367"/>
      <c r="IJ42" s="367"/>
      <c r="IK42" s="367"/>
      <c r="IL42" s="367"/>
      <c r="IM42" s="367"/>
      <c r="IN42" s="367"/>
      <c r="IO42" s="367"/>
      <c r="IP42" s="367"/>
      <c r="IQ42" s="367"/>
      <c r="IR42" s="367"/>
      <c r="IS42" s="367"/>
      <c r="IT42" s="367"/>
      <c r="IU42" s="367"/>
      <c r="IV42" s="367"/>
      <c r="IW42" s="367"/>
      <c r="IX42" s="367"/>
      <c r="IY42" s="367"/>
      <c r="IZ42" s="367"/>
      <c r="JA42" s="367"/>
      <c r="JB42" s="367"/>
      <c r="JC42" s="367"/>
      <c r="JD42" s="367"/>
      <c r="JE42" s="367"/>
      <c r="JF42" s="367"/>
      <c r="JG42" s="367"/>
      <c r="JH42" s="367"/>
      <c r="JI42" s="367"/>
      <c r="JJ42" s="367"/>
      <c r="JK42" s="367"/>
      <c r="JL42" s="367"/>
      <c r="JM42" s="367"/>
      <c r="JN42" s="367"/>
      <c r="JO42" s="367"/>
      <c r="JP42" s="367"/>
      <c r="JQ42" s="367"/>
      <c r="JR42" s="367"/>
      <c r="JS42" s="367"/>
      <c r="JT42" s="367"/>
      <c r="JU42" s="367"/>
      <c r="JV42" s="367"/>
      <c r="JW42" s="367"/>
    </row>
    <row r="43" spans="1:283" s="924" customFormat="1" ht="60.75" customHeight="1" x14ac:dyDescent="0.2">
      <c r="A43" s="971"/>
      <c r="B43" s="971"/>
      <c r="C43" s="3224"/>
      <c r="D43" s="3225"/>
      <c r="E43" s="996"/>
      <c r="F43" s="997"/>
      <c r="G43" s="3320"/>
      <c r="H43" s="3317"/>
      <c r="I43" s="3822"/>
      <c r="J43" s="4457"/>
      <c r="K43" s="4465"/>
      <c r="L43" s="998"/>
      <c r="M43" s="4500"/>
      <c r="N43" s="4503"/>
      <c r="O43" s="4466"/>
      <c r="P43" s="4464"/>
      <c r="Q43" s="3822"/>
      <c r="R43" s="4469"/>
      <c r="S43" s="999" t="s">
        <v>842</v>
      </c>
      <c r="T43" s="991">
        <v>6500000</v>
      </c>
      <c r="U43" s="992">
        <v>0</v>
      </c>
      <c r="V43" s="992"/>
      <c r="W43" s="2646" t="s">
        <v>689</v>
      </c>
      <c r="X43" s="2647" t="s">
        <v>368</v>
      </c>
      <c r="Y43" s="4495"/>
      <c r="Z43" s="4495"/>
      <c r="AA43" s="4495"/>
      <c r="AB43" s="4495"/>
      <c r="AC43" s="4492"/>
      <c r="AD43" s="4492"/>
      <c r="AE43" s="4492"/>
      <c r="AF43" s="4492"/>
      <c r="AG43" s="4492"/>
      <c r="AH43" s="4492"/>
      <c r="AI43" s="4492"/>
      <c r="AJ43" s="4492"/>
      <c r="AK43" s="4492"/>
      <c r="AL43" s="4492"/>
      <c r="AM43" s="4492"/>
      <c r="AN43" s="4492"/>
      <c r="AO43" s="4492"/>
      <c r="AP43" s="4492"/>
      <c r="AQ43" s="4492"/>
      <c r="AR43" s="4492"/>
      <c r="AS43" s="4492"/>
      <c r="AT43" s="4492"/>
      <c r="AU43" s="4492"/>
      <c r="AV43" s="4492"/>
      <c r="AW43" s="4492"/>
      <c r="AX43" s="4492"/>
      <c r="AY43" s="4492"/>
      <c r="AZ43" s="4492"/>
      <c r="BA43" s="4492"/>
      <c r="BB43" s="4492"/>
      <c r="BC43" s="4492"/>
      <c r="BD43" s="4492"/>
      <c r="BE43" s="4482"/>
      <c r="BF43" s="3187"/>
      <c r="BG43" s="3187"/>
      <c r="BH43" s="4485"/>
      <c r="BI43" s="4488"/>
      <c r="BJ43" s="4488"/>
      <c r="BK43" s="4473"/>
      <c r="BL43" s="4476"/>
      <c r="BM43" s="4473"/>
      <c r="BN43" s="4479"/>
      <c r="BO43" s="3320"/>
      <c r="BU43" s="367"/>
      <c r="BV43" s="367"/>
      <c r="BW43" s="367"/>
      <c r="BX43" s="367"/>
      <c r="BY43" s="367"/>
      <c r="BZ43" s="367"/>
      <c r="CA43" s="367"/>
      <c r="CB43" s="367"/>
      <c r="CC43" s="367"/>
      <c r="CD43" s="367"/>
      <c r="CE43" s="367"/>
      <c r="CF43" s="367"/>
      <c r="CG43" s="367"/>
      <c r="CH43" s="367"/>
      <c r="CI43" s="367"/>
      <c r="CJ43" s="367"/>
      <c r="CK43" s="367"/>
      <c r="CL43" s="367"/>
      <c r="CM43" s="367"/>
      <c r="CN43" s="367"/>
      <c r="CO43" s="367"/>
      <c r="CP43" s="367"/>
      <c r="CQ43" s="367"/>
      <c r="CR43" s="367"/>
      <c r="CS43" s="367"/>
      <c r="CT43" s="367"/>
      <c r="CU43" s="367"/>
      <c r="CV43" s="367"/>
      <c r="CW43" s="367"/>
      <c r="CX43" s="367"/>
      <c r="CY43" s="367"/>
      <c r="CZ43" s="367"/>
      <c r="DA43" s="367"/>
      <c r="DB43" s="367"/>
      <c r="DC43" s="367"/>
      <c r="DD43" s="367"/>
      <c r="DE43" s="367"/>
      <c r="DF43" s="367"/>
      <c r="DG43" s="367"/>
      <c r="DH43" s="367"/>
      <c r="DI43" s="367"/>
      <c r="DJ43" s="367"/>
      <c r="DK43" s="367"/>
      <c r="DL43" s="367"/>
      <c r="DM43" s="367"/>
      <c r="DN43" s="367"/>
      <c r="DO43" s="367"/>
      <c r="DP43" s="367"/>
      <c r="DQ43" s="367"/>
      <c r="DR43" s="367"/>
      <c r="DS43" s="367"/>
      <c r="DT43" s="367"/>
      <c r="DU43" s="367"/>
      <c r="DV43" s="367"/>
      <c r="DW43" s="367"/>
      <c r="DX43" s="367"/>
      <c r="DY43" s="367"/>
      <c r="DZ43" s="367"/>
      <c r="EA43" s="367"/>
      <c r="EB43" s="367"/>
      <c r="EC43" s="367"/>
      <c r="ED43" s="367"/>
      <c r="EE43" s="367"/>
      <c r="EF43" s="367"/>
      <c r="EG43" s="367"/>
      <c r="EH43" s="367"/>
      <c r="EI43" s="367"/>
      <c r="EJ43" s="367"/>
      <c r="EK43" s="367"/>
      <c r="EL43" s="367"/>
      <c r="EM43" s="367"/>
      <c r="EN43" s="367"/>
      <c r="EO43" s="367"/>
      <c r="EP43" s="367"/>
      <c r="EQ43" s="367"/>
      <c r="ER43" s="367"/>
      <c r="ES43" s="367"/>
      <c r="ET43" s="367"/>
      <c r="EU43" s="367"/>
      <c r="EV43" s="367"/>
      <c r="EW43" s="367"/>
      <c r="EX43" s="367"/>
      <c r="EY43" s="367"/>
      <c r="EZ43" s="367"/>
      <c r="FA43" s="367"/>
      <c r="FB43" s="367"/>
      <c r="FC43" s="367"/>
      <c r="FD43" s="367"/>
      <c r="FE43" s="367"/>
      <c r="FF43" s="367"/>
      <c r="FG43" s="367"/>
      <c r="FH43" s="367"/>
      <c r="FI43" s="367"/>
      <c r="FJ43" s="367"/>
      <c r="FK43" s="367"/>
      <c r="FL43" s="367"/>
      <c r="FM43" s="367"/>
      <c r="FN43" s="367"/>
      <c r="FO43" s="367"/>
      <c r="FP43" s="367"/>
      <c r="FQ43" s="367"/>
      <c r="FR43" s="367"/>
      <c r="FS43" s="367"/>
      <c r="FT43" s="367"/>
      <c r="FU43" s="367"/>
      <c r="FV43" s="367"/>
      <c r="FW43" s="367"/>
      <c r="FX43" s="367"/>
      <c r="FY43" s="367"/>
      <c r="FZ43" s="367"/>
      <c r="GA43" s="367"/>
      <c r="GB43" s="367"/>
      <c r="GC43" s="367"/>
      <c r="GD43" s="367"/>
      <c r="GE43" s="367"/>
      <c r="GF43" s="367"/>
      <c r="GG43" s="367"/>
      <c r="GH43" s="367"/>
      <c r="GI43" s="367"/>
      <c r="GJ43" s="367"/>
      <c r="GK43" s="367"/>
      <c r="GL43" s="367"/>
      <c r="GM43" s="367"/>
      <c r="GN43" s="367"/>
      <c r="GO43" s="367"/>
      <c r="GP43" s="367"/>
      <c r="GQ43" s="367"/>
      <c r="GR43" s="367"/>
      <c r="GS43" s="367"/>
      <c r="GT43" s="367"/>
      <c r="GU43" s="367"/>
      <c r="GV43" s="367"/>
      <c r="GW43" s="367"/>
      <c r="GX43" s="367"/>
      <c r="GY43" s="367"/>
      <c r="GZ43" s="367"/>
      <c r="HA43" s="367"/>
      <c r="HB43" s="367"/>
      <c r="HC43" s="367"/>
      <c r="HD43" s="367"/>
      <c r="HE43" s="367"/>
      <c r="HF43" s="367"/>
      <c r="HG43" s="367"/>
      <c r="HH43" s="367"/>
      <c r="HI43" s="367"/>
      <c r="HJ43" s="367"/>
      <c r="HK43" s="367"/>
      <c r="HL43" s="367"/>
      <c r="HM43" s="367"/>
      <c r="HN43" s="367"/>
      <c r="HO43" s="367"/>
      <c r="HP43" s="367"/>
      <c r="HQ43" s="367"/>
      <c r="HR43" s="367"/>
      <c r="HS43" s="367"/>
      <c r="HT43" s="367"/>
      <c r="HU43" s="367"/>
      <c r="HV43" s="367"/>
      <c r="HW43" s="367"/>
      <c r="HX43" s="367"/>
      <c r="HY43" s="367"/>
      <c r="HZ43" s="367"/>
      <c r="IA43" s="367"/>
      <c r="IB43" s="367"/>
      <c r="IC43" s="367"/>
      <c r="ID43" s="367"/>
      <c r="IE43" s="367"/>
      <c r="IF43" s="367"/>
      <c r="IG43" s="367"/>
      <c r="IH43" s="367"/>
      <c r="II43" s="367"/>
      <c r="IJ43" s="367"/>
      <c r="IK43" s="367"/>
      <c r="IL43" s="367"/>
      <c r="IM43" s="367"/>
      <c r="IN43" s="367"/>
      <c r="IO43" s="367"/>
      <c r="IP43" s="367"/>
      <c r="IQ43" s="367"/>
      <c r="IR43" s="367"/>
      <c r="IS43" s="367"/>
      <c r="IT43" s="367"/>
      <c r="IU43" s="367"/>
      <c r="IV43" s="367"/>
      <c r="IW43" s="367"/>
      <c r="IX43" s="367"/>
      <c r="IY43" s="367"/>
      <c r="IZ43" s="367"/>
      <c r="JA43" s="367"/>
      <c r="JB43" s="367"/>
      <c r="JC43" s="367"/>
      <c r="JD43" s="367"/>
      <c r="JE43" s="367"/>
      <c r="JF43" s="367"/>
      <c r="JG43" s="367"/>
      <c r="JH43" s="367"/>
      <c r="JI43" s="367"/>
      <c r="JJ43" s="367"/>
      <c r="JK43" s="367"/>
      <c r="JL43" s="367"/>
      <c r="JM43" s="367"/>
      <c r="JN43" s="367"/>
      <c r="JO43" s="367"/>
      <c r="JP43" s="367"/>
      <c r="JQ43" s="367"/>
      <c r="JR43" s="367"/>
      <c r="JS43" s="367"/>
      <c r="JT43" s="367"/>
      <c r="JU43" s="367"/>
      <c r="JV43" s="367"/>
      <c r="JW43" s="367"/>
    </row>
    <row r="44" spans="1:283" s="924" customFormat="1" ht="15.75" x14ac:dyDescent="0.2">
      <c r="A44" s="1000"/>
      <c r="B44" s="1000"/>
      <c r="C44" s="3224"/>
      <c r="D44" s="3225"/>
      <c r="E44" s="1001">
        <v>60</v>
      </c>
      <c r="F44" s="951" t="s">
        <v>843</v>
      </c>
      <c r="G44" s="952"/>
      <c r="H44" s="953"/>
      <c r="I44" s="953"/>
      <c r="J44" s="952"/>
      <c r="K44" s="1002"/>
      <c r="L44" s="952"/>
      <c r="M44" s="952"/>
      <c r="N44" s="953"/>
      <c r="O44" s="972"/>
      <c r="P44" s="973"/>
      <c r="Q44" s="953"/>
      <c r="R44" s="953"/>
      <c r="S44" s="953"/>
      <c r="T44" s="1003"/>
      <c r="U44" s="974"/>
      <c r="V44" s="974"/>
      <c r="W44" s="954"/>
      <c r="X44" s="954"/>
      <c r="Y44" s="952"/>
      <c r="Z44" s="952"/>
      <c r="AA44" s="952"/>
      <c r="AB44" s="952"/>
      <c r="AC44" s="952"/>
      <c r="AD44" s="952"/>
      <c r="AE44" s="952"/>
      <c r="AF44" s="952"/>
      <c r="AG44" s="952"/>
      <c r="AH44" s="952"/>
      <c r="AI44" s="952"/>
      <c r="AJ44" s="952"/>
      <c r="AK44" s="952"/>
      <c r="AL44" s="952"/>
      <c r="AM44" s="952"/>
      <c r="AN44" s="952"/>
      <c r="AO44" s="952"/>
      <c r="AP44" s="952"/>
      <c r="AQ44" s="952"/>
      <c r="AR44" s="952"/>
      <c r="AS44" s="952"/>
      <c r="AT44" s="952"/>
      <c r="AU44" s="952"/>
      <c r="AV44" s="952"/>
      <c r="AW44" s="952"/>
      <c r="AX44" s="952"/>
      <c r="AY44" s="952"/>
      <c r="AZ44" s="952"/>
      <c r="BA44" s="952"/>
      <c r="BB44" s="952"/>
      <c r="BC44" s="952"/>
      <c r="BD44" s="952"/>
      <c r="BE44" s="952"/>
      <c r="BF44" s="973"/>
      <c r="BG44" s="973"/>
      <c r="BH44" s="975"/>
      <c r="BI44" s="975"/>
      <c r="BJ44" s="952"/>
      <c r="BK44" s="952"/>
      <c r="BL44" s="952"/>
      <c r="BM44" s="952"/>
      <c r="BN44" s="952"/>
      <c r="BO44" s="952"/>
      <c r="BP44" s="976"/>
      <c r="BU44" s="367"/>
      <c r="BV44" s="367"/>
      <c r="BW44" s="367"/>
      <c r="BX44" s="367"/>
      <c r="BY44" s="367"/>
      <c r="BZ44" s="367"/>
      <c r="CA44" s="367"/>
      <c r="CB44" s="367"/>
      <c r="CC44" s="367"/>
      <c r="CD44" s="367"/>
      <c r="CE44" s="367"/>
      <c r="CF44" s="367"/>
      <c r="CG44" s="367"/>
      <c r="CH44" s="367"/>
      <c r="CI44" s="367"/>
      <c r="CJ44" s="367"/>
      <c r="CK44" s="367"/>
      <c r="CL44" s="367"/>
      <c r="CM44" s="367"/>
      <c r="CN44" s="367"/>
      <c r="CO44" s="367"/>
      <c r="CP44" s="367"/>
      <c r="CQ44" s="367"/>
      <c r="CR44" s="367"/>
      <c r="CS44" s="367"/>
      <c r="CT44" s="367"/>
      <c r="CU44" s="367"/>
      <c r="CV44" s="367"/>
      <c r="CW44" s="367"/>
      <c r="CX44" s="367"/>
      <c r="CY44" s="367"/>
      <c r="CZ44" s="367"/>
      <c r="DA44" s="367"/>
      <c r="DB44" s="367"/>
      <c r="DC44" s="367"/>
      <c r="DD44" s="367"/>
      <c r="DE44" s="367"/>
      <c r="DF44" s="367"/>
      <c r="DG44" s="367"/>
      <c r="DH44" s="367"/>
      <c r="DI44" s="367"/>
      <c r="DJ44" s="367"/>
      <c r="DK44" s="367"/>
      <c r="DL44" s="367"/>
      <c r="DM44" s="367"/>
      <c r="DN44" s="367"/>
      <c r="DO44" s="367"/>
      <c r="DP44" s="367"/>
      <c r="DQ44" s="367"/>
      <c r="DR44" s="367"/>
      <c r="DS44" s="367"/>
      <c r="DT44" s="367"/>
      <c r="DU44" s="367"/>
      <c r="DV44" s="367"/>
      <c r="DW44" s="367"/>
      <c r="DX44" s="367"/>
      <c r="DY44" s="367"/>
      <c r="DZ44" s="367"/>
      <c r="EA44" s="367"/>
      <c r="EB44" s="367"/>
      <c r="EC44" s="367"/>
      <c r="ED44" s="367"/>
      <c r="EE44" s="367"/>
      <c r="EF44" s="367"/>
      <c r="EG44" s="367"/>
      <c r="EH44" s="367"/>
      <c r="EI44" s="367"/>
      <c r="EJ44" s="367"/>
      <c r="EK44" s="367"/>
      <c r="EL44" s="367"/>
      <c r="EM44" s="367"/>
      <c r="EN44" s="367"/>
      <c r="EO44" s="367"/>
      <c r="EP44" s="367"/>
      <c r="EQ44" s="367"/>
      <c r="ER44" s="367"/>
      <c r="ES44" s="367"/>
      <c r="ET44" s="367"/>
      <c r="EU44" s="367"/>
      <c r="EV44" s="367"/>
      <c r="EW44" s="367"/>
      <c r="EX44" s="367"/>
      <c r="EY44" s="367"/>
      <c r="EZ44" s="367"/>
      <c r="FA44" s="367"/>
      <c r="FB44" s="367"/>
      <c r="FC44" s="367"/>
      <c r="FD44" s="367"/>
      <c r="FE44" s="367"/>
      <c r="FF44" s="367"/>
      <c r="FG44" s="367"/>
      <c r="FH44" s="367"/>
      <c r="FI44" s="367"/>
      <c r="FJ44" s="367"/>
      <c r="FK44" s="367"/>
      <c r="FL44" s="367"/>
      <c r="FM44" s="367"/>
      <c r="FN44" s="367"/>
      <c r="FO44" s="367"/>
      <c r="FP44" s="367"/>
      <c r="FQ44" s="367"/>
      <c r="FR44" s="367"/>
      <c r="FS44" s="367"/>
      <c r="FT44" s="367"/>
      <c r="FU44" s="367"/>
      <c r="FV44" s="367"/>
      <c r="FW44" s="367"/>
      <c r="FX44" s="367"/>
      <c r="FY44" s="367"/>
      <c r="FZ44" s="367"/>
      <c r="GA44" s="367"/>
      <c r="GB44" s="367"/>
      <c r="GC44" s="367"/>
      <c r="GD44" s="367"/>
      <c r="GE44" s="367"/>
      <c r="GF44" s="367"/>
      <c r="GG44" s="367"/>
      <c r="GH44" s="367"/>
      <c r="GI44" s="367"/>
      <c r="GJ44" s="367"/>
      <c r="GK44" s="367"/>
      <c r="GL44" s="367"/>
      <c r="GM44" s="367"/>
      <c r="GN44" s="367"/>
      <c r="GO44" s="367"/>
      <c r="GP44" s="367"/>
      <c r="GQ44" s="367"/>
      <c r="GR44" s="367"/>
      <c r="GS44" s="367"/>
      <c r="GT44" s="367"/>
      <c r="GU44" s="367"/>
      <c r="GV44" s="367"/>
      <c r="GW44" s="367"/>
      <c r="GX44" s="367"/>
      <c r="GY44" s="367"/>
      <c r="GZ44" s="367"/>
      <c r="HA44" s="367"/>
      <c r="HB44" s="367"/>
      <c r="HC44" s="367"/>
      <c r="HD44" s="367"/>
      <c r="HE44" s="367"/>
      <c r="HF44" s="367"/>
      <c r="HG44" s="367"/>
      <c r="HH44" s="367"/>
      <c r="HI44" s="367"/>
      <c r="HJ44" s="367"/>
      <c r="HK44" s="367"/>
      <c r="HL44" s="367"/>
      <c r="HM44" s="367"/>
      <c r="HN44" s="367"/>
      <c r="HO44" s="367"/>
      <c r="HP44" s="367"/>
      <c r="HQ44" s="367"/>
      <c r="HR44" s="367"/>
      <c r="HS44" s="367"/>
      <c r="HT44" s="367"/>
      <c r="HU44" s="367"/>
      <c r="HV44" s="367"/>
      <c r="HW44" s="367"/>
      <c r="HX44" s="367"/>
      <c r="HY44" s="367"/>
      <c r="HZ44" s="367"/>
      <c r="IA44" s="367"/>
      <c r="IB44" s="367"/>
      <c r="IC44" s="367"/>
      <c r="ID44" s="367"/>
      <c r="IE44" s="367"/>
      <c r="IF44" s="367"/>
      <c r="IG44" s="367"/>
      <c r="IH44" s="367"/>
      <c r="II44" s="367"/>
      <c r="IJ44" s="367"/>
      <c r="IK44" s="367"/>
      <c r="IL44" s="367"/>
      <c r="IM44" s="367"/>
      <c r="IN44" s="367"/>
      <c r="IO44" s="367"/>
      <c r="IP44" s="367"/>
      <c r="IQ44" s="367"/>
      <c r="IR44" s="367"/>
      <c r="IS44" s="367"/>
      <c r="IT44" s="367"/>
      <c r="IU44" s="367"/>
      <c r="IV44" s="367"/>
      <c r="IW44" s="367"/>
      <c r="IX44" s="367"/>
      <c r="IY44" s="367"/>
      <c r="IZ44" s="367"/>
      <c r="JA44" s="367"/>
      <c r="JB44" s="367"/>
      <c r="JC44" s="367"/>
      <c r="JD44" s="367"/>
      <c r="JE44" s="367"/>
      <c r="JF44" s="367"/>
      <c r="JG44" s="367"/>
      <c r="JH44" s="367"/>
      <c r="JI44" s="367"/>
      <c r="JJ44" s="367"/>
      <c r="JK44" s="367"/>
      <c r="JL44" s="367"/>
      <c r="JM44" s="367"/>
      <c r="JN44" s="367"/>
      <c r="JO44" s="367"/>
      <c r="JP44" s="367"/>
      <c r="JQ44" s="367"/>
      <c r="JR44" s="367"/>
      <c r="JS44" s="367"/>
      <c r="JT44" s="367"/>
      <c r="JU44" s="367"/>
      <c r="JV44" s="367"/>
      <c r="JW44" s="367"/>
    </row>
    <row r="45" spans="1:283" ht="75" customHeight="1" x14ac:dyDescent="0.2">
      <c r="A45" s="374"/>
      <c r="B45" s="374"/>
      <c r="C45" s="3224"/>
      <c r="D45" s="3225"/>
      <c r="E45" s="977"/>
      <c r="F45" s="978"/>
      <c r="G45" s="3176">
        <v>187</v>
      </c>
      <c r="H45" s="3176" t="s">
        <v>844</v>
      </c>
      <c r="I45" s="3176" t="s">
        <v>845</v>
      </c>
      <c r="J45" s="4440">
        <v>1</v>
      </c>
      <c r="K45" s="4442">
        <v>0.5</v>
      </c>
      <c r="L45" s="4470" t="s">
        <v>846</v>
      </c>
      <c r="M45" s="4472" t="s">
        <v>847</v>
      </c>
      <c r="N45" s="3180" t="s">
        <v>848</v>
      </c>
      <c r="O45" s="4452">
        <f>SUM(T45:T50)/P45</f>
        <v>0.33333333333333331</v>
      </c>
      <c r="P45" s="4463">
        <f>SUM(T45:T56)</f>
        <v>120000000</v>
      </c>
      <c r="Q45" s="3180" t="s">
        <v>849</v>
      </c>
      <c r="R45" s="3176" t="s">
        <v>850</v>
      </c>
      <c r="S45" s="2653" t="s">
        <v>851</v>
      </c>
      <c r="T45" s="2652">
        <v>10000000</v>
      </c>
      <c r="U45" s="2652">
        <v>5000000</v>
      </c>
      <c r="V45" s="2652">
        <v>2853960</v>
      </c>
      <c r="W45" s="2646" t="s">
        <v>689</v>
      </c>
      <c r="X45" s="2647" t="s">
        <v>368</v>
      </c>
      <c r="Y45" s="4440">
        <v>2500</v>
      </c>
      <c r="Z45" s="4440">
        <v>266</v>
      </c>
      <c r="AA45" s="4458">
        <v>1500</v>
      </c>
      <c r="AB45" s="4458">
        <v>394</v>
      </c>
      <c r="AC45" s="4440"/>
      <c r="AD45" s="4440"/>
      <c r="AE45" s="4440">
        <v>2500</v>
      </c>
      <c r="AF45" s="4440">
        <v>425</v>
      </c>
      <c r="AG45" s="4440">
        <v>1500</v>
      </c>
      <c r="AH45" s="4440">
        <v>235</v>
      </c>
      <c r="AI45" s="4440"/>
      <c r="AJ45" s="2663"/>
      <c r="AK45" s="4459"/>
      <c r="AL45" s="2667"/>
      <c r="AM45" s="4440"/>
      <c r="AN45" s="2663"/>
      <c r="AO45" s="4440"/>
      <c r="AP45" s="4440"/>
      <c r="AQ45" s="4440"/>
      <c r="AR45" s="4440"/>
      <c r="AS45" s="4440"/>
      <c r="AT45" s="4440"/>
      <c r="AU45" s="4440"/>
      <c r="AV45" s="4440"/>
      <c r="AW45" s="4440"/>
      <c r="AX45" s="4440"/>
      <c r="AY45" s="4440"/>
      <c r="AZ45" s="4440"/>
      <c r="BA45" s="4440"/>
      <c r="BB45" s="4440"/>
      <c r="BC45" s="4458">
        <v>4000</v>
      </c>
      <c r="BD45" s="4458">
        <f>+AF45+AH45</f>
        <v>660</v>
      </c>
      <c r="BE45" s="4440">
        <v>4</v>
      </c>
      <c r="BF45" s="3185">
        <f>U45+U47+U48+U51+U52+U53</f>
        <v>36932500</v>
      </c>
      <c r="BG45" s="3185">
        <f>+V45+V47+V48+V51</f>
        <v>11627000</v>
      </c>
      <c r="BH45" s="4454">
        <f>+BG45/BF45</f>
        <v>0.31481757259865972</v>
      </c>
      <c r="BI45" s="2665"/>
      <c r="BJ45" s="3176" t="s">
        <v>853</v>
      </c>
      <c r="BK45" s="4456">
        <v>43466</v>
      </c>
      <c r="BL45" s="4075">
        <v>43487</v>
      </c>
      <c r="BM45" s="4456">
        <v>43830</v>
      </c>
      <c r="BN45" s="4446">
        <v>43819</v>
      </c>
      <c r="BO45" s="3318" t="s">
        <v>854</v>
      </c>
      <c r="BT45" s="367"/>
    </row>
    <row r="46" spans="1:283" ht="53.25" customHeight="1" x14ac:dyDescent="0.2">
      <c r="A46" s="374"/>
      <c r="B46" s="374"/>
      <c r="C46" s="3224"/>
      <c r="D46" s="3225"/>
      <c r="E46" s="980"/>
      <c r="F46" s="981"/>
      <c r="G46" s="3177"/>
      <c r="H46" s="3177"/>
      <c r="I46" s="3177"/>
      <c r="J46" s="4441"/>
      <c r="K46" s="4443"/>
      <c r="L46" s="4471"/>
      <c r="M46" s="4472"/>
      <c r="N46" s="3180"/>
      <c r="O46" s="4453"/>
      <c r="P46" s="4463"/>
      <c r="Q46" s="3180"/>
      <c r="R46" s="3177"/>
      <c r="S46" s="2653" t="s">
        <v>855</v>
      </c>
      <c r="T46" s="2652">
        <v>8000000</v>
      </c>
      <c r="U46" s="2652">
        <v>0</v>
      </c>
      <c r="V46" s="2652"/>
      <c r="W46" s="2646" t="s">
        <v>689</v>
      </c>
      <c r="X46" s="2647" t="s">
        <v>368</v>
      </c>
      <c r="Y46" s="4441"/>
      <c r="Z46" s="4441"/>
      <c r="AA46" s="4461"/>
      <c r="AB46" s="4461"/>
      <c r="AC46" s="4441"/>
      <c r="AD46" s="4441"/>
      <c r="AE46" s="4441"/>
      <c r="AF46" s="4441"/>
      <c r="AG46" s="4441"/>
      <c r="AH46" s="4441"/>
      <c r="AI46" s="4441"/>
      <c r="AJ46" s="2664"/>
      <c r="AK46" s="4460"/>
      <c r="AL46" s="2668"/>
      <c r="AM46" s="4441"/>
      <c r="AN46" s="2664"/>
      <c r="AO46" s="4441"/>
      <c r="AP46" s="4441"/>
      <c r="AQ46" s="4441"/>
      <c r="AR46" s="4441"/>
      <c r="AS46" s="4441"/>
      <c r="AT46" s="4441"/>
      <c r="AU46" s="4441"/>
      <c r="AV46" s="4441"/>
      <c r="AW46" s="4441"/>
      <c r="AX46" s="4441"/>
      <c r="AY46" s="4441"/>
      <c r="AZ46" s="4441"/>
      <c r="BA46" s="4441"/>
      <c r="BB46" s="4441"/>
      <c r="BC46" s="4441"/>
      <c r="BD46" s="4441"/>
      <c r="BE46" s="4441"/>
      <c r="BF46" s="3186"/>
      <c r="BG46" s="3186"/>
      <c r="BH46" s="4455"/>
      <c r="BI46" s="2666"/>
      <c r="BJ46" s="3177"/>
      <c r="BK46" s="4456"/>
      <c r="BL46" s="4076"/>
      <c r="BM46" s="4456"/>
      <c r="BN46" s="4447"/>
      <c r="BO46" s="3318"/>
      <c r="BT46" s="367"/>
    </row>
    <row r="47" spans="1:283" ht="53.25" customHeight="1" x14ac:dyDescent="0.2">
      <c r="A47" s="374"/>
      <c r="B47" s="374"/>
      <c r="C47" s="3224"/>
      <c r="D47" s="3225"/>
      <c r="E47" s="980"/>
      <c r="F47" s="981"/>
      <c r="G47" s="3177"/>
      <c r="H47" s="3177"/>
      <c r="I47" s="3177"/>
      <c r="J47" s="4441"/>
      <c r="K47" s="4443"/>
      <c r="L47" s="4471"/>
      <c r="M47" s="4472"/>
      <c r="N47" s="3180"/>
      <c r="O47" s="4453"/>
      <c r="P47" s="4463"/>
      <c r="Q47" s="3180"/>
      <c r="R47" s="3177"/>
      <c r="S47" s="2653" t="s">
        <v>856</v>
      </c>
      <c r="T47" s="2652">
        <v>8000000</v>
      </c>
      <c r="U47" s="2652">
        <v>1793000</v>
      </c>
      <c r="V47" s="2652">
        <v>1063240</v>
      </c>
      <c r="W47" s="2646" t="s">
        <v>689</v>
      </c>
      <c r="X47" s="2647" t="s">
        <v>368</v>
      </c>
      <c r="Y47" s="4441"/>
      <c r="Z47" s="4441"/>
      <c r="AA47" s="4461"/>
      <c r="AB47" s="4461"/>
      <c r="AC47" s="4441"/>
      <c r="AD47" s="4441"/>
      <c r="AE47" s="4441"/>
      <c r="AF47" s="4441"/>
      <c r="AG47" s="4441"/>
      <c r="AH47" s="4441"/>
      <c r="AI47" s="4441"/>
      <c r="AJ47" s="2664"/>
      <c r="AK47" s="4460"/>
      <c r="AL47" s="2668"/>
      <c r="AM47" s="4441"/>
      <c r="AN47" s="2664"/>
      <c r="AO47" s="4441"/>
      <c r="AP47" s="4441"/>
      <c r="AQ47" s="4441"/>
      <c r="AR47" s="4441"/>
      <c r="AS47" s="4441"/>
      <c r="AT47" s="4441"/>
      <c r="AU47" s="4441"/>
      <c r="AV47" s="4441"/>
      <c r="AW47" s="4441"/>
      <c r="AX47" s="4441"/>
      <c r="AY47" s="4441"/>
      <c r="AZ47" s="4441"/>
      <c r="BA47" s="4441"/>
      <c r="BB47" s="4441"/>
      <c r="BC47" s="4441"/>
      <c r="BD47" s="4441"/>
      <c r="BE47" s="4441"/>
      <c r="BF47" s="3186"/>
      <c r="BG47" s="3186"/>
      <c r="BH47" s="4455"/>
      <c r="BI47" s="2666"/>
      <c r="BJ47" s="3177"/>
      <c r="BK47" s="4456"/>
      <c r="BL47" s="4076"/>
      <c r="BM47" s="4456"/>
      <c r="BN47" s="4447"/>
      <c r="BO47" s="3318"/>
      <c r="BT47" s="367"/>
    </row>
    <row r="48" spans="1:283" ht="53.25" customHeight="1" x14ac:dyDescent="0.2">
      <c r="A48" s="374"/>
      <c r="B48" s="374"/>
      <c r="C48" s="3224"/>
      <c r="D48" s="3225"/>
      <c r="E48" s="980"/>
      <c r="F48" s="981"/>
      <c r="G48" s="3177"/>
      <c r="H48" s="3177"/>
      <c r="I48" s="3177"/>
      <c r="J48" s="4441"/>
      <c r="K48" s="4443"/>
      <c r="L48" s="4471"/>
      <c r="M48" s="4472"/>
      <c r="N48" s="3180"/>
      <c r="O48" s="4453"/>
      <c r="P48" s="4463"/>
      <c r="Q48" s="3180"/>
      <c r="R48" s="3177"/>
      <c r="S48" s="2653" t="s">
        <v>857</v>
      </c>
      <c r="T48" s="2652">
        <v>4000000</v>
      </c>
      <c r="U48" s="2652">
        <v>3000000</v>
      </c>
      <c r="V48" s="2652">
        <v>1678800</v>
      </c>
      <c r="W48" s="2646" t="s">
        <v>689</v>
      </c>
      <c r="X48" s="2647" t="s">
        <v>368</v>
      </c>
      <c r="Y48" s="4441"/>
      <c r="Z48" s="4441"/>
      <c r="AA48" s="4461"/>
      <c r="AB48" s="4461"/>
      <c r="AC48" s="4441"/>
      <c r="AD48" s="4441"/>
      <c r="AE48" s="4441"/>
      <c r="AF48" s="4441"/>
      <c r="AG48" s="4441"/>
      <c r="AH48" s="4441"/>
      <c r="AI48" s="4441"/>
      <c r="AJ48" s="2664"/>
      <c r="AK48" s="4460"/>
      <c r="AL48" s="2668"/>
      <c r="AM48" s="4441"/>
      <c r="AN48" s="2664"/>
      <c r="AO48" s="4441"/>
      <c r="AP48" s="4441"/>
      <c r="AQ48" s="4441"/>
      <c r="AR48" s="4441"/>
      <c r="AS48" s="4441"/>
      <c r="AT48" s="4441"/>
      <c r="AU48" s="4441"/>
      <c r="AV48" s="4441"/>
      <c r="AW48" s="4441"/>
      <c r="AX48" s="4441"/>
      <c r="AY48" s="4441"/>
      <c r="AZ48" s="4441"/>
      <c r="BA48" s="4441"/>
      <c r="BB48" s="4441"/>
      <c r="BC48" s="4441"/>
      <c r="BD48" s="4441"/>
      <c r="BE48" s="4441"/>
      <c r="BF48" s="3186"/>
      <c r="BG48" s="3186"/>
      <c r="BH48" s="4455"/>
      <c r="BI48" s="2666"/>
      <c r="BJ48" s="3177"/>
      <c r="BK48" s="4456"/>
      <c r="BL48" s="4076"/>
      <c r="BM48" s="4456"/>
      <c r="BN48" s="4447"/>
      <c r="BO48" s="3318"/>
      <c r="BT48" s="367"/>
    </row>
    <row r="49" spans="1:72" ht="53.25" customHeight="1" x14ac:dyDescent="0.2">
      <c r="A49" s="374"/>
      <c r="B49" s="374"/>
      <c r="C49" s="3224"/>
      <c r="D49" s="3225"/>
      <c r="E49" s="980"/>
      <c r="F49" s="981"/>
      <c r="G49" s="3177"/>
      <c r="H49" s="3177"/>
      <c r="I49" s="3177"/>
      <c r="J49" s="4441"/>
      <c r="K49" s="4443"/>
      <c r="L49" s="4471"/>
      <c r="M49" s="4472"/>
      <c r="N49" s="3180"/>
      <c r="O49" s="4453"/>
      <c r="P49" s="4463"/>
      <c r="Q49" s="3180"/>
      <c r="R49" s="3177"/>
      <c r="S49" s="2653" t="s">
        <v>858</v>
      </c>
      <c r="T49" s="2652">
        <v>9000000</v>
      </c>
      <c r="U49" s="2652"/>
      <c r="V49" s="2652"/>
      <c r="W49" s="2646" t="s">
        <v>689</v>
      </c>
      <c r="X49" s="2647" t="s">
        <v>368</v>
      </c>
      <c r="Y49" s="4441"/>
      <c r="Z49" s="4441"/>
      <c r="AA49" s="4461"/>
      <c r="AB49" s="4461"/>
      <c r="AC49" s="4441"/>
      <c r="AD49" s="4441"/>
      <c r="AE49" s="4441"/>
      <c r="AF49" s="4441"/>
      <c r="AG49" s="4441"/>
      <c r="AH49" s="4441"/>
      <c r="AI49" s="4441"/>
      <c r="AJ49" s="2664"/>
      <c r="AK49" s="4460"/>
      <c r="AL49" s="2668"/>
      <c r="AM49" s="4441"/>
      <c r="AN49" s="2664"/>
      <c r="AO49" s="4441"/>
      <c r="AP49" s="4441"/>
      <c r="AQ49" s="4441"/>
      <c r="AR49" s="4441"/>
      <c r="AS49" s="4441"/>
      <c r="AT49" s="4441"/>
      <c r="AU49" s="4441"/>
      <c r="AV49" s="4441"/>
      <c r="AW49" s="4441"/>
      <c r="AX49" s="4441"/>
      <c r="AY49" s="4441"/>
      <c r="AZ49" s="4441"/>
      <c r="BA49" s="4441"/>
      <c r="BB49" s="4441"/>
      <c r="BC49" s="4441"/>
      <c r="BD49" s="4441"/>
      <c r="BE49" s="4441"/>
      <c r="BF49" s="3186"/>
      <c r="BG49" s="3186"/>
      <c r="BH49" s="4455"/>
      <c r="BI49" s="2666"/>
      <c r="BJ49" s="3177"/>
      <c r="BK49" s="4456"/>
      <c r="BL49" s="4076"/>
      <c r="BM49" s="4456"/>
      <c r="BN49" s="4447"/>
      <c r="BO49" s="3318"/>
      <c r="BT49" s="367"/>
    </row>
    <row r="50" spans="1:72" ht="53.25" customHeight="1" x14ac:dyDescent="0.2">
      <c r="A50" s="374"/>
      <c r="B50" s="374"/>
      <c r="C50" s="3224"/>
      <c r="D50" s="3225"/>
      <c r="E50" s="980"/>
      <c r="F50" s="981"/>
      <c r="G50" s="3178"/>
      <c r="H50" s="3178"/>
      <c r="I50" s="3178"/>
      <c r="J50" s="4448"/>
      <c r="K50" s="4465"/>
      <c r="L50" s="4471"/>
      <c r="M50" s="4472"/>
      <c r="N50" s="3180"/>
      <c r="O50" s="4462"/>
      <c r="P50" s="4463"/>
      <c r="Q50" s="3180"/>
      <c r="R50" s="3178"/>
      <c r="S50" s="2653" t="s">
        <v>859</v>
      </c>
      <c r="T50" s="2652">
        <v>1000000</v>
      </c>
      <c r="U50" s="2652"/>
      <c r="V50" s="2652"/>
      <c r="W50" s="2646" t="s">
        <v>689</v>
      </c>
      <c r="X50" s="2647" t="s">
        <v>368</v>
      </c>
      <c r="Y50" s="4441"/>
      <c r="Z50" s="4441"/>
      <c r="AA50" s="4461"/>
      <c r="AB50" s="4461"/>
      <c r="AC50" s="4441"/>
      <c r="AD50" s="4441"/>
      <c r="AE50" s="4441"/>
      <c r="AF50" s="4441"/>
      <c r="AG50" s="4441"/>
      <c r="AH50" s="4441"/>
      <c r="AI50" s="4441"/>
      <c r="AJ50" s="2664"/>
      <c r="AK50" s="4460"/>
      <c r="AL50" s="2668"/>
      <c r="AM50" s="4441"/>
      <c r="AN50" s="2664"/>
      <c r="AO50" s="4441"/>
      <c r="AP50" s="4441"/>
      <c r="AQ50" s="4441"/>
      <c r="AR50" s="4441"/>
      <c r="AS50" s="4441"/>
      <c r="AT50" s="4441"/>
      <c r="AU50" s="4441"/>
      <c r="AV50" s="4441"/>
      <c r="AW50" s="4441"/>
      <c r="AX50" s="4441"/>
      <c r="AY50" s="4441"/>
      <c r="AZ50" s="4441"/>
      <c r="BA50" s="4441"/>
      <c r="BB50" s="4441"/>
      <c r="BC50" s="4441"/>
      <c r="BD50" s="4441"/>
      <c r="BE50" s="4441"/>
      <c r="BF50" s="3186"/>
      <c r="BG50" s="3186"/>
      <c r="BH50" s="4455"/>
      <c r="BI50" s="2666"/>
      <c r="BJ50" s="3177"/>
      <c r="BK50" s="4456"/>
      <c r="BL50" s="4076"/>
      <c r="BM50" s="4456"/>
      <c r="BN50" s="4447"/>
      <c r="BO50" s="3318"/>
      <c r="BT50" s="367"/>
    </row>
    <row r="51" spans="1:72" ht="53.25" customHeight="1" x14ac:dyDescent="0.2">
      <c r="A51" s="374"/>
      <c r="B51" s="374"/>
      <c r="C51" s="3224"/>
      <c r="D51" s="3225"/>
      <c r="E51" s="980"/>
      <c r="F51" s="981"/>
      <c r="G51" s="3176">
        <v>188</v>
      </c>
      <c r="H51" s="3176" t="s">
        <v>860</v>
      </c>
      <c r="I51" s="3179" t="s">
        <v>861</v>
      </c>
      <c r="J51" s="4440">
        <v>2</v>
      </c>
      <c r="K51" s="4449">
        <v>1</v>
      </c>
      <c r="L51" s="4471"/>
      <c r="M51" s="4472"/>
      <c r="N51" s="3180"/>
      <c r="O51" s="4452">
        <f>SUM(T51:T53)/P45</f>
        <v>0.33333333333333331</v>
      </c>
      <c r="P51" s="4463"/>
      <c r="Q51" s="3180"/>
      <c r="R51" s="3176" t="s">
        <v>860</v>
      </c>
      <c r="S51" s="2653" t="s">
        <v>862</v>
      </c>
      <c r="T51" s="2652">
        <v>30000000</v>
      </c>
      <c r="U51" s="2652">
        <v>17599500</v>
      </c>
      <c r="V51" s="2652">
        <v>6031000</v>
      </c>
      <c r="W51" s="2646" t="s">
        <v>689</v>
      </c>
      <c r="X51" s="2647" t="s">
        <v>368</v>
      </c>
      <c r="Y51" s="4441"/>
      <c r="Z51" s="4441"/>
      <c r="AA51" s="4461"/>
      <c r="AB51" s="4461"/>
      <c r="AC51" s="4441"/>
      <c r="AD51" s="4441"/>
      <c r="AE51" s="4441"/>
      <c r="AF51" s="4441"/>
      <c r="AG51" s="4441"/>
      <c r="AH51" s="4441"/>
      <c r="AI51" s="4441"/>
      <c r="AJ51" s="2664"/>
      <c r="AK51" s="4460"/>
      <c r="AL51" s="2668"/>
      <c r="AM51" s="4441"/>
      <c r="AN51" s="2664"/>
      <c r="AO51" s="4441"/>
      <c r="AP51" s="4441"/>
      <c r="AQ51" s="4441"/>
      <c r="AR51" s="4441"/>
      <c r="AS51" s="4441"/>
      <c r="AT51" s="4441"/>
      <c r="AU51" s="4441"/>
      <c r="AV51" s="4441"/>
      <c r="AW51" s="4441"/>
      <c r="AX51" s="4441"/>
      <c r="AY51" s="4441"/>
      <c r="AZ51" s="4441"/>
      <c r="BA51" s="4441"/>
      <c r="BB51" s="4441"/>
      <c r="BC51" s="4441"/>
      <c r="BD51" s="4441"/>
      <c r="BE51" s="4441"/>
      <c r="BF51" s="3186"/>
      <c r="BG51" s="3186"/>
      <c r="BH51" s="4455"/>
      <c r="BI51" s="2666" t="s">
        <v>863</v>
      </c>
      <c r="BJ51" s="3177"/>
      <c r="BK51" s="4456"/>
      <c r="BL51" s="4076"/>
      <c r="BM51" s="4456"/>
      <c r="BN51" s="4447"/>
      <c r="BO51" s="3318"/>
      <c r="BT51" s="367"/>
    </row>
    <row r="52" spans="1:72" ht="53.25" customHeight="1" x14ac:dyDescent="0.2">
      <c r="A52" s="374"/>
      <c r="B52" s="374"/>
      <c r="C52" s="3224"/>
      <c r="D52" s="3225"/>
      <c r="E52" s="980"/>
      <c r="F52" s="981"/>
      <c r="G52" s="3177"/>
      <c r="H52" s="3177"/>
      <c r="I52" s="3180"/>
      <c r="J52" s="4441"/>
      <c r="K52" s="4450"/>
      <c r="L52" s="4471"/>
      <c r="M52" s="4472"/>
      <c r="N52" s="3180"/>
      <c r="O52" s="4453"/>
      <c r="P52" s="4463"/>
      <c r="Q52" s="3180"/>
      <c r="R52" s="3177"/>
      <c r="S52" s="2653" t="s">
        <v>864</v>
      </c>
      <c r="T52" s="2652">
        <v>7000000</v>
      </c>
      <c r="U52" s="2652">
        <v>7000000</v>
      </c>
      <c r="V52" s="2652"/>
      <c r="W52" s="2646" t="s">
        <v>689</v>
      </c>
      <c r="X52" s="2647" t="s">
        <v>368</v>
      </c>
      <c r="Y52" s="4441"/>
      <c r="Z52" s="4441"/>
      <c r="AA52" s="4461"/>
      <c r="AB52" s="4461"/>
      <c r="AC52" s="4441"/>
      <c r="AD52" s="4441"/>
      <c r="AE52" s="4441"/>
      <c r="AF52" s="4441"/>
      <c r="AG52" s="4441"/>
      <c r="AH52" s="4441"/>
      <c r="AI52" s="4441"/>
      <c r="AJ52" s="2664"/>
      <c r="AK52" s="4460"/>
      <c r="AL52" s="2668"/>
      <c r="AM52" s="4441"/>
      <c r="AN52" s="2664"/>
      <c r="AO52" s="4441"/>
      <c r="AP52" s="4441"/>
      <c r="AQ52" s="4441"/>
      <c r="AR52" s="4441"/>
      <c r="AS52" s="4441"/>
      <c r="AT52" s="4441"/>
      <c r="AU52" s="4441"/>
      <c r="AV52" s="4441"/>
      <c r="AW52" s="4441"/>
      <c r="AX52" s="4441"/>
      <c r="AY52" s="4441"/>
      <c r="AZ52" s="4441"/>
      <c r="BA52" s="4441"/>
      <c r="BB52" s="4441"/>
      <c r="BC52" s="4441"/>
      <c r="BD52" s="4441"/>
      <c r="BE52" s="4441"/>
      <c r="BF52" s="3186"/>
      <c r="BG52" s="3186"/>
      <c r="BH52" s="4455"/>
      <c r="BI52" s="2666"/>
      <c r="BJ52" s="3177"/>
      <c r="BK52" s="4456"/>
      <c r="BL52" s="4076"/>
      <c r="BM52" s="4456"/>
      <c r="BN52" s="4447"/>
      <c r="BO52" s="3318"/>
      <c r="BT52" s="367"/>
    </row>
    <row r="53" spans="1:72" ht="53.25" customHeight="1" x14ac:dyDescent="0.2">
      <c r="A53" s="374"/>
      <c r="B53" s="374"/>
      <c r="C53" s="3224"/>
      <c r="D53" s="3225"/>
      <c r="E53" s="980"/>
      <c r="F53" s="981"/>
      <c r="G53" s="3177"/>
      <c r="H53" s="3177"/>
      <c r="I53" s="3181"/>
      <c r="J53" s="4448"/>
      <c r="K53" s="4451"/>
      <c r="L53" s="4471"/>
      <c r="M53" s="4472"/>
      <c r="N53" s="3180"/>
      <c r="O53" s="4453"/>
      <c r="P53" s="4464"/>
      <c r="Q53" s="3180"/>
      <c r="R53" s="3177"/>
      <c r="S53" s="2653" t="s">
        <v>865</v>
      </c>
      <c r="T53" s="2652">
        <v>3000000</v>
      </c>
      <c r="U53" s="2652">
        <v>2540000</v>
      </c>
      <c r="V53" s="2652"/>
      <c r="W53" s="2646" t="s">
        <v>689</v>
      </c>
      <c r="X53" s="2647" t="s">
        <v>368</v>
      </c>
      <c r="Y53" s="4441"/>
      <c r="Z53" s="4441"/>
      <c r="AA53" s="4461"/>
      <c r="AB53" s="4461"/>
      <c r="AC53" s="4441"/>
      <c r="AD53" s="4441"/>
      <c r="AE53" s="4441"/>
      <c r="AF53" s="4441"/>
      <c r="AG53" s="4441"/>
      <c r="AH53" s="4441"/>
      <c r="AI53" s="4441"/>
      <c r="AJ53" s="2664"/>
      <c r="AK53" s="4460"/>
      <c r="AL53" s="2668"/>
      <c r="AM53" s="4441"/>
      <c r="AN53" s="2664"/>
      <c r="AO53" s="4441"/>
      <c r="AP53" s="4441"/>
      <c r="AQ53" s="4441"/>
      <c r="AR53" s="4441"/>
      <c r="AS53" s="4441"/>
      <c r="AT53" s="4441"/>
      <c r="AU53" s="4441"/>
      <c r="AV53" s="4441"/>
      <c r="AW53" s="4441"/>
      <c r="AX53" s="4441"/>
      <c r="AY53" s="4441"/>
      <c r="AZ53" s="4441"/>
      <c r="BA53" s="4441"/>
      <c r="BB53" s="4441"/>
      <c r="BC53" s="4441"/>
      <c r="BD53" s="4441"/>
      <c r="BE53" s="4441"/>
      <c r="BF53" s="3186"/>
      <c r="BG53" s="3186"/>
      <c r="BH53" s="4455"/>
      <c r="BI53" s="2666"/>
      <c r="BJ53" s="3177"/>
      <c r="BK53" s="4457"/>
      <c r="BL53" s="4076"/>
      <c r="BM53" s="4457"/>
      <c r="BN53" s="4447"/>
      <c r="BO53" s="3318"/>
      <c r="BT53" s="367"/>
    </row>
    <row r="54" spans="1:72" ht="53.25" customHeight="1" x14ac:dyDescent="0.2">
      <c r="A54" s="374"/>
      <c r="B54" s="374"/>
      <c r="C54" s="3224"/>
      <c r="D54" s="3225"/>
      <c r="E54" s="980"/>
      <c r="F54" s="981"/>
      <c r="G54" s="3176">
        <v>189</v>
      </c>
      <c r="H54" s="3179" t="s">
        <v>866</v>
      </c>
      <c r="I54" s="3179" t="s">
        <v>867</v>
      </c>
      <c r="J54" s="4440">
        <v>1</v>
      </c>
      <c r="K54" s="4442">
        <v>0</v>
      </c>
      <c r="L54" s="4471"/>
      <c r="M54" s="4472"/>
      <c r="N54" s="3180"/>
      <c r="O54" s="4444">
        <f>SUM(T54:T56)/P45</f>
        <v>0.33333333333333331</v>
      </c>
      <c r="P54" s="4464"/>
      <c r="Q54" s="3180"/>
      <c r="R54" s="3179" t="s">
        <v>868</v>
      </c>
      <c r="S54" s="2642" t="s">
        <v>869</v>
      </c>
      <c r="T54" s="2652">
        <v>32000000</v>
      </c>
      <c r="U54" s="2652"/>
      <c r="V54" s="2652"/>
      <c r="W54" s="2646" t="s">
        <v>689</v>
      </c>
      <c r="X54" s="2647" t="s">
        <v>368</v>
      </c>
      <c r="Y54" s="4441"/>
      <c r="Z54" s="4441"/>
      <c r="AA54" s="4461"/>
      <c r="AB54" s="4461"/>
      <c r="AC54" s="4441"/>
      <c r="AD54" s="4441"/>
      <c r="AE54" s="4441"/>
      <c r="AF54" s="4441"/>
      <c r="AG54" s="4441"/>
      <c r="AH54" s="4441"/>
      <c r="AI54" s="4441"/>
      <c r="AJ54" s="2664"/>
      <c r="AK54" s="4460"/>
      <c r="AL54" s="2668"/>
      <c r="AM54" s="4441"/>
      <c r="AN54" s="2664"/>
      <c r="AO54" s="4441"/>
      <c r="AP54" s="4441"/>
      <c r="AQ54" s="4441"/>
      <c r="AR54" s="4441"/>
      <c r="AS54" s="4441"/>
      <c r="AT54" s="4441"/>
      <c r="AU54" s="4441"/>
      <c r="AV54" s="4441"/>
      <c r="AW54" s="4441"/>
      <c r="AX54" s="4441"/>
      <c r="AY54" s="4441"/>
      <c r="AZ54" s="4441"/>
      <c r="BA54" s="4441"/>
      <c r="BB54" s="4441"/>
      <c r="BC54" s="4441"/>
      <c r="BD54" s="4441"/>
      <c r="BE54" s="4441"/>
      <c r="BF54" s="3186"/>
      <c r="BG54" s="3186"/>
      <c r="BH54" s="4455"/>
      <c r="BI54" s="2666"/>
      <c r="BJ54" s="3177"/>
      <c r="BK54" s="4457"/>
      <c r="BL54" s="4076"/>
      <c r="BM54" s="4457"/>
      <c r="BN54" s="4447"/>
      <c r="BO54" s="3318"/>
      <c r="BT54" s="367"/>
    </row>
    <row r="55" spans="1:72" ht="53.25" customHeight="1" x14ac:dyDescent="0.2">
      <c r="C55" s="3224"/>
      <c r="D55" s="3225"/>
      <c r="E55" s="980"/>
      <c r="F55" s="981"/>
      <c r="G55" s="3177"/>
      <c r="H55" s="3180"/>
      <c r="I55" s="3180"/>
      <c r="J55" s="4441"/>
      <c r="K55" s="4443"/>
      <c r="L55" s="4471"/>
      <c r="M55" s="4472"/>
      <c r="N55" s="3180"/>
      <c r="O55" s="4445"/>
      <c r="P55" s="4464"/>
      <c r="Q55" s="3180"/>
      <c r="R55" s="3180"/>
      <c r="S55" s="2642" t="s">
        <v>870</v>
      </c>
      <c r="T55" s="2652">
        <v>4000000</v>
      </c>
      <c r="U55" s="2652"/>
      <c r="V55" s="2652"/>
      <c r="W55" s="2646" t="s">
        <v>689</v>
      </c>
      <c r="X55" s="2647" t="s">
        <v>368</v>
      </c>
      <c r="Y55" s="4441"/>
      <c r="Z55" s="4441"/>
      <c r="AA55" s="4461"/>
      <c r="AB55" s="4461"/>
      <c r="AC55" s="4441"/>
      <c r="AD55" s="4441"/>
      <c r="AE55" s="4441"/>
      <c r="AF55" s="4441"/>
      <c r="AG55" s="4441"/>
      <c r="AH55" s="4441"/>
      <c r="AI55" s="4441"/>
      <c r="AJ55" s="2664"/>
      <c r="AK55" s="4460"/>
      <c r="AL55" s="2668"/>
      <c r="AM55" s="4441"/>
      <c r="AN55" s="2664"/>
      <c r="AO55" s="4441"/>
      <c r="AP55" s="4441"/>
      <c r="AQ55" s="4441"/>
      <c r="AR55" s="4441"/>
      <c r="AS55" s="4441"/>
      <c r="AT55" s="4441"/>
      <c r="AU55" s="4441"/>
      <c r="AV55" s="4441"/>
      <c r="AW55" s="4441"/>
      <c r="AX55" s="4441"/>
      <c r="AY55" s="4441"/>
      <c r="AZ55" s="4441"/>
      <c r="BA55" s="4441"/>
      <c r="BB55" s="4441"/>
      <c r="BC55" s="4441"/>
      <c r="BD55" s="4441"/>
      <c r="BE55" s="4441"/>
      <c r="BF55" s="3186"/>
      <c r="BG55" s="3186"/>
      <c r="BH55" s="4455"/>
      <c r="BI55" s="2666"/>
      <c r="BJ55" s="3177"/>
      <c r="BK55" s="4457"/>
      <c r="BL55" s="4076"/>
      <c r="BM55" s="4457"/>
      <c r="BN55" s="4447"/>
      <c r="BO55" s="3318"/>
      <c r="BT55" s="367"/>
    </row>
    <row r="56" spans="1:72" ht="53.25" customHeight="1" x14ac:dyDescent="0.2">
      <c r="C56" s="3226"/>
      <c r="D56" s="3227"/>
      <c r="E56" s="980"/>
      <c r="F56" s="981"/>
      <c r="G56" s="3177"/>
      <c r="H56" s="3180"/>
      <c r="I56" s="3180"/>
      <c r="J56" s="4441"/>
      <c r="K56" s="4443"/>
      <c r="L56" s="4471"/>
      <c r="M56" s="4472"/>
      <c r="N56" s="3180"/>
      <c r="O56" s="4445"/>
      <c r="P56" s="4464"/>
      <c r="Q56" s="3180"/>
      <c r="R56" s="3180"/>
      <c r="S56" s="2642" t="s">
        <v>871</v>
      </c>
      <c r="T56" s="2652">
        <v>4000000</v>
      </c>
      <c r="U56" s="2652"/>
      <c r="V56" s="2652"/>
      <c r="W56" s="2646" t="s">
        <v>689</v>
      </c>
      <c r="X56" s="2647" t="s">
        <v>368</v>
      </c>
      <c r="Y56" s="4441"/>
      <c r="Z56" s="4441"/>
      <c r="AA56" s="4461"/>
      <c r="AB56" s="4461"/>
      <c r="AC56" s="4441"/>
      <c r="AD56" s="4441"/>
      <c r="AE56" s="4441"/>
      <c r="AF56" s="4441"/>
      <c r="AG56" s="4441"/>
      <c r="AH56" s="4441"/>
      <c r="AI56" s="4441"/>
      <c r="AJ56" s="2664"/>
      <c r="AK56" s="4460"/>
      <c r="AL56" s="2668"/>
      <c r="AM56" s="4441"/>
      <c r="AN56" s="2664"/>
      <c r="AO56" s="4441"/>
      <c r="AP56" s="4441"/>
      <c r="AQ56" s="4441"/>
      <c r="AR56" s="4441"/>
      <c r="AS56" s="4441"/>
      <c r="AT56" s="4441"/>
      <c r="AU56" s="4441"/>
      <c r="AV56" s="4441"/>
      <c r="AW56" s="4441"/>
      <c r="AX56" s="4441"/>
      <c r="AY56" s="4441"/>
      <c r="AZ56" s="4441"/>
      <c r="BA56" s="4441"/>
      <c r="BB56" s="4441"/>
      <c r="BC56" s="4441"/>
      <c r="BD56" s="4441"/>
      <c r="BE56" s="4441"/>
      <c r="BF56" s="3186"/>
      <c r="BG56" s="3186"/>
      <c r="BH56" s="4455"/>
      <c r="BI56" s="2666"/>
      <c r="BJ56" s="3177"/>
      <c r="BK56" s="4457"/>
      <c r="BL56" s="4076"/>
      <c r="BM56" s="4457"/>
      <c r="BN56" s="4447"/>
      <c r="BO56" s="3318"/>
      <c r="BT56" s="367"/>
    </row>
    <row r="57" spans="1:72" x14ac:dyDescent="0.2">
      <c r="C57" s="1004">
        <v>16</v>
      </c>
      <c r="D57" s="1005" t="s">
        <v>762</v>
      </c>
      <c r="E57" s="1006"/>
      <c r="F57" s="1006"/>
      <c r="G57" s="1006"/>
      <c r="H57" s="1007"/>
      <c r="I57" s="1007"/>
      <c r="J57" s="1006"/>
      <c r="K57" s="1006"/>
      <c r="L57" s="1006"/>
      <c r="M57" s="1006"/>
      <c r="N57" s="1007"/>
      <c r="O57" s="1008"/>
      <c r="P57" s="1009"/>
      <c r="Q57" s="1007"/>
      <c r="R57" s="1007"/>
      <c r="S57" s="1007"/>
      <c r="T57" s="1010"/>
      <c r="U57" s="1010"/>
      <c r="V57" s="1010"/>
      <c r="W57" s="1011"/>
      <c r="X57" s="1011"/>
      <c r="Y57" s="1006"/>
      <c r="Z57" s="1006"/>
      <c r="AA57" s="1006"/>
      <c r="AB57" s="1006"/>
      <c r="AC57" s="1006"/>
      <c r="AD57" s="1006"/>
      <c r="AE57" s="1006"/>
      <c r="AF57" s="1006"/>
      <c r="AG57" s="1006"/>
      <c r="AH57" s="1006"/>
      <c r="AI57" s="1006"/>
      <c r="AJ57" s="1006"/>
      <c r="AK57" s="1006"/>
      <c r="AL57" s="1006"/>
      <c r="AM57" s="1006"/>
      <c r="AN57" s="1006"/>
      <c r="AO57" s="1006"/>
      <c r="AP57" s="1006"/>
      <c r="AQ57" s="1006"/>
      <c r="AR57" s="1006"/>
      <c r="AS57" s="1006"/>
      <c r="AT57" s="1006"/>
      <c r="AU57" s="1006"/>
      <c r="AV57" s="1006"/>
      <c r="AW57" s="1006"/>
      <c r="AX57" s="1006"/>
      <c r="AY57" s="1006"/>
      <c r="AZ57" s="1006"/>
      <c r="BA57" s="1006"/>
      <c r="BB57" s="1006"/>
      <c r="BC57" s="1006"/>
      <c r="BD57" s="1006"/>
      <c r="BE57" s="1006"/>
      <c r="BF57" s="1009"/>
      <c r="BG57" s="1009"/>
      <c r="BH57" s="1006"/>
      <c r="BI57" s="1006"/>
      <c r="BJ57" s="1006"/>
      <c r="BK57" s="1006"/>
      <c r="BL57" s="1006"/>
      <c r="BM57" s="1006"/>
      <c r="BN57" s="1006"/>
      <c r="BO57" s="1012"/>
    </row>
    <row r="58" spans="1:72" x14ac:dyDescent="0.2">
      <c r="C58" s="3914"/>
      <c r="D58" s="3915"/>
      <c r="E58" s="182">
        <v>61</v>
      </c>
      <c r="F58" s="1013" t="s">
        <v>872</v>
      </c>
      <c r="G58" s="1014"/>
      <c r="H58" s="1015"/>
      <c r="I58" s="1015"/>
      <c r="J58" s="1014"/>
      <c r="K58" s="1014"/>
      <c r="L58" s="1014"/>
      <c r="M58" s="1014"/>
      <c r="N58" s="153"/>
      <c r="O58" s="1016"/>
      <c r="P58" s="1017"/>
      <c r="Q58" s="1015"/>
      <c r="R58" s="1015"/>
      <c r="S58" s="1015"/>
      <c r="T58" s="156"/>
      <c r="U58" s="156"/>
      <c r="V58" s="156"/>
      <c r="W58" s="152"/>
      <c r="X58" s="152"/>
      <c r="Y58" s="1014"/>
      <c r="Z58" s="1014"/>
      <c r="AA58" s="1014"/>
      <c r="AB58" s="1014"/>
      <c r="AC58" s="1014"/>
      <c r="AD58" s="1014"/>
      <c r="AE58" s="1014"/>
      <c r="AF58" s="1014"/>
      <c r="AG58" s="1014"/>
      <c r="AH58" s="1014"/>
      <c r="AI58" s="1014"/>
      <c r="AJ58" s="1014"/>
      <c r="AK58" s="1014"/>
      <c r="AL58" s="1014"/>
      <c r="AM58" s="1014"/>
      <c r="AN58" s="1014"/>
      <c r="AO58" s="1014"/>
      <c r="AP58" s="1014"/>
      <c r="AQ58" s="1014"/>
      <c r="AR58" s="1014"/>
      <c r="AS58" s="1014"/>
      <c r="AT58" s="1014"/>
      <c r="AU58" s="1014"/>
      <c r="AV58" s="1014"/>
      <c r="AW58" s="1014"/>
      <c r="AX58" s="1014"/>
      <c r="AY58" s="1014"/>
      <c r="AZ58" s="1014"/>
      <c r="BA58" s="1014"/>
      <c r="BB58" s="1014"/>
      <c r="BC58" s="1014"/>
      <c r="BD58" s="1014"/>
      <c r="BE58" s="1014"/>
      <c r="BF58" s="1017"/>
      <c r="BG58" s="1017"/>
      <c r="BH58" s="1014"/>
      <c r="BI58" s="1014"/>
      <c r="BJ58" s="1014"/>
      <c r="BK58" s="1014"/>
      <c r="BL58" s="1014"/>
      <c r="BM58" s="1014"/>
      <c r="BN58" s="1014"/>
      <c r="BO58" s="282"/>
    </row>
    <row r="59" spans="1:72" ht="55.5" customHeight="1" x14ac:dyDescent="0.2">
      <c r="C59" s="3398"/>
      <c r="D59" s="3916"/>
      <c r="E59" s="1018"/>
      <c r="F59" s="1019"/>
      <c r="G59" s="3190">
        <v>190</v>
      </c>
      <c r="H59" s="3955" t="s">
        <v>873</v>
      </c>
      <c r="I59" s="3955" t="s">
        <v>874</v>
      </c>
      <c r="J59" s="3202">
        <v>1</v>
      </c>
      <c r="K59" s="3202">
        <v>0.32</v>
      </c>
      <c r="L59" s="4434" t="s">
        <v>875</v>
      </c>
      <c r="M59" s="4436" t="s">
        <v>876</v>
      </c>
      <c r="N59" s="3919" t="s">
        <v>877</v>
      </c>
      <c r="O59" s="4423">
        <f>SUM(T59:T74)/P59</f>
        <v>1</v>
      </c>
      <c r="P59" s="3524">
        <f>SUM(T59:T74)</f>
        <v>190000000</v>
      </c>
      <c r="Q59" s="4437" t="s">
        <v>878</v>
      </c>
      <c r="R59" s="3954" t="s">
        <v>879</v>
      </c>
      <c r="S59" s="2657" t="s">
        <v>880</v>
      </c>
      <c r="T59" s="991">
        <v>5280000</v>
      </c>
      <c r="U59" s="991">
        <v>3990000</v>
      </c>
      <c r="V59" s="991">
        <v>798000</v>
      </c>
      <c r="W59" s="2646" t="s">
        <v>689</v>
      </c>
      <c r="X59" s="2647" t="s">
        <v>368</v>
      </c>
      <c r="Y59" s="4433">
        <v>1500</v>
      </c>
      <c r="Z59" s="4430">
        <v>150</v>
      </c>
      <c r="AA59" s="4433">
        <v>1500</v>
      </c>
      <c r="AB59" s="4430">
        <v>150</v>
      </c>
      <c r="AC59" s="4433">
        <v>480</v>
      </c>
      <c r="AD59" s="4430">
        <v>50</v>
      </c>
      <c r="AE59" s="4433">
        <v>480</v>
      </c>
      <c r="AF59" s="4430">
        <v>30</v>
      </c>
      <c r="AG59" s="4433">
        <v>1000</v>
      </c>
      <c r="AH59" s="4430">
        <v>120</v>
      </c>
      <c r="AI59" s="4433">
        <v>1000</v>
      </c>
      <c r="AJ59" s="4430">
        <v>60</v>
      </c>
      <c r="AK59" s="4433">
        <v>20</v>
      </c>
      <c r="AL59" s="4430">
        <v>0</v>
      </c>
      <c r="AM59" s="4433">
        <v>20</v>
      </c>
      <c r="AN59" s="4430">
        <v>0</v>
      </c>
      <c r="AO59" s="4433"/>
      <c r="AP59" s="4430"/>
      <c r="AQ59" s="4433"/>
      <c r="AR59" s="4430"/>
      <c r="AS59" s="4433"/>
      <c r="AT59" s="4430"/>
      <c r="AU59" s="4433"/>
      <c r="AV59" s="4430"/>
      <c r="AW59" s="4433">
        <v>3000</v>
      </c>
      <c r="AX59" s="4430">
        <v>20</v>
      </c>
      <c r="AY59" s="3289"/>
      <c r="AZ59" s="3594"/>
      <c r="BA59" s="3289"/>
      <c r="BB59" s="3594"/>
      <c r="BC59" s="3289">
        <f>SUM(Y59:AA74)</f>
        <v>3150</v>
      </c>
      <c r="BD59" s="2645"/>
      <c r="BE59" s="2645"/>
      <c r="BF59" s="3408">
        <f>SUM(U59:U74)</f>
        <v>59880000</v>
      </c>
      <c r="BG59" s="3408">
        <f>SUM(V59:V74)</f>
        <v>11976000</v>
      </c>
      <c r="BH59" s="4426">
        <f>+BG59/BF59</f>
        <v>0.2</v>
      </c>
      <c r="BI59" s="3594">
        <v>20</v>
      </c>
      <c r="BJ59" s="3190" t="s">
        <v>881</v>
      </c>
      <c r="BK59" s="4425">
        <v>43467</v>
      </c>
      <c r="BL59" s="4425">
        <v>43467</v>
      </c>
      <c r="BM59" s="4425">
        <v>43830</v>
      </c>
      <c r="BN59" s="4425">
        <v>43830</v>
      </c>
      <c r="BO59" s="3954" t="s">
        <v>882</v>
      </c>
    </row>
    <row r="60" spans="1:72" ht="55.5" customHeight="1" x14ac:dyDescent="0.2">
      <c r="C60" s="3398"/>
      <c r="D60" s="3916"/>
      <c r="E60" s="1020"/>
      <c r="F60" s="1019"/>
      <c r="G60" s="3191"/>
      <c r="H60" s="3963"/>
      <c r="I60" s="3963"/>
      <c r="J60" s="3203"/>
      <c r="K60" s="3203"/>
      <c r="L60" s="4435"/>
      <c r="M60" s="4422"/>
      <c r="N60" s="3929"/>
      <c r="O60" s="4424"/>
      <c r="P60" s="3525"/>
      <c r="Q60" s="4438"/>
      <c r="R60" s="3954"/>
      <c r="S60" s="2657" t="s">
        <v>883</v>
      </c>
      <c r="T60" s="1021">
        <v>5000000</v>
      </c>
      <c r="U60" s="991">
        <v>0</v>
      </c>
      <c r="V60" s="991">
        <v>0</v>
      </c>
      <c r="W60" s="2646" t="s">
        <v>689</v>
      </c>
      <c r="X60" s="2647" t="s">
        <v>368</v>
      </c>
      <c r="Y60" s="4433"/>
      <c r="Z60" s="4431"/>
      <c r="AA60" s="4433"/>
      <c r="AB60" s="4431"/>
      <c r="AC60" s="4433"/>
      <c r="AD60" s="4431"/>
      <c r="AE60" s="4433"/>
      <c r="AF60" s="4431"/>
      <c r="AG60" s="4433"/>
      <c r="AH60" s="4431"/>
      <c r="AI60" s="4433"/>
      <c r="AJ60" s="4431"/>
      <c r="AK60" s="4433"/>
      <c r="AL60" s="4431"/>
      <c r="AM60" s="4433"/>
      <c r="AN60" s="4431"/>
      <c r="AO60" s="4433"/>
      <c r="AP60" s="4431"/>
      <c r="AQ60" s="4433"/>
      <c r="AR60" s="4431"/>
      <c r="AS60" s="4433"/>
      <c r="AT60" s="4431"/>
      <c r="AU60" s="4433"/>
      <c r="AV60" s="4431"/>
      <c r="AW60" s="4433"/>
      <c r="AX60" s="4431"/>
      <c r="AY60" s="3289"/>
      <c r="AZ60" s="3595"/>
      <c r="BA60" s="3289"/>
      <c r="BB60" s="3595"/>
      <c r="BC60" s="3289"/>
      <c r="BD60" s="4427">
        <f>+Z59+AB59+AD59+AF59+AH59+AJ59+AL59+AN59+AP64+AR64+AT64+AV64+AX59+AZ64+BB64</f>
        <v>580</v>
      </c>
      <c r="BE60" s="3594">
        <v>4</v>
      </c>
      <c r="BF60" s="3409"/>
      <c r="BG60" s="3409"/>
      <c r="BH60" s="3595"/>
      <c r="BI60" s="3595"/>
      <c r="BJ60" s="3191"/>
      <c r="BK60" s="4425"/>
      <c r="BL60" s="4425"/>
      <c r="BM60" s="4425"/>
      <c r="BN60" s="4425"/>
      <c r="BO60" s="3954"/>
    </row>
    <row r="61" spans="1:72" ht="55.5" customHeight="1" x14ac:dyDescent="0.2">
      <c r="C61" s="3398"/>
      <c r="D61" s="3916"/>
      <c r="E61" s="1020"/>
      <c r="F61" s="1019"/>
      <c r="G61" s="3191"/>
      <c r="H61" s="3963"/>
      <c r="I61" s="3963"/>
      <c r="J61" s="3203"/>
      <c r="K61" s="3203"/>
      <c r="L61" s="4435"/>
      <c r="M61" s="4422"/>
      <c r="N61" s="3929"/>
      <c r="O61" s="4424"/>
      <c r="P61" s="3525"/>
      <c r="Q61" s="4438"/>
      <c r="R61" s="3954"/>
      <c r="S61" s="2657" t="s">
        <v>884</v>
      </c>
      <c r="T61" s="1021">
        <v>4000000</v>
      </c>
      <c r="U61" s="991">
        <v>2000000</v>
      </c>
      <c r="V61" s="991">
        <v>400000</v>
      </c>
      <c r="W61" s="2646" t="s">
        <v>689</v>
      </c>
      <c r="X61" s="2647" t="s">
        <v>368</v>
      </c>
      <c r="Y61" s="4433"/>
      <c r="Z61" s="4431"/>
      <c r="AA61" s="4433"/>
      <c r="AB61" s="4431"/>
      <c r="AC61" s="4433"/>
      <c r="AD61" s="4431"/>
      <c r="AE61" s="4433"/>
      <c r="AF61" s="4431"/>
      <c r="AG61" s="4433"/>
      <c r="AH61" s="4431"/>
      <c r="AI61" s="4433"/>
      <c r="AJ61" s="4431"/>
      <c r="AK61" s="4433"/>
      <c r="AL61" s="4431"/>
      <c r="AM61" s="4433"/>
      <c r="AN61" s="4431"/>
      <c r="AO61" s="4433"/>
      <c r="AP61" s="4431"/>
      <c r="AQ61" s="4433"/>
      <c r="AR61" s="4431"/>
      <c r="AS61" s="4433"/>
      <c r="AT61" s="4431"/>
      <c r="AU61" s="4433"/>
      <c r="AV61" s="4431"/>
      <c r="AW61" s="4433"/>
      <c r="AX61" s="4431"/>
      <c r="AY61" s="3289"/>
      <c r="AZ61" s="3595"/>
      <c r="BA61" s="3289"/>
      <c r="BB61" s="3595"/>
      <c r="BC61" s="3289"/>
      <c r="BD61" s="4428"/>
      <c r="BE61" s="3595"/>
      <c r="BF61" s="3409"/>
      <c r="BG61" s="3409"/>
      <c r="BH61" s="3595"/>
      <c r="BI61" s="3595"/>
      <c r="BJ61" s="3191"/>
      <c r="BK61" s="4425"/>
      <c r="BL61" s="4425"/>
      <c r="BM61" s="4425"/>
      <c r="BN61" s="4425"/>
      <c r="BO61" s="3954"/>
    </row>
    <row r="62" spans="1:72" ht="55.5" customHeight="1" x14ac:dyDescent="0.2">
      <c r="C62" s="3398"/>
      <c r="D62" s="3916"/>
      <c r="E62" s="1020"/>
      <c r="F62" s="1019"/>
      <c r="G62" s="3191"/>
      <c r="H62" s="3963"/>
      <c r="I62" s="3963"/>
      <c r="J62" s="3203"/>
      <c r="K62" s="3203"/>
      <c r="L62" s="4435"/>
      <c r="M62" s="4422"/>
      <c r="N62" s="3929"/>
      <c r="O62" s="4424"/>
      <c r="P62" s="3525"/>
      <c r="Q62" s="4438"/>
      <c r="R62" s="3954" t="s">
        <v>885</v>
      </c>
      <c r="S62" s="2657" t="s">
        <v>886</v>
      </c>
      <c r="T62" s="983">
        <f>22000000-2299000</f>
        <v>19701000</v>
      </c>
      <c r="U62" s="991">
        <v>8955000</v>
      </c>
      <c r="V62" s="991">
        <v>1791000</v>
      </c>
      <c r="W62" s="2646" t="s">
        <v>689</v>
      </c>
      <c r="X62" s="2647" t="s">
        <v>368</v>
      </c>
      <c r="Y62" s="4433"/>
      <c r="Z62" s="4431"/>
      <c r="AA62" s="4433"/>
      <c r="AB62" s="4431"/>
      <c r="AC62" s="4433"/>
      <c r="AD62" s="4431"/>
      <c r="AE62" s="4433"/>
      <c r="AF62" s="4431"/>
      <c r="AG62" s="4433"/>
      <c r="AH62" s="4431"/>
      <c r="AI62" s="4433"/>
      <c r="AJ62" s="4431"/>
      <c r="AK62" s="4433"/>
      <c r="AL62" s="4431"/>
      <c r="AM62" s="4433"/>
      <c r="AN62" s="4431"/>
      <c r="AO62" s="4433"/>
      <c r="AP62" s="4431"/>
      <c r="AQ62" s="4433"/>
      <c r="AR62" s="4431"/>
      <c r="AS62" s="4433"/>
      <c r="AT62" s="4431"/>
      <c r="AU62" s="4433"/>
      <c r="AV62" s="4431"/>
      <c r="AW62" s="4433"/>
      <c r="AX62" s="4431"/>
      <c r="AY62" s="3289"/>
      <c r="AZ62" s="3595"/>
      <c r="BA62" s="3289"/>
      <c r="BB62" s="3595"/>
      <c r="BC62" s="3289"/>
      <c r="BD62" s="4428"/>
      <c r="BE62" s="3595"/>
      <c r="BF62" s="3409"/>
      <c r="BG62" s="3409"/>
      <c r="BH62" s="3595"/>
      <c r="BI62" s="3595"/>
      <c r="BJ62" s="3191"/>
      <c r="BK62" s="4425"/>
      <c r="BL62" s="4425"/>
      <c r="BM62" s="4425"/>
      <c r="BN62" s="4425"/>
      <c r="BO62" s="3954"/>
    </row>
    <row r="63" spans="1:72" ht="55.5" customHeight="1" x14ac:dyDescent="0.2">
      <c r="C63" s="3398"/>
      <c r="D63" s="3916"/>
      <c r="E63" s="1020"/>
      <c r="F63" s="1019"/>
      <c r="G63" s="3191"/>
      <c r="H63" s="3963"/>
      <c r="I63" s="3963"/>
      <c r="J63" s="3203"/>
      <c r="K63" s="3203"/>
      <c r="L63" s="4435"/>
      <c r="M63" s="4422"/>
      <c r="N63" s="3929"/>
      <c r="O63" s="4424"/>
      <c r="P63" s="3525"/>
      <c r="Q63" s="4438"/>
      <c r="R63" s="3954"/>
      <c r="S63" s="2657" t="s">
        <v>887</v>
      </c>
      <c r="T63" s="983">
        <f>13010000-5000000</f>
        <v>8010000</v>
      </c>
      <c r="U63" s="991">
        <v>5000000</v>
      </c>
      <c r="V63" s="991">
        <v>1000000</v>
      </c>
      <c r="W63" s="2646" t="s">
        <v>689</v>
      </c>
      <c r="X63" s="2647" t="s">
        <v>368</v>
      </c>
      <c r="Y63" s="4433"/>
      <c r="Z63" s="4431"/>
      <c r="AA63" s="4433"/>
      <c r="AB63" s="4431"/>
      <c r="AC63" s="4433"/>
      <c r="AD63" s="4431"/>
      <c r="AE63" s="4433"/>
      <c r="AF63" s="4431"/>
      <c r="AG63" s="4433"/>
      <c r="AH63" s="4431"/>
      <c r="AI63" s="4433"/>
      <c r="AJ63" s="4431"/>
      <c r="AK63" s="4433"/>
      <c r="AL63" s="4431"/>
      <c r="AM63" s="4433"/>
      <c r="AN63" s="4431"/>
      <c r="AO63" s="4433"/>
      <c r="AP63" s="4431"/>
      <c r="AQ63" s="4433"/>
      <c r="AR63" s="4431"/>
      <c r="AS63" s="4433"/>
      <c r="AT63" s="4431"/>
      <c r="AU63" s="4433"/>
      <c r="AV63" s="4431"/>
      <c r="AW63" s="4433"/>
      <c r="AX63" s="4431"/>
      <c r="AY63" s="3289"/>
      <c r="AZ63" s="3595"/>
      <c r="BA63" s="3289"/>
      <c r="BB63" s="3595"/>
      <c r="BC63" s="3289"/>
      <c r="BD63" s="4428"/>
      <c r="BE63" s="3595"/>
      <c r="BF63" s="3409"/>
      <c r="BG63" s="3409"/>
      <c r="BH63" s="3595"/>
      <c r="BI63" s="3595"/>
      <c r="BJ63" s="3191"/>
      <c r="BK63" s="4425"/>
      <c r="BL63" s="4425"/>
      <c r="BM63" s="4425"/>
      <c r="BN63" s="4425"/>
      <c r="BO63" s="3954"/>
    </row>
    <row r="64" spans="1:72" ht="55.5" customHeight="1" x14ac:dyDescent="0.2">
      <c r="C64" s="3398"/>
      <c r="D64" s="3916"/>
      <c r="E64" s="1020"/>
      <c r="F64" s="1019"/>
      <c r="G64" s="3191"/>
      <c r="H64" s="3963"/>
      <c r="I64" s="3963"/>
      <c r="J64" s="3203"/>
      <c r="K64" s="3203"/>
      <c r="L64" s="4435"/>
      <c r="M64" s="4422"/>
      <c r="N64" s="3929"/>
      <c r="O64" s="4424"/>
      <c r="P64" s="3525"/>
      <c r="Q64" s="4438"/>
      <c r="R64" s="3954"/>
      <c r="S64" s="2657" t="s">
        <v>888</v>
      </c>
      <c r="T64" s="983">
        <v>6000000</v>
      </c>
      <c r="U64" s="991">
        <v>5455000</v>
      </c>
      <c r="V64" s="991">
        <f>600000+491000</f>
        <v>1091000</v>
      </c>
      <c r="W64" s="2646" t="s">
        <v>689</v>
      </c>
      <c r="X64" s="2647" t="s">
        <v>368</v>
      </c>
      <c r="Y64" s="4433"/>
      <c r="Z64" s="4431"/>
      <c r="AA64" s="4433"/>
      <c r="AB64" s="4431"/>
      <c r="AC64" s="4433"/>
      <c r="AD64" s="4431"/>
      <c r="AE64" s="4433"/>
      <c r="AF64" s="4431"/>
      <c r="AG64" s="4433"/>
      <c r="AH64" s="4431"/>
      <c r="AI64" s="4433"/>
      <c r="AJ64" s="4431"/>
      <c r="AK64" s="4433"/>
      <c r="AL64" s="4431"/>
      <c r="AM64" s="4433"/>
      <c r="AN64" s="4431"/>
      <c r="AO64" s="4433"/>
      <c r="AP64" s="4431"/>
      <c r="AQ64" s="4433"/>
      <c r="AR64" s="4431"/>
      <c r="AS64" s="4433"/>
      <c r="AT64" s="4431"/>
      <c r="AU64" s="4433"/>
      <c r="AV64" s="4431"/>
      <c r="AW64" s="4433"/>
      <c r="AX64" s="4431"/>
      <c r="AY64" s="3289"/>
      <c r="AZ64" s="3595"/>
      <c r="BA64" s="3289"/>
      <c r="BB64" s="3595"/>
      <c r="BC64" s="3289"/>
      <c r="BD64" s="4428"/>
      <c r="BE64" s="3595"/>
      <c r="BF64" s="3409"/>
      <c r="BG64" s="3409"/>
      <c r="BH64" s="3595"/>
      <c r="BI64" s="3595"/>
      <c r="BJ64" s="3191"/>
      <c r="BK64" s="4425"/>
      <c r="BL64" s="4425"/>
      <c r="BM64" s="4425"/>
      <c r="BN64" s="4425"/>
      <c r="BO64" s="3954"/>
    </row>
    <row r="65" spans="3:67" ht="55.5" customHeight="1" x14ac:dyDescent="0.2">
      <c r="C65" s="3398"/>
      <c r="D65" s="3916"/>
      <c r="E65" s="1020"/>
      <c r="F65" s="1019"/>
      <c r="G65" s="3191"/>
      <c r="H65" s="3963"/>
      <c r="I65" s="3963"/>
      <c r="J65" s="3203"/>
      <c r="K65" s="3203"/>
      <c r="L65" s="4435"/>
      <c r="M65" s="4422"/>
      <c r="N65" s="3929"/>
      <c r="O65" s="4424"/>
      <c r="P65" s="3525"/>
      <c r="Q65" s="4438"/>
      <c r="R65" s="3954"/>
      <c r="S65" s="2657" t="s">
        <v>889</v>
      </c>
      <c r="T65" s="983">
        <f>12580000-2580000</f>
        <v>10000000</v>
      </c>
      <c r="U65" s="991">
        <v>0</v>
      </c>
      <c r="V65" s="991">
        <v>0</v>
      </c>
      <c r="W65" s="2646" t="s">
        <v>689</v>
      </c>
      <c r="X65" s="2647" t="s">
        <v>368</v>
      </c>
      <c r="Y65" s="4433"/>
      <c r="Z65" s="4431"/>
      <c r="AA65" s="4433"/>
      <c r="AB65" s="4431"/>
      <c r="AC65" s="4433"/>
      <c r="AD65" s="4431"/>
      <c r="AE65" s="4433"/>
      <c r="AF65" s="4431"/>
      <c r="AG65" s="4433"/>
      <c r="AH65" s="4431"/>
      <c r="AI65" s="4433"/>
      <c r="AJ65" s="4431"/>
      <c r="AK65" s="4433"/>
      <c r="AL65" s="4431"/>
      <c r="AM65" s="4433"/>
      <c r="AN65" s="4431"/>
      <c r="AO65" s="4433"/>
      <c r="AP65" s="4431"/>
      <c r="AQ65" s="4433"/>
      <c r="AR65" s="4431"/>
      <c r="AS65" s="4433"/>
      <c r="AT65" s="4431"/>
      <c r="AU65" s="4433"/>
      <c r="AV65" s="4431"/>
      <c r="AW65" s="4433"/>
      <c r="AX65" s="4431"/>
      <c r="AY65" s="3289"/>
      <c r="AZ65" s="3595"/>
      <c r="BA65" s="3289"/>
      <c r="BB65" s="3595"/>
      <c r="BC65" s="3289"/>
      <c r="BD65" s="4428"/>
      <c r="BE65" s="3595"/>
      <c r="BF65" s="3409"/>
      <c r="BG65" s="3409"/>
      <c r="BH65" s="3595"/>
      <c r="BI65" s="3595"/>
      <c r="BJ65" s="3191"/>
      <c r="BK65" s="4425"/>
      <c r="BL65" s="4425"/>
      <c r="BM65" s="4425"/>
      <c r="BN65" s="4425"/>
      <c r="BO65" s="3954"/>
    </row>
    <row r="66" spans="3:67" ht="55.5" customHeight="1" x14ac:dyDescent="0.2">
      <c r="C66" s="3398"/>
      <c r="D66" s="3916"/>
      <c r="E66" s="1020"/>
      <c r="F66" s="1019"/>
      <c r="G66" s="3191"/>
      <c r="H66" s="3963"/>
      <c r="I66" s="3963"/>
      <c r="J66" s="3203"/>
      <c r="K66" s="3203"/>
      <c r="L66" s="4435"/>
      <c r="M66" s="4422"/>
      <c r="N66" s="3929"/>
      <c r="O66" s="4424"/>
      <c r="P66" s="3525"/>
      <c r="Q66" s="4438"/>
      <c r="R66" s="3954"/>
      <c r="S66" s="2657" t="s">
        <v>890</v>
      </c>
      <c r="T66" s="983">
        <f>5000000+25959000</f>
        <v>30959000</v>
      </c>
      <c r="U66" s="991">
        <v>4000000</v>
      </c>
      <c r="V66" s="991">
        <v>800000</v>
      </c>
      <c r="W66" s="2646" t="s">
        <v>689</v>
      </c>
      <c r="X66" s="2647" t="s">
        <v>368</v>
      </c>
      <c r="Y66" s="4433"/>
      <c r="Z66" s="4431"/>
      <c r="AA66" s="4433"/>
      <c r="AB66" s="4431"/>
      <c r="AC66" s="4433"/>
      <c r="AD66" s="4431"/>
      <c r="AE66" s="4433"/>
      <c r="AF66" s="4431"/>
      <c r="AG66" s="4433"/>
      <c r="AH66" s="4431"/>
      <c r="AI66" s="4433"/>
      <c r="AJ66" s="4431"/>
      <c r="AK66" s="4433"/>
      <c r="AL66" s="4431"/>
      <c r="AM66" s="4433"/>
      <c r="AN66" s="4431"/>
      <c r="AO66" s="4433"/>
      <c r="AP66" s="4431"/>
      <c r="AQ66" s="4433"/>
      <c r="AR66" s="4431"/>
      <c r="AS66" s="4433"/>
      <c r="AT66" s="4431"/>
      <c r="AU66" s="4433"/>
      <c r="AV66" s="4431"/>
      <c r="AW66" s="4433"/>
      <c r="AX66" s="4431"/>
      <c r="AY66" s="3289"/>
      <c r="AZ66" s="3595"/>
      <c r="BA66" s="3289"/>
      <c r="BB66" s="3595"/>
      <c r="BC66" s="3289"/>
      <c r="BD66" s="4428"/>
      <c r="BE66" s="3595"/>
      <c r="BF66" s="3409"/>
      <c r="BG66" s="3409"/>
      <c r="BH66" s="3595"/>
      <c r="BI66" s="3595"/>
      <c r="BJ66" s="3191"/>
      <c r="BK66" s="4425"/>
      <c r="BL66" s="4425"/>
      <c r="BM66" s="4425"/>
      <c r="BN66" s="4425"/>
      <c r="BO66" s="3954"/>
    </row>
    <row r="67" spans="3:67" ht="55.5" customHeight="1" x14ac:dyDescent="0.2">
      <c r="C67" s="3398"/>
      <c r="D67" s="3916"/>
      <c r="E67" s="1020"/>
      <c r="F67" s="1019"/>
      <c r="G67" s="3191"/>
      <c r="H67" s="3963"/>
      <c r="I67" s="3963"/>
      <c r="J67" s="3203"/>
      <c r="K67" s="3203"/>
      <c r="L67" s="4435"/>
      <c r="M67" s="4422"/>
      <c r="N67" s="3929"/>
      <c r="O67" s="4424"/>
      <c r="P67" s="3525"/>
      <c r="Q67" s="4438"/>
      <c r="R67" s="3954"/>
      <c r="S67" s="2657" t="s">
        <v>891</v>
      </c>
      <c r="T67" s="983">
        <v>7920000</v>
      </c>
      <c r="U67" s="991">
        <v>5000000</v>
      </c>
      <c r="V67" s="991">
        <v>1000000</v>
      </c>
      <c r="W67" s="2646" t="s">
        <v>689</v>
      </c>
      <c r="X67" s="2647" t="s">
        <v>368</v>
      </c>
      <c r="Y67" s="4433"/>
      <c r="Z67" s="4431"/>
      <c r="AA67" s="4433"/>
      <c r="AB67" s="4431"/>
      <c r="AC67" s="4433"/>
      <c r="AD67" s="4431"/>
      <c r="AE67" s="4433"/>
      <c r="AF67" s="4431"/>
      <c r="AG67" s="4433"/>
      <c r="AH67" s="4431"/>
      <c r="AI67" s="4433"/>
      <c r="AJ67" s="4431"/>
      <c r="AK67" s="4433"/>
      <c r="AL67" s="4431"/>
      <c r="AM67" s="4433"/>
      <c r="AN67" s="4431"/>
      <c r="AO67" s="4433"/>
      <c r="AP67" s="4431"/>
      <c r="AQ67" s="4433"/>
      <c r="AR67" s="4431"/>
      <c r="AS67" s="4433"/>
      <c r="AT67" s="4431"/>
      <c r="AU67" s="4433"/>
      <c r="AV67" s="4431"/>
      <c r="AW67" s="4433"/>
      <c r="AX67" s="4431"/>
      <c r="AY67" s="3289"/>
      <c r="AZ67" s="3595"/>
      <c r="BA67" s="3289"/>
      <c r="BB67" s="3595"/>
      <c r="BC67" s="3289"/>
      <c r="BD67" s="4428"/>
      <c r="BE67" s="3595"/>
      <c r="BF67" s="3409"/>
      <c r="BG67" s="3409"/>
      <c r="BH67" s="3595"/>
      <c r="BI67" s="3595"/>
      <c r="BJ67" s="3191"/>
      <c r="BK67" s="4425"/>
      <c r="BL67" s="4425"/>
      <c r="BM67" s="4425"/>
      <c r="BN67" s="4425"/>
      <c r="BO67" s="3954"/>
    </row>
    <row r="68" spans="3:67" ht="55.5" customHeight="1" x14ac:dyDescent="0.2">
      <c r="C68" s="3398"/>
      <c r="D68" s="3916"/>
      <c r="E68" s="1020"/>
      <c r="F68" s="1019"/>
      <c r="G68" s="3191"/>
      <c r="H68" s="3963"/>
      <c r="I68" s="3963"/>
      <c r="J68" s="3203"/>
      <c r="K68" s="3203"/>
      <c r="L68" s="4435"/>
      <c r="M68" s="4422"/>
      <c r="N68" s="3929"/>
      <c r="O68" s="4424"/>
      <c r="P68" s="3525"/>
      <c r="Q68" s="4438"/>
      <c r="R68" s="3954"/>
      <c r="S68" s="2657" t="s">
        <v>892</v>
      </c>
      <c r="T68" s="983">
        <v>8320000</v>
      </c>
      <c r="U68" s="991">
        <v>7500000</v>
      </c>
      <c r="V68" s="991">
        <f>500000+1000000</f>
        <v>1500000</v>
      </c>
      <c r="W68" s="2646" t="s">
        <v>689</v>
      </c>
      <c r="X68" s="2647" t="s">
        <v>368</v>
      </c>
      <c r="Y68" s="4433"/>
      <c r="Z68" s="4431"/>
      <c r="AA68" s="4433"/>
      <c r="AB68" s="4431"/>
      <c r="AC68" s="4433"/>
      <c r="AD68" s="4431"/>
      <c r="AE68" s="4433"/>
      <c r="AF68" s="4431"/>
      <c r="AG68" s="4433"/>
      <c r="AH68" s="4431"/>
      <c r="AI68" s="4433"/>
      <c r="AJ68" s="4431"/>
      <c r="AK68" s="4433"/>
      <c r="AL68" s="4431"/>
      <c r="AM68" s="4433"/>
      <c r="AN68" s="4431"/>
      <c r="AO68" s="4433"/>
      <c r="AP68" s="4431"/>
      <c r="AQ68" s="4433"/>
      <c r="AR68" s="4431"/>
      <c r="AS68" s="4433"/>
      <c r="AT68" s="4431"/>
      <c r="AU68" s="4433"/>
      <c r="AV68" s="4431"/>
      <c r="AW68" s="4433"/>
      <c r="AX68" s="4431"/>
      <c r="AY68" s="3289"/>
      <c r="AZ68" s="3595"/>
      <c r="BA68" s="3289"/>
      <c r="BB68" s="3595"/>
      <c r="BC68" s="3289"/>
      <c r="BD68" s="4428"/>
      <c r="BE68" s="3595"/>
      <c r="BF68" s="3409"/>
      <c r="BG68" s="3409"/>
      <c r="BH68" s="3595"/>
      <c r="BI68" s="3595"/>
      <c r="BJ68" s="3191"/>
      <c r="BK68" s="4425"/>
      <c r="BL68" s="4425"/>
      <c r="BM68" s="4425"/>
      <c r="BN68" s="4425"/>
      <c r="BO68" s="3954"/>
    </row>
    <row r="69" spans="3:67" ht="55.5" customHeight="1" x14ac:dyDescent="0.2">
      <c r="C69" s="3398"/>
      <c r="D69" s="3916"/>
      <c r="E69" s="1020"/>
      <c r="F69" s="1019"/>
      <c r="G69" s="3191"/>
      <c r="H69" s="3963"/>
      <c r="I69" s="3963"/>
      <c r="J69" s="3203"/>
      <c r="K69" s="3203"/>
      <c r="L69" s="4435"/>
      <c r="M69" s="4422"/>
      <c r="N69" s="3929"/>
      <c r="O69" s="4424"/>
      <c r="P69" s="3525"/>
      <c r="Q69" s="4438"/>
      <c r="R69" s="3954"/>
      <c r="S69" s="2657" t="s">
        <v>893</v>
      </c>
      <c r="T69" s="983">
        <v>10280000</v>
      </c>
      <c r="U69" s="991">
        <v>3990000</v>
      </c>
      <c r="V69" s="991">
        <v>798000</v>
      </c>
      <c r="W69" s="2646" t="s">
        <v>689</v>
      </c>
      <c r="X69" s="2647" t="s">
        <v>368</v>
      </c>
      <c r="Y69" s="4433"/>
      <c r="Z69" s="4431"/>
      <c r="AA69" s="4433"/>
      <c r="AB69" s="4431"/>
      <c r="AC69" s="4433"/>
      <c r="AD69" s="4431"/>
      <c r="AE69" s="4433"/>
      <c r="AF69" s="4431"/>
      <c r="AG69" s="4433"/>
      <c r="AH69" s="4431"/>
      <c r="AI69" s="4433"/>
      <c r="AJ69" s="4431"/>
      <c r="AK69" s="4433"/>
      <c r="AL69" s="4431"/>
      <c r="AM69" s="4433"/>
      <c r="AN69" s="4431"/>
      <c r="AO69" s="4433"/>
      <c r="AP69" s="4431"/>
      <c r="AQ69" s="4433"/>
      <c r="AR69" s="4431"/>
      <c r="AS69" s="4433"/>
      <c r="AT69" s="4431"/>
      <c r="AU69" s="4433"/>
      <c r="AV69" s="4431"/>
      <c r="AW69" s="4433"/>
      <c r="AX69" s="4431"/>
      <c r="AY69" s="3289"/>
      <c r="AZ69" s="3595"/>
      <c r="BA69" s="3289"/>
      <c r="BB69" s="3595"/>
      <c r="BC69" s="3289"/>
      <c r="BD69" s="4428"/>
      <c r="BE69" s="3595"/>
      <c r="BF69" s="3409"/>
      <c r="BG69" s="3409"/>
      <c r="BH69" s="3595"/>
      <c r="BI69" s="3595"/>
      <c r="BJ69" s="3191"/>
      <c r="BK69" s="4425"/>
      <c r="BL69" s="4425"/>
      <c r="BM69" s="4425"/>
      <c r="BN69" s="4425"/>
      <c r="BO69" s="3954"/>
    </row>
    <row r="70" spans="3:67" ht="55.5" customHeight="1" x14ac:dyDescent="0.2">
      <c r="C70" s="3398"/>
      <c r="D70" s="3916"/>
      <c r="E70" s="1020"/>
      <c r="F70" s="1019"/>
      <c r="G70" s="3191"/>
      <c r="H70" s="3963"/>
      <c r="I70" s="3963"/>
      <c r="J70" s="3203"/>
      <c r="K70" s="3203"/>
      <c r="L70" s="4435"/>
      <c r="M70" s="4422"/>
      <c r="N70" s="3929"/>
      <c r="O70" s="4424"/>
      <c r="P70" s="3525"/>
      <c r="Q70" s="4438"/>
      <c r="R70" s="3954"/>
      <c r="S70" s="2657" t="s">
        <v>894</v>
      </c>
      <c r="T70" s="983">
        <v>2450000</v>
      </c>
      <c r="U70" s="991">
        <v>0</v>
      </c>
      <c r="V70" s="991"/>
      <c r="W70" s="2646" t="s">
        <v>689</v>
      </c>
      <c r="X70" s="2647" t="s">
        <v>368</v>
      </c>
      <c r="Y70" s="4433"/>
      <c r="Z70" s="4431"/>
      <c r="AA70" s="4433"/>
      <c r="AB70" s="4431"/>
      <c r="AC70" s="4433"/>
      <c r="AD70" s="4431"/>
      <c r="AE70" s="4433"/>
      <c r="AF70" s="4431"/>
      <c r="AG70" s="4433"/>
      <c r="AH70" s="4431"/>
      <c r="AI70" s="4433"/>
      <c r="AJ70" s="4431"/>
      <c r="AK70" s="4433"/>
      <c r="AL70" s="4431"/>
      <c r="AM70" s="4433"/>
      <c r="AN70" s="4431"/>
      <c r="AO70" s="4433"/>
      <c r="AP70" s="4431"/>
      <c r="AQ70" s="4433"/>
      <c r="AR70" s="4431"/>
      <c r="AS70" s="4433"/>
      <c r="AT70" s="4431"/>
      <c r="AU70" s="4433"/>
      <c r="AV70" s="4431"/>
      <c r="AW70" s="4433"/>
      <c r="AX70" s="4431"/>
      <c r="AY70" s="3289"/>
      <c r="AZ70" s="3595"/>
      <c r="BA70" s="3289"/>
      <c r="BB70" s="3595"/>
      <c r="BC70" s="3289"/>
      <c r="BD70" s="4428"/>
      <c r="BE70" s="3595"/>
      <c r="BF70" s="3409"/>
      <c r="BG70" s="3409"/>
      <c r="BH70" s="3595"/>
      <c r="BI70" s="3595"/>
      <c r="BJ70" s="3191"/>
      <c r="BK70" s="4425"/>
      <c r="BL70" s="4425"/>
      <c r="BM70" s="4425"/>
      <c r="BN70" s="4425"/>
      <c r="BO70" s="3954"/>
    </row>
    <row r="71" spans="3:67" ht="55.5" customHeight="1" x14ac:dyDescent="0.2">
      <c r="C71" s="3398"/>
      <c r="D71" s="3916"/>
      <c r="E71" s="1020"/>
      <c r="F71" s="1019"/>
      <c r="G71" s="3191"/>
      <c r="H71" s="3963"/>
      <c r="I71" s="3963"/>
      <c r="J71" s="3203"/>
      <c r="K71" s="3203"/>
      <c r="L71" s="4435"/>
      <c r="M71" s="4422"/>
      <c r="N71" s="3929"/>
      <c r="O71" s="4424"/>
      <c r="P71" s="3525"/>
      <c r="Q71" s="4438"/>
      <c r="R71" s="3954"/>
      <c r="S71" s="2657" t="s">
        <v>895</v>
      </c>
      <c r="T71" s="983">
        <v>14800000</v>
      </c>
      <c r="U71" s="991">
        <v>13990000</v>
      </c>
      <c r="V71" s="991">
        <v>2798000</v>
      </c>
      <c r="W71" s="2646" t="s">
        <v>689</v>
      </c>
      <c r="X71" s="2647" t="s">
        <v>368</v>
      </c>
      <c r="Y71" s="4433"/>
      <c r="Z71" s="4431"/>
      <c r="AA71" s="4433"/>
      <c r="AB71" s="4431"/>
      <c r="AC71" s="4433"/>
      <c r="AD71" s="4431"/>
      <c r="AE71" s="4433"/>
      <c r="AF71" s="4431"/>
      <c r="AG71" s="4433"/>
      <c r="AH71" s="4431"/>
      <c r="AI71" s="4433"/>
      <c r="AJ71" s="4431"/>
      <c r="AK71" s="4433"/>
      <c r="AL71" s="4431"/>
      <c r="AM71" s="4433"/>
      <c r="AN71" s="4431"/>
      <c r="AO71" s="4433"/>
      <c r="AP71" s="4431"/>
      <c r="AQ71" s="4433"/>
      <c r="AR71" s="4431"/>
      <c r="AS71" s="4433"/>
      <c r="AT71" s="4431"/>
      <c r="AU71" s="4433"/>
      <c r="AV71" s="4431"/>
      <c r="AW71" s="4433"/>
      <c r="AX71" s="4431"/>
      <c r="AY71" s="3289"/>
      <c r="AZ71" s="3595"/>
      <c r="BA71" s="3289"/>
      <c r="BB71" s="3595"/>
      <c r="BC71" s="3289"/>
      <c r="BD71" s="4428"/>
      <c r="BE71" s="3595"/>
      <c r="BF71" s="3409"/>
      <c r="BG71" s="3409"/>
      <c r="BH71" s="3595"/>
      <c r="BI71" s="3595"/>
      <c r="BJ71" s="3191"/>
      <c r="BK71" s="4425"/>
      <c r="BL71" s="4425"/>
      <c r="BM71" s="4425"/>
      <c r="BN71" s="4425"/>
      <c r="BO71" s="3954"/>
    </row>
    <row r="72" spans="3:67" ht="55.5" customHeight="1" x14ac:dyDescent="0.2">
      <c r="C72" s="3398"/>
      <c r="D72" s="3916"/>
      <c r="E72" s="1020"/>
      <c r="F72" s="1019"/>
      <c r="G72" s="3191"/>
      <c r="H72" s="3963"/>
      <c r="I72" s="3963"/>
      <c r="J72" s="3203"/>
      <c r="K72" s="3203"/>
      <c r="L72" s="4435"/>
      <c r="M72" s="4422"/>
      <c r="N72" s="3929"/>
      <c r="O72" s="4424"/>
      <c r="P72" s="3525"/>
      <c r="Q72" s="4438"/>
      <c r="R72" s="3954"/>
      <c r="S72" s="2657" t="s">
        <v>896</v>
      </c>
      <c r="T72" s="1022">
        <v>5280000</v>
      </c>
      <c r="U72" s="991">
        <v>0</v>
      </c>
      <c r="V72" s="991">
        <v>0</v>
      </c>
      <c r="W72" s="2646" t="s">
        <v>689</v>
      </c>
      <c r="X72" s="2647" t="s">
        <v>368</v>
      </c>
      <c r="Y72" s="4433"/>
      <c r="Z72" s="4431"/>
      <c r="AA72" s="4433"/>
      <c r="AB72" s="4431"/>
      <c r="AC72" s="4433"/>
      <c r="AD72" s="4431"/>
      <c r="AE72" s="4433"/>
      <c r="AF72" s="4431"/>
      <c r="AG72" s="4433"/>
      <c r="AH72" s="4431"/>
      <c r="AI72" s="4433"/>
      <c r="AJ72" s="4431"/>
      <c r="AK72" s="4433"/>
      <c r="AL72" s="4431"/>
      <c r="AM72" s="4433"/>
      <c r="AN72" s="4431"/>
      <c r="AO72" s="4433"/>
      <c r="AP72" s="4431"/>
      <c r="AQ72" s="4433"/>
      <c r="AR72" s="4431"/>
      <c r="AS72" s="4433"/>
      <c r="AT72" s="4431"/>
      <c r="AU72" s="4433"/>
      <c r="AV72" s="4431"/>
      <c r="AW72" s="4433"/>
      <c r="AX72" s="4431"/>
      <c r="AY72" s="3289"/>
      <c r="AZ72" s="3595"/>
      <c r="BA72" s="3289"/>
      <c r="BB72" s="3595"/>
      <c r="BC72" s="3289"/>
      <c r="BD72" s="4428"/>
      <c r="BE72" s="3595"/>
      <c r="BF72" s="3409"/>
      <c r="BG72" s="3409"/>
      <c r="BH72" s="3595"/>
      <c r="BI72" s="3595"/>
      <c r="BJ72" s="3191"/>
      <c r="BK72" s="4425"/>
      <c r="BL72" s="4425"/>
      <c r="BM72" s="4425"/>
      <c r="BN72" s="4425"/>
      <c r="BO72" s="3954"/>
    </row>
    <row r="73" spans="3:67" ht="55.5" customHeight="1" x14ac:dyDescent="0.2">
      <c r="C73" s="3398"/>
      <c r="D73" s="3916"/>
      <c r="E73" s="1020"/>
      <c r="F73" s="1019"/>
      <c r="G73" s="3191"/>
      <c r="H73" s="3963"/>
      <c r="I73" s="3963"/>
      <c r="J73" s="3203"/>
      <c r="K73" s="3203"/>
      <c r="L73" s="4435"/>
      <c r="M73" s="4422"/>
      <c r="N73" s="3929"/>
      <c r="O73" s="4424"/>
      <c r="P73" s="3525"/>
      <c r="Q73" s="4438"/>
      <c r="R73" s="3954"/>
      <c r="S73" s="2657" t="s">
        <v>897</v>
      </c>
      <c r="T73" s="1021">
        <v>35000000</v>
      </c>
      <c r="U73" s="991">
        <v>0</v>
      </c>
      <c r="V73" s="991">
        <v>0</v>
      </c>
      <c r="W73" s="2646" t="s">
        <v>689</v>
      </c>
      <c r="X73" s="2647" t="s">
        <v>368</v>
      </c>
      <c r="Y73" s="4433"/>
      <c r="Z73" s="4431"/>
      <c r="AA73" s="4433"/>
      <c r="AB73" s="4431"/>
      <c r="AC73" s="4433"/>
      <c r="AD73" s="4431"/>
      <c r="AE73" s="4433"/>
      <c r="AF73" s="4431"/>
      <c r="AG73" s="4433"/>
      <c r="AH73" s="4431"/>
      <c r="AI73" s="4433"/>
      <c r="AJ73" s="4431"/>
      <c r="AK73" s="4433"/>
      <c r="AL73" s="4431"/>
      <c r="AM73" s="4433"/>
      <c r="AN73" s="4431"/>
      <c r="AO73" s="4433"/>
      <c r="AP73" s="4431"/>
      <c r="AQ73" s="4433"/>
      <c r="AR73" s="4431"/>
      <c r="AS73" s="4433"/>
      <c r="AT73" s="4431"/>
      <c r="AU73" s="4433"/>
      <c r="AV73" s="4431"/>
      <c r="AW73" s="4433"/>
      <c r="AX73" s="4431"/>
      <c r="AY73" s="3289"/>
      <c r="AZ73" s="3595"/>
      <c r="BA73" s="3289"/>
      <c r="BB73" s="3595"/>
      <c r="BC73" s="3289"/>
      <c r="BD73" s="4428"/>
      <c r="BE73" s="3595"/>
      <c r="BF73" s="3409"/>
      <c r="BG73" s="3409"/>
      <c r="BH73" s="3595"/>
      <c r="BI73" s="3595"/>
      <c r="BJ73" s="3191"/>
      <c r="BK73" s="4425"/>
      <c r="BL73" s="4425"/>
      <c r="BM73" s="4425"/>
      <c r="BN73" s="4425"/>
      <c r="BO73" s="3954"/>
    </row>
    <row r="74" spans="3:67" ht="55.5" customHeight="1" x14ac:dyDescent="0.2">
      <c r="C74" s="3398"/>
      <c r="D74" s="3916"/>
      <c r="E74" s="1020"/>
      <c r="F74" s="1019"/>
      <c r="G74" s="3191"/>
      <c r="H74" s="3963"/>
      <c r="I74" s="3963"/>
      <c r="J74" s="3203"/>
      <c r="K74" s="3203"/>
      <c r="L74" s="4435"/>
      <c r="M74" s="4422"/>
      <c r="N74" s="3929"/>
      <c r="O74" s="4424"/>
      <c r="P74" s="3525"/>
      <c r="Q74" s="4438"/>
      <c r="R74" s="3955"/>
      <c r="S74" s="2657" t="s">
        <v>898</v>
      </c>
      <c r="T74" s="1023">
        <f>20000000-3000000</f>
        <v>17000000</v>
      </c>
      <c r="U74" s="991">
        <v>0</v>
      </c>
      <c r="V74" s="991">
        <v>0</v>
      </c>
      <c r="W74" s="2646" t="s">
        <v>689</v>
      </c>
      <c r="X74" s="2647" t="s">
        <v>368</v>
      </c>
      <c r="Y74" s="4430"/>
      <c r="Z74" s="4432"/>
      <c r="AA74" s="4430"/>
      <c r="AB74" s="4432"/>
      <c r="AC74" s="4430"/>
      <c r="AD74" s="4432"/>
      <c r="AE74" s="4430"/>
      <c r="AF74" s="4432"/>
      <c r="AG74" s="4430"/>
      <c r="AH74" s="4432"/>
      <c r="AI74" s="4430"/>
      <c r="AJ74" s="4432"/>
      <c r="AK74" s="4430"/>
      <c r="AL74" s="4432"/>
      <c r="AM74" s="4430"/>
      <c r="AN74" s="4432"/>
      <c r="AO74" s="4430"/>
      <c r="AP74" s="4432"/>
      <c r="AQ74" s="4430"/>
      <c r="AR74" s="4432"/>
      <c r="AS74" s="4430"/>
      <c r="AT74" s="4432"/>
      <c r="AU74" s="4430"/>
      <c r="AV74" s="4432"/>
      <c r="AW74" s="4430"/>
      <c r="AX74" s="4432"/>
      <c r="AY74" s="3594"/>
      <c r="AZ74" s="3596"/>
      <c r="BA74" s="3594"/>
      <c r="BB74" s="3596"/>
      <c r="BC74" s="3594"/>
      <c r="BD74" s="4429"/>
      <c r="BE74" s="3596"/>
      <c r="BF74" s="3410"/>
      <c r="BG74" s="3410"/>
      <c r="BH74" s="3596"/>
      <c r="BI74" s="3596"/>
      <c r="BJ74" s="3192"/>
      <c r="BK74" s="3406"/>
      <c r="BL74" s="3406"/>
      <c r="BM74" s="3406"/>
      <c r="BN74" s="3406"/>
      <c r="BO74" s="3955"/>
    </row>
    <row r="75" spans="3:67" ht="15.75" customHeight="1" x14ac:dyDescent="0.2">
      <c r="C75" s="3398"/>
      <c r="D75" s="3916"/>
      <c r="E75" s="182">
        <v>62</v>
      </c>
      <c r="F75" s="1013" t="s">
        <v>899</v>
      </c>
      <c r="G75" s="1014"/>
      <c r="H75" s="1015"/>
      <c r="I75" s="1015"/>
      <c r="J75" s="1014"/>
      <c r="K75" s="1014"/>
      <c r="L75" s="1014"/>
      <c r="M75" s="1014"/>
      <c r="N75" s="153"/>
      <c r="O75" s="1016"/>
      <c r="P75" s="1017"/>
      <c r="Q75" s="1015"/>
      <c r="R75" s="1015"/>
      <c r="S75" s="1015"/>
      <c r="T75" s="156"/>
      <c r="U75" s="156"/>
      <c r="V75" s="156"/>
      <c r="W75" s="1024"/>
      <c r="X75" s="1024"/>
      <c r="Y75" s="1025"/>
      <c r="Z75" s="1025"/>
      <c r="AA75" s="1025"/>
      <c r="AB75" s="1025"/>
      <c r="AC75" s="1014"/>
      <c r="AD75" s="1014"/>
      <c r="AE75" s="1014"/>
      <c r="AF75" s="1014"/>
      <c r="AG75" s="1014"/>
      <c r="AH75" s="1014"/>
      <c r="AI75" s="1014"/>
      <c r="AJ75" s="1014"/>
      <c r="AK75" s="1014"/>
      <c r="AL75" s="1014"/>
      <c r="AM75" s="1014"/>
      <c r="AN75" s="1014"/>
      <c r="AO75" s="1014"/>
      <c r="AP75" s="1014"/>
      <c r="AQ75" s="1014"/>
      <c r="AR75" s="1014"/>
      <c r="AS75" s="1014"/>
      <c r="AT75" s="1014"/>
      <c r="AU75" s="1014"/>
      <c r="AV75" s="1014"/>
      <c r="AW75" s="1014"/>
      <c r="AX75" s="1014"/>
      <c r="AY75" s="1014"/>
      <c r="AZ75" s="1014"/>
      <c r="BA75" s="1014"/>
      <c r="BB75" s="1014"/>
      <c r="BC75" s="1014"/>
      <c r="BD75" s="1014"/>
      <c r="BE75" s="1014"/>
      <c r="BF75" s="1017"/>
      <c r="BG75" s="1017"/>
      <c r="BH75" s="1014"/>
      <c r="BI75" s="1014"/>
      <c r="BJ75" s="1014"/>
      <c r="BK75" s="1014"/>
      <c r="BL75" s="1014"/>
      <c r="BM75" s="1014"/>
      <c r="BN75" s="1014"/>
      <c r="BO75" s="282"/>
    </row>
    <row r="76" spans="3:67" ht="60" customHeight="1" x14ac:dyDescent="0.2">
      <c r="C76" s="3398"/>
      <c r="D76" s="3916"/>
      <c r="E76" s="1018"/>
      <c r="F76" s="1026"/>
      <c r="G76" s="4439">
        <v>191</v>
      </c>
      <c r="H76" s="3942" t="s">
        <v>900</v>
      </c>
      <c r="I76" s="3942" t="s">
        <v>901</v>
      </c>
      <c r="J76" s="3936">
        <v>1</v>
      </c>
      <c r="K76" s="3937">
        <v>0.19</v>
      </c>
      <c r="L76" s="4421" t="s">
        <v>902</v>
      </c>
      <c r="M76" s="4422" t="s">
        <v>903</v>
      </c>
      <c r="N76" s="3920" t="s">
        <v>904</v>
      </c>
      <c r="O76" s="4423">
        <v>1</v>
      </c>
      <c r="P76" s="3410">
        <f>SUM(T76:T92)</f>
        <v>1008600000</v>
      </c>
      <c r="Q76" s="3929" t="s">
        <v>905</v>
      </c>
      <c r="R76" s="3955" t="s">
        <v>906</v>
      </c>
      <c r="S76" s="1027" t="s">
        <v>907</v>
      </c>
      <c r="T76" s="1028">
        <v>50000000</v>
      </c>
      <c r="U76" s="1028">
        <v>44800000</v>
      </c>
      <c r="V76" s="1028">
        <v>14000000</v>
      </c>
      <c r="W76" s="2646" t="s">
        <v>689</v>
      </c>
      <c r="X76" s="2647" t="s">
        <v>368</v>
      </c>
      <c r="Y76" s="3289"/>
      <c r="Z76" s="3289">
        <v>323</v>
      </c>
      <c r="AA76" s="3289"/>
      <c r="AB76" s="3594">
        <v>248</v>
      </c>
      <c r="AC76" s="4007"/>
      <c r="AD76" s="3594">
        <v>194</v>
      </c>
      <c r="AE76" s="3594"/>
      <c r="AF76" s="3594">
        <v>44</v>
      </c>
      <c r="AG76" s="3594"/>
      <c r="AH76" s="3594">
        <v>317</v>
      </c>
      <c r="AI76" s="3594"/>
      <c r="AJ76" s="3594">
        <v>16</v>
      </c>
      <c r="AK76" s="3594"/>
      <c r="AL76" s="3594">
        <v>0</v>
      </c>
      <c r="AM76" s="3594"/>
      <c r="AN76" s="3289">
        <v>0</v>
      </c>
      <c r="AO76" s="3594"/>
      <c r="AP76" s="3594">
        <v>0</v>
      </c>
      <c r="AQ76" s="3594"/>
      <c r="AR76" s="3594">
        <v>0</v>
      </c>
      <c r="AS76" s="3594"/>
      <c r="AT76" s="3594">
        <v>0</v>
      </c>
      <c r="AU76" s="3594"/>
      <c r="AV76" s="3594">
        <v>0</v>
      </c>
      <c r="AW76" s="3594"/>
      <c r="AX76" s="3594">
        <v>0</v>
      </c>
      <c r="AY76" s="3594"/>
      <c r="AZ76" s="3594">
        <v>0</v>
      </c>
      <c r="BA76" s="3594"/>
      <c r="BB76" s="3594">
        <v>0</v>
      </c>
      <c r="BC76" s="3594"/>
      <c r="BD76" s="3594">
        <v>571</v>
      </c>
      <c r="BE76" s="3594">
        <v>24</v>
      </c>
      <c r="BF76" s="3408">
        <f>+U76+U77+U81+U82+U83+U84+U85+U86+U88+U89+U90</f>
        <v>190215000</v>
      </c>
      <c r="BG76" s="3408">
        <f>+V76+V77+V81+V82+V83+V84+V85+V86+V88+V89+V90</f>
        <v>52040000</v>
      </c>
      <c r="BH76" s="3411">
        <f>+BF76/1008600000</f>
        <v>0.1885930993456276</v>
      </c>
      <c r="BI76" s="3594">
        <v>20</v>
      </c>
      <c r="BJ76" s="3190" t="s">
        <v>908</v>
      </c>
      <c r="BK76" s="3407">
        <v>43467</v>
      </c>
      <c r="BL76" s="3407">
        <v>43467</v>
      </c>
      <c r="BM76" s="3407">
        <v>43830</v>
      </c>
      <c r="BN76" s="3407">
        <v>43830</v>
      </c>
      <c r="BO76" s="3956" t="s">
        <v>787</v>
      </c>
    </row>
    <row r="77" spans="3:67" ht="42.75" x14ac:dyDescent="0.2">
      <c r="C77" s="3398"/>
      <c r="D77" s="3916"/>
      <c r="E77" s="1020"/>
      <c r="F77" s="1019"/>
      <c r="G77" s="4439"/>
      <c r="H77" s="3942"/>
      <c r="I77" s="3942"/>
      <c r="J77" s="3936"/>
      <c r="K77" s="4420"/>
      <c r="L77" s="4421"/>
      <c r="M77" s="4422"/>
      <c r="N77" s="3920"/>
      <c r="O77" s="4424"/>
      <c r="P77" s="3410"/>
      <c r="Q77" s="3929"/>
      <c r="R77" s="3963"/>
      <c r="S77" s="1027" t="s">
        <v>909</v>
      </c>
      <c r="T77" s="1028">
        <v>20000000</v>
      </c>
      <c r="U77" s="1028">
        <v>2990000</v>
      </c>
      <c r="V77" s="1028">
        <v>598000</v>
      </c>
      <c r="W77" s="2646" t="s">
        <v>689</v>
      </c>
      <c r="X77" s="2647" t="s">
        <v>368</v>
      </c>
      <c r="Y77" s="3289"/>
      <c r="Z77" s="3289"/>
      <c r="AA77" s="3289"/>
      <c r="AB77" s="3595"/>
      <c r="AC77" s="4361"/>
      <c r="AD77" s="3595"/>
      <c r="AE77" s="3595"/>
      <c r="AF77" s="3595"/>
      <c r="AG77" s="3595"/>
      <c r="AH77" s="3595"/>
      <c r="AI77" s="3595"/>
      <c r="AJ77" s="3595"/>
      <c r="AK77" s="3595"/>
      <c r="AL77" s="3595"/>
      <c r="AM77" s="3595"/>
      <c r="AN77" s="3289"/>
      <c r="AO77" s="3595"/>
      <c r="AP77" s="3595"/>
      <c r="AQ77" s="3595"/>
      <c r="AR77" s="3595"/>
      <c r="AS77" s="3595"/>
      <c r="AT77" s="3595"/>
      <c r="AU77" s="3595"/>
      <c r="AV77" s="3595"/>
      <c r="AW77" s="3595"/>
      <c r="AX77" s="3595"/>
      <c r="AY77" s="3595"/>
      <c r="AZ77" s="3595"/>
      <c r="BA77" s="3595"/>
      <c r="BB77" s="3595"/>
      <c r="BC77" s="3595"/>
      <c r="BD77" s="3595"/>
      <c r="BE77" s="3595"/>
      <c r="BF77" s="3409"/>
      <c r="BG77" s="3409"/>
      <c r="BH77" s="3412"/>
      <c r="BI77" s="3595"/>
      <c r="BJ77" s="3191"/>
      <c r="BK77" s="3407"/>
      <c r="BL77" s="3407"/>
      <c r="BM77" s="3407"/>
      <c r="BN77" s="3407"/>
      <c r="BO77" s="3956"/>
    </row>
    <row r="78" spans="3:67" ht="42.75" x14ac:dyDescent="0.2">
      <c r="C78" s="3398"/>
      <c r="D78" s="3916"/>
      <c r="E78" s="1020"/>
      <c r="F78" s="1019"/>
      <c r="G78" s="4439"/>
      <c r="H78" s="3942"/>
      <c r="I78" s="3942"/>
      <c r="J78" s="3936"/>
      <c r="K78" s="4420"/>
      <c r="L78" s="4421"/>
      <c r="M78" s="4422"/>
      <c r="N78" s="3920"/>
      <c r="O78" s="4424"/>
      <c r="P78" s="3410"/>
      <c r="Q78" s="3929"/>
      <c r="R78" s="3963"/>
      <c r="S78" s="1027" t="s">
        <v>910</v>
      </c>
      <c r="T78" s="1028">
        <v>50000000</v>
      </c>
      <c r="U78" s="1028">
        <v>0</v>
      </c>
      <c r="V78" s="1028">
        <v>0</v>
      </c>
      <c r="W78" s="2646" t="s">
        <v>689</v>
      </c>
      <c r="X78" s="2647" t="s">
        <v>368</v>
      </c>
      <c r="Y78" s="3289"/>
      <c r="Z78" s="3289"/>
      <c r="AA78" s="3289"/>
      <c r="AB78" s="3595"/>
      <c r="AC78" s="4361"/>
      <c r="AD78" s="3595"/>
      <c r="AE78" s="3595"/>
      <c r="AF78" s="3595"/>
      <c r="AG78" s="3595"/>
      <c r="AH78" s="3595"/>
      <c r="AI78" s="3595"/>
      <c r="AJ78" s="3595"/>
      <c r="AK78" s="3595"/>
      <c r="AL78" s="3595"/>
      <c r="AM78" s="3595"/>
      <c r="AN78" s="3289"/>
      <c r="AO78" s="3595"/>
      <c r="AP78" s="3595"/>
      <c r="AQ78" s="3595"/>
      <c r="AR78" s="3595"/>
      <c r="AS78" s="3595"/>
      <c r="AT78" s="3595"/>
      <c r="AU78" s="3595"/>
      <c r="AV78" s="3595"/>
      <c r="AW78" s="3595"/>
      <c r="AX78" s="3595"/>
      <c r="AY78" s="3595"/>
      <c r="AZ78" s="3595"/>
      <c r="BA78" s="3595"/>
      <c r="BB78" s="3595"/>
      <c r="BC78" s="3595"/>
      <c r="BD78" s="3595"/>
      <c r="BE78" s="3595"/>
      <c r="BF78" s="3409"/>
      <c r="BG78" s="3409"/>
      <c r="BH78" s="3412"/>
      <c r="BI78" s="3595"/>
      <c r="BJ78" s="3191"/>
      <c r="BK78" s="3407"/>
      <c r="BL78" s="3407"/>
      <c r="BM78" s="3407"/>
      <c r="BN78" s="3407"/>
      <c r="BO78" s="3956"/>
    </row>
    <row r="79" spans="3:67" ht="30" x14ac:dyDescent="0.2">
      <c r="C79" s="3398"/>
      <c r="D79" s="3916"/>
      <c r="E79" s="1020"/>
      <c r="F79" s="1019"/>
      <c r="G79" s="4439"/>
      <c r="H79" s="3942"/>
      <c r="I79" s="3942"/>
      <c r="J79" s="3936"/>
      <c r="K79" s="4420"/>
      <c r="L79" s="4421"/>
      <c r="M79" s="4422"/>
      <c r="N79" s="3920"/>
      <c r="O79" s="4424"/>
      <c r="P79" s="3410"/>
      <c r="Q79" s="3929"/>
      <c r="R79" s="3963"/>
      <c r="S79" s="1027" t="s">
        <v>911</v>
      </c>
      <c r="T79" s="1028">
        <v>50000000</v>
      </c>
      <c r="U79" s="1028">
        <v>0</v>
      </c>
      <c r="V79" s="1028">
        <v>0</v>
      </c>
      <c r="W79" s="2646" t="s">
        <v>689</v>
      </c>
      <c r="X79" s="2647" t="s">
        <v>368</v>
      </c>
      <c r="Y79" s="3289"/>
      <c r="Z79" s="3289"/>
      <c r="AA79" s="3289"/>
      <c r="AB79" s="3595"/>
      <c r="AC79" s="4361"/>
      <c r="AD79" s="3595"/>
      <c r="AE79" s="3595"/>
      <c r="AF79" s="3595"/>
      <c r="AG79" s="3595"/>
      <c r="AH79" s="3595"/>
      <c r="AI79" s="3595"/>
      <c r="AJ79" s="3595"/>
      <c r="AK79" s="3595"/>
      <c r="AL79" s="3595"/>
      <c r="AM79" s="3595"/>
      <c r="AN79" s="3289"/>
      <c r="AO79" s="3595"/>
      <c r="AP79" s="3595"/>
      <c r="AQ79" s="3595"/>
      <c r="AR79" s="3595"/>
      <c r="AS79" s="3595"/>
      <c r="AT79" s="3595"/>
      <c r="AU79" s="3595"/>
      <c r="AV79" s="3595"/>
      <c r="AW79" s="3595"/>
      <c r="AX79" s="3595"/>
      <c r="AY79" s="3595"/>
      <c r="AZ79" s="3595"/>
      <c r="BA79" s="3595"/>
      <c r="BB79" s="3595"/>
      <c r="BC79" s="3595"/>
      <c r="BD79" s="3595"/>
      <c r="BE79" s="3595"/>
      <c r="BF79" s="3409"/>
      <c r="BG79" s="3409"/>
      <c r="BH79" s="3412"/>
      <c r="BI79" s="3595"/>
      <c r="BJ79" s="3191"/>
      <c r="BK79" s="3407"/>
      <c r="BL79" s="3407"/>
      <c r="BM79" s="3407"/>
      <c r="BN79" s="3407"/>
      <c r="BO79" s="3956"/>
    </row>
    <row r="80" spans="3:67" ht="57" x14ac:dyDescent="0.2">
      <c r="C80" s="3398"/>
      <c r="D80" s="3916"/>
      <c r="E80" s="1020"/>
      <c r="F80" s="1019"/>
      <c r="G80" s="4439"/>
      <c r="H80" s="3942"/>
      <c r="I80" s="3942"/>
      <c r="J80" s="3936"/>
      <c r="K80" s="4420"/>
      <c r="L80" s="4421"/>
      <c r="M80" s="4422"/>
      <c r="N80" s="3920"/>
      <c r="O80" s="4424"/>
      <c r="P80" s="3410"/>
      <c r="Q80" s="3929"/>
      <c r="R80" s="3963"/>
      <c r="S80" s="1029" t="s">
        <v>912</v>
      </c>
      <c r="T80" s="1030">
        <f>200000000+100000000</f>
        <v>300000000</v>
      </c>
      <c r="U80" s="1030">
        <v>0</v>
      </c>
      <c r="V80" s="1030">
        <v>0</v>
      </c>
      <c r="W80" s="2646" t="s">
        <v>689</v>
      </c>
      <c r="X80" s="2647" t="s">
        <v>368</v>
      </c>
      <c r="Y80" s="3289"/>
      <c r="Z80" s="3289"/>
      <c r="AA80" s="3289"/>
      <c r="AB80" s="3595"/>
      <c r="AC80" s="4361"/>
      <c r="AD80" s="3595"/>
      <c r="AE80" s="3595"/>
      <c r="AF80" s="3595"/>
      <c r="AG80" s="3595"/>
      <c r="AH80" s="3595"/>
      <c r="AI80" s="3595"/>
      <c r="AJ80" s="3595"/>
      <c r="AK80" s="3595"/>
      <c r="AL80" s="3595"/>
      <c r="AM80" s="3595"/>
      <c r="AN80" s="3289"/>
      <c r="AO80" s="3595"/>
      <c r="AP80" s="3595"/>
      <c r="AQ80" s="3595"/>
      <c r="AR80" s="3595"/>
      <c r="AS80" s="3595"/>
      <c r="AT80" s="3595"/>
      <c r="AU80" s="3595"/>
      <c r="AV80" s="3595"/>
      <c r="AW80" s="3595"/>
      <c r="AX80" s="3595"/>
      <c r="AY80" s="3595"/>
      <c r="AZ80" s="3595"/>
      <c r="BA80" s="3595"/>
      <c r="BB80" s="3595"/>
      <c r="BC80" s="3595"/>
      <c r="BD80" s="3595"/>
      <c r="BE80" s="3595"/>
      <c r="BF80" s="3409"/>
      <c r="BG80" s="3409"/>
      <c r="BH80" s="3412"/>
      <c r="BI80" s="3595"/>
      <c r="BJ80" s="3191"/>
      <c r="BK80" s="3407"/>
      <c r="BL80" s="3407"/>
      <c r="BM80" s="3407"/>
      <c r="BN80" s="3407"/>
      <c r="BO80" s="3956"/>
    </row>
    <row r="81" spans="1:67" ht="71.25" x14ac:dyDescent="0.2">
      <c r="C81" s="3398"/>
      <c r="D81" s="3916"/>
      <c r="E81" s="1020"/>
      <c r="F81" s="1019"/>
      <c r="G81" s="4439"/>
      <c r="H81" s="3942"/>
      <c r="I81" s="3942"/>
      <c r="J81" s="3936"/>
      <c r="K81" s="4420"/>
      <c r="L81" s="4421"/>
      <c r="M81" s="4422"/>
      <c r="N81" s="3920"/>
      <c r="O81" s="4424"/>
      <c r="P81" s="3410"/>
      <c r="Q81" s="3929"/>
      <c r="R81" s="3963"/>
      <c r="S81" s="1029" t="s">
        <v>913</v>
      </c>
      <c r="T81" s="1030">
        <v>29040000</v>
      </c>
      <c r="U81" s="1030">
        <v>20818000</v>
      </c>
      <c r="V81" s="1030">
        <v>4531200</v>
      </c>
      <c r="W81" s="2646" t="s">
        <v>689</v>
      </c>
      <c r="X81" s="2647" t="s">
        <v>368</v>
      </c>
      <c r="Y81" s="3289"/>
      <c r="Z81" s="3289"/>
      <c r="AA81" s="3289"/>
      <c r="AB81" s="3595"/>
      <c r="AC81" s="4361"/>
      <c r="AD81" s="3595"/>
      <c r="AE81" s="3595"/>
      <c r="AF81" s="3595"/>
      <c r="AG81" s="3595"/>
      <c r="AH81" s="3595"/>
      <c r="AI81" s="3595"/>
      <c r="AJ81" s="3595"/>
      <c r="AK81" s="3595"/>
      <c r="AL81" s="3595"/>
      <c r="AM81" s="3595"/>
      <c r="AN81" s="3289"/>
      <c r="AO81" s="3595"/>
      <c r="AP81" s="3595"/>
      <c r="AQ81" s="3595"/>
      <c r="AR81" s="3595"/>
      <c r="AS81" s="3595"/>
      <c r="AT81" s="3595"/>
      <c r="AU81" s="3595"/>
      <c r="AV81" s="3595"/>
      <c r="AW81" s="3595"/>
      <c r="AX81" s="3595"/>
      <c r="AY81" s="3595"/>
      <c r="AZ81" s="3595"/>
      <c r="BA81" s="3595"/>
      <c r="BB81" s="3595"/>
      <c r="BC81" s="3595"/>
      <c r="BD81" s="3595"/>
      <c r="BE81" s="3595"/>
      <c r="BF81" s="3409"/>
      <c r="BG81" s="3409"/>
      <c r="BH81" s="3412"/>
      <c r="BI81" s="3595"/>
      <c r="BJ81" s="3191"/>
      <c r="BK81" s="3407"/>
      <c r="BL81" s="3407"/>
      <c r="BM81" s="3407"/>
      <c r="BN81" s="3407"/>
      <c r="BO81" s="3956"/>
    </row>
    <row r="82" spans="1:67" ht="42.75" x14ac:dyDescent="0.2">
      <c r="C82" s="3398"/>
      <c r="D82" s="3916"/>
      <c r="E82" s="1020"/>
      <c r="F82" s="1019"/>
      <c r="G82" s="4439"/>
      <c r="H82" s="3942"/>
      <c r="I82" s="3942"/>
      <c r="J82" s="3936"/>
      <c r="K82" s="4420"/>
      <c r="L82" s="4421"/>
      <c r="M82" s="4422"/>
      <c r="N82" s="3920"/>
      <c r="O82" s="4424"/>
      <c r="P82" s="3410"/>
      <c r="Q82" s="3929"/>
      <c r="R82" s="3963"/>
      <c r="S82" s="1029" t="s">
        <v>914</v>
      </c>
      <c r="T82" s="1030">
        <v>24360000</v>
      </c>
      <c r="U82" s="1030">
        <v>8915000</v>
      </c>
      <c r="V82" s="1030">
        <v>3566000</v>
      </c>
      <c r="W82" s="2646" t="s">
        <v>689</v>
      </c>
      <c r="X82" s="2647" t="s">
        <v>368</v>
      </c>
      <c r="Y82" s="3289"/>
      <c r="Z82" s="3289"/>
      <c r="AA82" s="3289"/>
      <c r="AB82" s="3595"/>
      <c r="AC82" s="4361"/>
      <c r="AD82" s="3595"/>
      <c r="AE82" s="3595"/>
      <c r="AF82" s="3595"/>
      <c r="AG82" s="3595"/>
      <c r="AH82" s="3595"/>
      <c r="AI82" s="3595"/>
      <c r="AJ82" s="3595"/>
      <c r="AK82" s="3595"/>
      <c r="AL82" s="3595"/>
      <c r="AM82" s="3595"/>
      <c r="AN82" s="3289"/>
      <c r="AO82" s="3595"/>
      <c r="AP82" s="3595"/>
      <c r="AQ82" s="3595"/>
      <c r="AR82" s="3595"/>
      <c r="AS82" s="3595"/>
      <c r="AT82" s="3595"/>
      <c r="AU82" s="3595"/>
      <c r="AV82" s="3595"/>
      <c r="AW82" s="3595"/>
      <c r="AX82" s="3595"/>
      <c r="AY82" s="3595"/>
      <c r="AZ82" s="3595"/>
      <c r="BA82" s="3595"/>
      <c r="BB82" s="3595"/>
      <c r="BC82" s="3595"/>
      <c r="BD82" s="3595"/>
      <c r="BE82" s="3595"/>
      <c r="BF82" s="3409"/>
      <c r="BG82" s="3409"/>
      <c r="BH82" s="3412"/>
      <c r="BI82" s="3595"/>
      <c r="BJ82" s="3191"/>
      <c r="BK82" s="3407"/>
      <c r="BL82" s="3407"/>
      <c r="BM82" s="3407"/>
      <c r="BN82" s="3407"/>
      <c r="BO82" s="3956"/>
    </row>
    <row r="83" spans="1:67" ht="42.75" x14ac:dyDescent="0.2">
      <c r="C83" s="3398"/>
      <c r="D83" s="3916"/>
      <c r="E83" s="1020"/>
      <c r="F83" s="1019"/>
      <c r="G83" s="4439"/>
      <c r="H83" s="3942"/>
      <c r="I83" s="3942"/>
      <c r="J83" s="3936"/>
      <c r="K83" s="4420"/>
      <c r="L83" s="4421"/>
      <c r="M83" s="4422"/>
      <c r="N83" s="3920"/>
      <c r="O83" s="4424"/>
      <c r="P83" s="3410"/>
      <c r="Q83" s="3929"/>
      <c r="R83" s="3963"/>
      <c r="S83" s="1027" t="s">
        <v>915</v>
      </c>
      <c r="T83" s="1028">
        <v>21610000</v>
      </c>
      <c r="U83" s="1028">
        <v>16853000</v>
      </c>
      <c r="V83" s="1028">
        <v>3101600</v>
      </c>
      <c r="W83" s="2646" t="s">
        <v>689</v>
      </c>
      <c r="X83" s="2647" t="s">
        <v>368</v>
      </c>
      <c r="Y83" s="3289"/>
      <c r="Z83" s="3289"/>
      <c r="AA83" s="3289"/>
      <c r="AB83" s="3595"/>
      <c r="AC83" s="4361"/>
      <c r="AD83" s="3595"/>
      <c r="AE83" s="3595"/>
      <c r="AF83" s="3595"/>
      <c r="AG83" s="3595"/>
      <c r="AH83" s="3595"/>
      <c r="AI83" s="3595"/>
      <c r="AJ83" s="3595"/>
      <c r="AK83" s="3595"/>
      <c r="AL83" s="3595"/>
      <c r="AM83" s="3595"/>
      <c r="AN83" s="3289"/>
      <c r="AO83" s="3595"/>
      <c r="AP83" s="3595"/>
      <c r="AQ83" s="3595"/>
      <c r="AR83" s="3595"/>
      <c r="AS83" s="3595"/>
      <c r="AT83" s="3595"/>
      <c r="AU83" s="3595"/>
      <c r="AV83" s="3595"/>
      <c r="AW83" s="3595"/>
      <c r="AX83" s="3595"/>
      <c r="AY83" s="3595"/>
      <c r="AZ83" s="3595"/>
      <c r="BA83" s="3595"/>
      <c r="BB83" s="3595"/>
      <c r="BC83" s="3595"/>
      <c r="BD83" s="3595"/>
      <c r="BE83" s="3595"/>
      <c r="BF83" s="3409"/>
      <c r="BG83" s="3409"/>
      <c r="BH83" s="3412"/>
      <c r="BI83" s="3595"/>
      <c r="BJ83" s="3191"/>
      <c r="BK83" s="3407"/>
      <c r="BL83" s="3407"/>
      <c r="BM83" s="3407"/>
      <c r="BN83" s="3407"/>
      <c r="BO83" s="3956"/>
    </row>
    <row r="84" spans="1:67" ht="42.75" x14ac:dyDescent="0.2">
      <c r="C84" s="3398"/>
      <c r="D84" s="3916"/>
      <c r="E84" s="1020"/>
      <c r="F84" s="1019"/>
      <c r="G84" s="4439"/>
      <c r="H84" s="3942"/>
      <c r="I84" s="3942"/>
      <c r="J84" s="3936"/>
      <c r="K84" s="4420"/>
      <c r="L84" s="4421"/>
      <c r="M84" s="4422"/>
      <c r="N84" s="3920"/>
      <c r="O84" s="4424"/>
      <c r="P84" s="3410"/>
      <c r="Q84" s="3929"/>
      <c r="R84" s="3963"/>
      <c r="S84" s="1027" t="s">
        <v>916</v>
      </c>
      <c r="T84" s="1028">
        <v>18590000</v>
      </c>
      <c r="U84" s="1028">
        <v>13955000</v>
      </c>
      <c r="V84" s="1028">
        <v>2382000</v>
      </c>
      <c r="W84" s="2646" t="s">
        <v>689</v>
      </c>
      <c r="X84" s="2647" t="s">
        <v>368</v>
      </c>
      <c r="Y84" s="3289"/>
      <c r="Z84" s="3289"/>
      <c r="AA84" s="3289"/>
      <c r="AB84" s="3595"/>
      <c r="AC84" s="4361"/>
      <c r="AD84" s="3595"/>
      <c r="AE84" s="3595"/>
      <c r="AF84" s="3595"/>
      <c r="AG84" s="3595"/>
      <c r="AH84" s="3595"/>
      <c r="AI84" s="3595"/>
      <c r="AJ84" s="3595"/>
      <c r="AK84" s="3595"/>
      <c r="AL84" s="3595"/>
      <c r="AM84" s="3595"/>
      <c r="AN84" s="3289"/>
      <c r="AO84" s="3595"/>
      <c r="AP84" s="3595"/>
      <c r="AQ84" s="3595"/>
      <c r="AR84" s="3595"/>
      <c r="AS84" s="3595"/>
      <c r="AT84" s="3595"/>
      <c r="AU84" s="3595"/>
      <c r="AV84" s="3595"/>
      <c r="AW84" s="3595"/>
      <c r="AX84" s="3595"/>
      <c r="AY84" s="3595"/>
      <c r="AZ84" s="3595"/>
      <c r="BA84" s="3595"/>
      <c r="BB84" s="3595"/>
      <c r="BC84" s="3595"/>
      <c r="BD84" s="3595"/>
      <c r="BE84" s="3595"/>
      <c r="BF84" s="3409"/>
      <c r="BG84" s="3409"/>
      <c r="BH84" s="3412"/>
      <c r="BI84" s="3595"/>
      <c r="BJ84" s="3191"/>
      <c r="BK84" s="3407"/>
      <c r="BL84" s="3407"/>
      <c r="BM84" s="3407"/>
      <c r="BN84" s="3407"/>
      <c r="BO84" s="3956"/>
    </row>
    <row r="85" spans="1:67" ht="85.5" x14ac:dyDescent="0.2">
      <c r="C85" s="3398"/>
      <c r="D85" s="3916"/>
      <c r="E85" s="1020"/>
      <c r="F85" s="1019"/>
      <c r="G85" s="4439"/>
      <c r="H85" s="3942"/>
      <c r="I85" s="3942"/>
      <c r="J85" s="3936"/>
      <c r="K85" s="4420"/>
      <c r="L85" s="4421"/>
      <c r="M85" s="4422"/>
      <c r="N85" s="3920"/>
      <c r="O85" s="4424"/>
      <c r="P85" s="3410"/>
      <c r="Q85" s="3929"/>
      <c r="R85" s="3963"/>
      <c r="S85" s="1027" t="s">
        <v>917</v>
      </c>
      <c r="T85" s="1028">
        <v>30000000</v>
      </c>
      <c r="U85" s="1028">
        <v>17990000</v>
      </c>
      <c r="V85" s="1028">
        <v>3200000</v>
      </c>
      <c r="W85" s="2646" t="s">
        <v>689</v>
      </c>
      <c r="X85" s="2647" t="s">
        <v>368</v>
      </c>
      <c r="Y85" s="3289"/>
      <c r="Z85" s="3289"/>
      <c r="AA85" s="3289"/>
      <c r="AB85" s="3595"/>
      <c r="AC85" s="4361"/>
      <c r="AD85" s="3595"/>
      <c r="AE85" s="3595"/>
      <c r="AF85" s="3595"/>
      <c r="AG85" s="3595"/>
      <c r="AH85" s="3595"/>
      <c r="AI85" s="3595"/>
      <c r="AJ85" s="3595"/>
      <c r="AK85" s="3595"/>
      <c r="AL85" s="3595"/>
      <c r="AM85" s="3595"/>
      <c r="AN85" s="3289"/>
      <c r="AO85" s="3595"/>
      <c r="AP85" s="3595"/>
      <c r="AQ85" s="3595"/>
      <c r="AR85" s="3595"/>
      <c r="AS85" s="3595"/>
      <c r="AT85" s="3595"/>
      <c r="AU85" s="3595"/>
      <c r="AV85" s="3595"/>
      <c r="AW85" s="3595"/>
      <c r="AX85" s="3595"/>
      <c r="AY85" s="3595"/>
      <c r="AZ85" s="3595"/>
      <c r="BA85" s="3595"/>
      <c r="BB85" s="3595"/>
      <c r="BC85" s="3595"/>
      <c r="BD85" s="3595"/>
      <c r="BE85" s="3595"/>
      <c r="BF85" s="3409"/>
      <c r="BG85" s="3409"/>
      <c r="BH85" s="3412"/>
      <c r="BI85" s="3595"/>
      <c r="BJ85" s="3191"/>
      <c r="BK85" s="3407"/>
      <c r="BL85" s="3407"/>
      <c r="BM85" s="3407"/>
      <c r="BN85" s="3407"/>
      <c r="BO85" s="3956"/>
    </row>
    <row r="86" spans="1:67" ht="42.75" x14ac:dyDescent="0.2">
      <c r="C86" s="3398"/>
      <c r="D86" s="3916"/>
      <c r="E86" s="1020"/>
      <c r="F86" s="1019"/>
      <c r="G86" s="4439"/>
      <c r="H86" s="3942"/>
      <c r="I86" s="3942"/>
      <c r="J86" s="3936"/>
      <c r="K86" s="4420"/>
      <c r="L86" s="4421"/>
      <c r="M86" s="4422"/>
      <c r="N86" s="3920"/>
      <c r="O86" s="4424"/>
      <c r="P86" s="3410"/>
      <c r="Q86" s="3929"/>
      <c r="R86" s="3956"/>
      <c r="S86" s="1027" t="s">
        <v>918</v>
      </c>
      <c r="T86" s="1028">
        <v>15000000</v>
      </c>
      <c r="U86" s="1028">
        <v>8482000</v>
      </c>
      <c r="V86" s="1028">
        <v>635400</v>
      </c>
      <c r="W86" s="2646" t="s">
        <v>689</v>
      </c>
      <c r="X86" s="2647" t="s">
        <v>368</v>
      </c>
      <c r="Y86" s="3289"/>
      <c r="Z86" s="3289"/>
      <c r="AA86" s="3289"/>
      <c r="AB86" s="3595"/>
      <c r="AC86" s="4361"/>
      <c r="AD86" s="3595"/>
      <c r="AE86" s="3595"/>
      <c r="AF86" s="3595"/>
      <c r="AG86" s="3595"/>
      <c r="AH86" s="3595"/>
      <c r="AI86" s="3595"/>
      <c r="AJ86" s="3595"/>
      <c r="AK86" s="3595"/>
      <c r="AL86" s="3595"/>
      <c r="AM86" s="3595"/>
      <c r="AN86" s="3289"/>
      <c r="AO86" s="3595"/>
      <c r="AP86" s="3595"/>
      <c r="AQ86" s="3595"/>
      <c r="AR86" s="3595"/>
      <c r="AS86" s="3595"/>
      <c r="AT86" s="3595"/>
      <c r="AU86" s="3595"/>
      <c r="AV86" s="3595"/>
      <c r="AW86" s="3595"/>
      <c r="AX86" s="3595"/>
      <c r="AY86" s="3595"/>
      <c r="AZ86" s="3595"/>
      <c r="BA86" s="3595"/>
      <c r="BB86" s="3595"/>
      <c r="BC86" s="3595"/>
      <c r="BD86" s="3595"/>
      <c r="BE86" s="3595"/>
      <c r="BF86" s="3409"/>
      <c r="BG86" s="3409"/>
      <c r="BH86" s="3412"/>
      <c r="BI86" s="3595"/>
      <c r="BJ86" s="3191"/>
      <c r="BK86" s="3407"/>
      <c r="BL86" s="3407"/>
      <c r="BM86" s="3407"/>
      <c r="BN86" s="3407"/>
      <c r="BO86" s="3956"/>
    </row>
    <row r="87" spans="1:67" ht="42.75" x14ac:dyDescent="0.2">
      <c r="C87" s="3398"/>
      <c r="D87" s="3916"/>
      <c r="E87" s="1020"/>
      <c r="F87" s="1019"/>
      <c r="G87" s="4439"/>
      <c r="H87" s="3942"/>
      <c r="I87" s="3942"/>
      <c r="J87" s="3936"/>
      <c r="K87" s="4420"/>
      <c r="L87" s="4421"/>
      <c r="M87" s="4422"/>
      <c r="N87" s="3920"/>
      <c r="O87" s="4424"/>
      <c r="P87" s="3410"/>
      <c r="Q87" s="3929"/>
      <c r="R87" s="3954" t="s">
        <v>919</v>
      </c>
      <c r="S87" s="1031" t="s">
        <v>920</v>
      </c>
      <c r="T87" s="1030">
        <f>200000000-100000000</f>
        <v>100000000</v>
      </c>
      <c r="U87" s="1030">
        <v>0</v>
      </c>
      <c r="V87" s="1030">
        <v>0</v>
      </c>
      <c r="W87" s="2646" t="s">
        <v>689</v>
      </c>
      <c r="X87" s="2647" t="s">
        <v>368</v>
      </c>
      <c r="Y87" s="3289"/>
      <c r="Z87" s="3289"/>
      <c r="AA87" s="3289"/>
      <c r="AB87" s="3595"/>
      <c r="AC87" s="4361"/>
      <c r="AD87" s="3595"/>
      <c r="AE87" s="3595"/>
      <c r="AF87" s="3595"/>
      <c r="AG87" s="3595"/>
      <c r="AH87" s="3595"/>
      <c r="AI87" s="3595"/>
      <c r="AJ87" s="3595"/>
      <c r="AK87" s="3595"/>
      <c r="AL87" s="3595"/>
      <c r="AM87" s="3595"/>
      <c r="AN87" s="3289"/>
      <c r="AO87" s="3595"/>
      <c r="AP87" s="3595"/>
      <c r="AQ87" s="3595"/>
      <c r="AR87" s="3595"/>
      <c r="AS87" s="3595"/>
      <c r="AT87" s="3595"/>
      <c r="AU87" s="3595"/>
      <c r="AV87" s="3595"/>
      <c r="AW87" s="3595"/>
      <c r="AX87" s="3595"/>
      <c r="AY87" s="3595"/>
      <c r="AZ87" s="3595"/>
      <c r="BA87" s="3595"/>
      <c r="BB87" s="3595"/>
      <c r="BC87" s="3595"/>
      <c r="BD87" s="3595"/>
      <c r="BE87" s="3595"/>
      <c r="BF87" s="3409"/>
      <c r="BG87" s="3409"/>
      <c r="BH87" s="3412"/>
      <c r="BI87" s="3595"/>
      <c r="BJ87" s="3191"/>
      <c r="BK87" s="3407"/>
      <c r="BL87" s="3407"/>
      <c r="BM87" s="3407"/>
      <c r="BN87" s="3407"/>
      <c r="BO87" s="3956"/>
    </row>
    <row r="88" spans="1:67" ht="57" x14ac:dyDescent="0.2">
      <c r="C88" s="3398"/>
      <c r="D88" s="3916"/>
      <c r="E88" s="1020"/>
      <c r="F88" s="1019"/>
      <c r="G88" s="4439"/>
      <c r="H88" s="3942"/>
      <c r="I88" s="3942"/>
      <c r="J88" s="3936"/>
      <c r="K88" s="4420"/>
      <c r="L88" s="4421"/>
      <c r="M88" s="4422"/>
      <c r="N88" s="3920"/>
      <c r="O88" s="4424"/>
      <c r="P88" s="3410"/>
      <c r="Q88" s="3929"/>
      <c r="R88" s="3954"/>
      <c r="S88" s="1027" t="s">
        <v>921</v>
      </c>
      <c r="T88" s="1028">
        <v>50000000</v>
      </c>
      <c r="U88" s="1028">
        <v>27745000</v>
      </c>
      <c r="V88" s="1028">
        <v>7990000</v>
      </c>
      <c r="W88" s="2646" t="s">
        <v>689</v>
      </c>
      <c r="X88" s="2647" t="s">
        <v>368</v>
      </c>
      <c r="Y88" s="3289"/>
      <c r="Z88" s="3289"/>
      <c r="AA88" s="3289"/>
      <c r="AB88" s="3595"/>
      <c r="AC88" s="4361"/>
      <c r="AD88" s="3595"/>
      <c r="AE88" s="3595"/>
      <c r="AF88" s="3595"/>
      <c r="AG88" s="3595"/>
      <c r="AH88" s="3595"/>
      <c r="AI88" s="3595"/>
      <c r="AJ88" s="3595"/>
      <c r="AK88" s="3595"/>
      <c r="AL88" s="3595"/>
      <c r="AM88" s="3595"/>
      <c r="AN88" s="3289"/>
      <c r="AO88" s="3595"/>
      <c r="AP88" s="3595"/>
      <c r="AQ88" s="3595"/>
      <c r="AR88" s="3595"/>
      <c r="AS88" s="3595"/>
      <c r="AT88" s="3595"/>
      <c r="AU88" s="3595"/>
      <c r="AV88" s="3595"/>
      <c r="AW88" s="3595"/>
      <c r="AX88" s="3595"/>
      <c r="AY88" s="3595"/>
      <c r="AZ88" s="3595"/>
      <c r="BA88" s="3595"/>
      <c r="BB88" s="3595"/>
      <c r="BC88" s="3595"/>
      <c r="BD88" s="3595"/>
      <c r="BE88" s="3595"/>
      <c r="BF88" s="3409"/>
      <c r="BG88" s="3409"/>
      <c r="BH88" s="3412"/>
      <c r="BI88" s="3595"/>
      <c r="BJ88" s="3191"/>
      <c r="BK88" s="3407"/>
      <c r="BL88" s="3407"/>
      <c r="BM88" s="3407"/>
      <c r="BN88" s="3407"/>
      <c r="BO88" s="3956"/>
    </row>
    <row r="89" spans="1:67" ht="57" x14ac:dyDescent="0.2">
      <c r="C89" s="3398"/>
      <c r="D89" s="3916"/>
      <c r="E89" s="1020"/>
      <c r="F89" s="1019"/>
      <c r="G89" s="4439"/>
      <c r="H89" s="3942"/>
      <c r="I89" s="3942"/>
      <c r="J89" s="3936"/>
      <c r="K89" s="4420"/>
      <c r="L89" s="4421"/>
      <c r="M89" s="4422"/>
      <c r="N89" s="3942"/>
      <c r="O89" s="4424"/>
      <c r="P89" s="3300"/>
      <c r="Q89" s="3929"/>
      <c r="R89" s="3954"/>
      <c r="S89" s="1027" t="s">
        <v>922</v>
      </c>
      <c r="T89" s="1028">
        <v>150000000</v>
      </c>
      <c r="U89" s="1028">
        <v>23083750</v>
      </c>
      <c r="V89" s="1028">
        <v>9517600</v>
      </c>
      <c r="W89" s="2646" t="s">
        <v>689</v>
      </c>
      <c r="X89" s="2647" t="s">
        <v>368</v>
      </c>
      <c r="Y89" s="3289"/>
      <c r="Z89" s="3289"/>
      <c r="AA89" s="3289"/>
      <c r="AB89" s="3595"/>
      <c r="AC89" s="4361"/>
      <c r="AD89" s="3595"/>
      <c r="AE89" s="3595"/>
      <c r="AF89" s="3595"/>
      <c r="AG89" s="3595"/>
      <c r="AH89" s="3595"/>
      <c r="AI89" s="3595"/>
      <c r="AJ89" s="3595"/>
      <c r="AK89" s="3595"/>
      <c r="AL89" s="3595"/>
      <c r="AM89" s="3595"/>
      <c r="AN89" s="3289"/>
      <c r="AO89" s="3595"/>
      <c r="AP89" s="3595"/>
      <c r="AQ89" s="3595"/>
      <c r="AR89" s="3595"/>
      <c r="AS89" s="3595"/>
      <c r="AT89" s="3595"/>
      <c r="AU89" s="3595"/>
      <c r="AV89" s="3595"/>
      <c r="AW89" s="3595"/>
      <c r="AX89" s="3595"/>
      <c r="AY89" s="3595"/>
      <c r="AZ89" s="3595"/>
      <c r="BA89" s="3595"/>
      <c r="BB89" s="3595"/>
      <c r="BC89" s="3595"/>
      <c r="BD89" s="3595"/>
      <c r="BE89" s="3595"/>
      <c r="BF89" s="3409"/>
      <c r="BG89" s="3409"/>
      <c r="BH89" s="3412"/>
      <c r="BI89" s="3595"/>
      <c r="BJ89" s="3191"/>
      <c r="BK89" s="3289"/>
      <c r="BL89" s="3289"/>
      <c r="BM89" s="3289"/>
      <c r="BN89" s="3289"/>
      <c r="BO89" s="3954"/>
    </row>
    <row r="90" spans="1:67" ht="67.5" customHeight="1" x14ac:dyDescent="0.2">
      <c r="C90" s="3398"/>
      <c r="D90" s="3916"/>
      <c r="E90" s="1020"/>
      <c r="F90" s="1019"/>
      <c r="G90" s="4439"/>
      <c r="H90" s="3942"/>
      <c r="I90" s="3942"/>
      <c r="J90" s="3936"/>
      <c r="K90" s="4420"/>
      <c r="L90" s="4421"/>
      <c r="M90" s="4422"/>
      <c r="N90" s="3942"/>
      <c r="O90" s="4424"/>
      <c r="P90" s="3300"/>
      <c r="Q90" s="3929"/>
      <c r="R90" s="3954"/>
      <c r="S90" s="1027" t="s">
        <v>923</v>
      </c>
      <c r="T90" s="1028">
        <v>50000000</v>
      </c>
      <c r="U90" s="1028">
        <v>4583250</v>
      </c>
      <c r="V90" s="1028">
        <v>2518200</v>
      </c>
      <c r="W90" s="2646" t="s">
        <v>689</v>
      </c>
      <c r="X90" s="2647" t="s">
        <v>368</v>
      </c>
      <c r="Y90" s="3289"/>
      <c r="Z90" s="3289"/>
      <c r="AA90" s="3289"/>
      <c r="AB90" s="3595"/>
      <c r="AC90" s="4361"/>
      <c r="AD90" s="3595"/>
      <c r="AE90" s="3595"/>
      <c r="AF90" s="3595"/>
      <c r="AG90" s="3595"/>
      <c r="AH90" s="3595"/>
      <c r="AI90" s="3595"/>
      <c r="AJ90" s="3595"/>
      <c r="AK90" s="3595"/>
      <c r="AL90" s="3595"/>
      <c r="AM90" s="3595"/>
      <c r="AN90" s="3289"/>
      <c r="AO90" s="3595"/>
      <c r="AP90" s="3595"/>
      <c r="AQ90" s="3595"/>
      <c r="AR90" s="3595"/>
      <c r="AS90" s="3595"/>
      <c r="AT90" s="3595"/>
      <c r="AU90" s="3595"/>
      <c r="AV90" s="3595"/>
      <c r="AW90" s="3595"/>
      <c r="AX90" s="3595"/>
      <c r="AY90" s="3595"/>
      <c r="AZ90" s="3595"/>
      <c r="BA90" s="3595"/>
      <c r="BB90" s="3595"/>
      <c r="BC90" s="3595"/>
      <c r="BD90" s="3595"/>
      <c r="BE90" s="3595"/>
      <c r="BF90" s="3409"/>
      <c r="BG90" s="3409"/>
      <c r="BH90" s="3412"/>
      <c r="BI90" s="3595"/>
      <c r="BJ90" s="3191"/>
      <c r="BK90" s="3289"/>
      <c r="BL90" s="3289"/>
      <c r="BM90" s="3289"/>
      <c r="BN90" s="3289"/>
      <c r="BO90" s="3954"/>
    </row>
    <row r="91" spans="1:67" ht="41.25" customHeight="1" x14ac:dyDescent="0.2">
      <c r="C91" s="3398"/>
      <c r="D91" s="3916"/>
      <c r="E91" s="1020"/>
      <c r="F91" s="1019"/>
      <c r="G91" s="4439"/>
      <c r="H91" s="3942"/>
      <c r="I91" s="3942"/>
      <c r="J91" s="3936"/>
      <c r="K91" s="4420"/>
      <c r="L91" s="4421"/>
      <c r="M91" s="4422"/>
      <c r="N91" s="3942"/>
      <c r="O91" s="4424"/>
      <c r="P91" s="3300"/>
      <c r="Q91" s="3929"/>
      <c r="R91" s="3954"/>
      <c r="S91" s="1027" t="s">
        <v>924</v>
      </c>
      <c r="T91" s="1028">
        <v>30000000</v>
      </c>
      <c r="U91" s="1028">
        <v>0</v>
      </c>
      <c r="V91" s="1028">
        <v>0</v>
      </c>
      <c r="W91" s="2646" t="s">
        <v>689</v>
      </c>
      <c r="X91" s="2647" t="s">
        <v>368</v>
      </c>
      <c r="Y91" s="3289"/>
      <c r="Z91" s="3289"/>
      <c r="AA91" s="3289"/>
      <c r="AB91" s="3595"/>
      <c r="AC91" s="4361"/>
      <c r="AD91" s="3595"/>
      <c r="AE91" s="3595"/>
      <c r="AF91" s="3595"/>
      <c r="AG91" s="3595"/>
      <c r="AH91" s="3595"/>
      <c r="AI91" s="3595"/>
      <c r="AJ91" s="3595"/>
      <c r="AK91" s="3595"/>
      <c r="AL91" s="3595"/>
      <c r="AM91" s="3595"/>
      <c r="AN91" s="3289"/>
      <c r="AO91" s="3595"/>
      <c r="AP91" s="3595"/>
      <c r="AQ91" s="3595"/>
      <c r="AR91" s="3595"/>
      <c r="AS91" s="3595"/>
      <c r="AT91" s="3595"/>
      <c r="AU91" s="3595"/>
      <c r="AV91" s="3595"/>
      <c r="AW91" s="3595"/>
      <c r="AX91" s="3595"/>
      <c r="AY91" s="3595"/>
      <c r="AZ91" s="3595"/>
      <c r="BA91" s="3595"/>
      <c r="BB91" s="3595"/>
      <c r="BC91" s="3595"/>
      <c r="BD91" s="3595"/>
      <c r="BE91" s="3595"/>
      <c r="BF91" s="3409"/>
      <c r="BG91" s="3409"/>
      <c r="BH91" s="3412"/>
      <c r="BI91" s="3595"/>
      <c r="BJ91" s="3191"/>
      <c r="BK91" s="3289"/>
      <c r="BL91" s="3289"/>
      <c r="BM91" s="3289"/>
      <c r="BN91" s="3289"/>
      <c r="BO91" s="3954"/>
    </row>
    <row r="92" spans="1:67" ht="42.75" x14ac:dyDescent="0.2">
      <c r="A92" s="1032"/>
      <c r="B92" s="1032"/>
      <c r="C92" s="3917"/>
      <c r="D92" s="3918"/>
      <c r="E92" s="1020"/>
      <c r="F92" s="1019"/>
      <c r="G92" s="4439"/>
      <c r="H92" s="3942"/>
      <c r="I92" s="3942"/>
      <c r="J92" s="3936"/>
      <c r="K92" s="3951"/>
      <c r="L92" s="4421"/>
      <c r="M92" s="4422"/>
      <c r="N92" s="3942"/>
      <c r="O92" s="4424"/>
      <c r="P92" s="3300"/>
      <c r="Q92" s="3929"/>
      <c r="R92" s="3954"/>
      <c r="S92" s="1027" t="s">
        <v>925</v>
      </c>
      <c r="T92" s="1028">
        <v>20000000</v>
      </c>
      <c r="U92" s="1028">
        <v>0</v>
      </c>
      <c r="V92" s="1028">
        <v>0</v>
      </c>
      <c r="W92" s="2646" t="s">
        <v>689</v>
      </c>
      <c r="X92" s="2647" t="s">
        <v>368</v>
      </c>
      <c r="Y92" s="3289"/>
      <c r="Z92" s="3289"/>
      <c r="AA92" s="3289"/>
      <c r="AB92" s="3596"/>
      <c r="AC92" s="4361"/>
      <c r="AD92" s="3596"/>
      <c r="AE92" s="3595"/>
      <c r="AF92" s="3596"/>
      <c r="AG92" s="3595"/>
      <c r="AH92" s="3596"/>
      <c r="AI92" s="3595"/>
      <c r="AJ92" s="3596"/>
      <c r="AK92" s="3595"/>
      <c r="AL92" s="3596"/>
      <c r="AM92" s="3595"/>
      <c r="AN92" s="3289"/>
      <c r="AO92" s="3595"/>
      <c r="AP92" s="3596"/>
      <c r="AQ92" s="3595"/>
      <c r="AR92" s="3596"/>
      <c r="AS92" s="3595"/>
      <c r="AT92" s="3596"/>
      <c r="AU92" s="3595"/>
      <c r="AV92" s="3596"/>
      <c r="AW92" s="3595"/>
      <c r="AX92" s="3596"/>
      <c r="AY92" s="3595"/>
      <c r="AZ92" s="3596"/>
      <c r="BA92" s="3595"/>
      <c r="BB92" s="3596"/>
      <c r="BC92" s="3595"/>
      <c r="BD92" s="3596"/>
      <c r="BE92" s="3596"/>
      <c r="BF92" s="3410"/>
      <c r="BG92" s="3410"/>
      <c r="BH92" s="3413"/>
      <c r="BI92" s="3596"/>
      <c r="BJ92" s="3192"/>
      <c r="BK92" s="3289"/>
      <c r="BL92" s="3289"/>
      <c r="BM92" s="3289"/>
      <c r="BN92" s="3289"/>
      <c r="BO92" s="3954"/>
    </row>
    <row r="93" spans="1:67" x14ac:dyDescent="0.2">
      <c r="A93" s="1032"/>
      <c r="B93" s="1032"/>
      <c r="C93" s="1004">
        <v>18</v>
      </c>
      <c r="D93" s="1033" t="s">
        <v>926</v>
      </c>
      <c r="E93" s="1034"/>
      <c r="F93" s="1035"/>
      <c r="G93" s="1034"/>
      <c r="H93" s="1034"/>
      <c r="I93" s="1034"/>
      <c r="J93" s="1034"/>
      <c r="K93" s="1034"/>
      <c r="L93" s="1034"/>
      <c r="M93" s="1034"/>
      <c r="N93" s="1034"/>
      <c r="O93" s="1036"/>
      <c r="P93" s="1037"/>
      <c r="Q93" s="1034"/>
      <c r="R93" s="1034"/>
      <c r="S93" s="1034"/>
      <c r="T93" s="1038"/>
      <c r="U93" s="1038"/>
      <c r="V93" s="1038"/>
      <c r="W93" s="1034"/>
      <c r="X93" s="1039"/>
      <c r="Y93" s="1034"/>
      <c r="Z93" s="1034"/>
      <c r="AA93" s="1034"/>
      <c r="AB93" s="1034"/>
      <c r="AC93" s="1034"/>
      <c r="AD93" s="1034"/>
      <c r="AE93" s="1034"/>
      <c r="AF93" s="1034"/>
      <c r="AG93" s="1034"/>
      <c r="AH93" s="1034"/>
      <c r="AI93" s="1034"/>
      <c r="AJ93" s="1034"/>
      <c r="AK93" s="1034"/>
      <c r="AL93" s="1034"/>
      <c r="AM93" s="1034"/>
      <c r="AN93" s="1034"/>
      <c r="AO93" s="1034"/>
      <c r="AP93" s="1034"/>
      <c r="AQ93" s="1034"/>
      <c r="AR93" s="1034"/>
      <c r="AS93" s="1034"/>
      <c r="AT93" s="1034"/>
      <c r="AU93" s="1034"/>
      <c r="AV93" s="1034"/>
      <c r="AW93" s="1034"/>
      <c r="AX93" s="1034"/>
      <c r="AY93" s="1034"/>
      <c r="AZ93" s="1034"/>
      <c r="BA93" s="1034"/>
      <c r="BB93" s="1034"/>
      <c r="BC93" s="1034"/>
      <c r="BD93" s="1034"/>
      <c r="BE93" s="1034"/>
      <c r="BF93" s="1037"/>
      <c r="BG93" s="1037"/>
      <c r="BH93" s="1034"/>
      <c r="BI93" s="1034"/>
      <c r="BJ93" s="1034"/>
      <c r="BK93" s="1034"/>
      <c r="BL93" s="1034"/>
      <c r="BM93" s="1034"/>
      <c r="BN93" s="1034"/>
      <c r="BO93" s="1040"/>
    </row>
    <row r="94" spans="1:67" x14ac:dyDescent="0.2">
      <c r="A94" s="3398"/>
      <c r="B94" s="4386"/>
      <c r="C94" s="4386"/>
      <c r="D94" s="4386"/>
      <c r="E94" s="1041">
        <v>62</v>
      </c>
      <c r="F94" s="1042" t="s">
        <v>899</v>
      </c>
      <c r="G94" s="1043"/>
      <c r="H94" s="1044"/>
      <c r="I94" s="1044"/>
      <c r="J94" s="1044"/>
      <c r="K94" s="1044"/>
      <c r="L94" s="1044"/>
      <c r="M94" s="1044"/>
      <c r="N94" s="1044"/>
      <c r="O94" s="1045"/>
      <c r="P94" s="1046"/>
      <c r="Q94" s="1044"/>
      <c r="R94" s="1044"/>
      <c r="S94" s="1044"/>
      <c r="T94" s="1047"/>
      <c r="U94" s="1047"/>
      <c r="V94" s="1047"/>
      <c r="W94" s="1044"/>
      <c r="X94" s="1048"/>
      <c r="Y94" s="1044"/>
      <c r="Z94" s="1044"/>
      <c r="AA94" s="1044"/>
      <c r="AB94" s="1044"/>
      <c r="AC94" s="1044"/>
      <c r="AD94" s="1044"/>
      <c r="AE94" s="1044"/>
      <c r="AF94" s="1044"/>
      <c r="AG94" s="1044"/>
      <c r="AH94" s="1044"/>
      <c r="AI94" s="1044"/>
      <c r="AJ94" s="1044"/>
      <c r="AK94" s="1044"/>
      <c r="AL94" s="1044"/>
      <c r="AM94" s="1044"/>
      <c r="AN94" s="1044"/>
      <c r="AO94" s="1044"/>
      <c r="AP94" s="1044"/>
      <c r="AQ94" s="1044"/>
      <c r="AR94" s="1044"/>
      <c r="AS94" s="1044"/>
      <c r="AT94" s="1044"/>
      <c r="AU94" s="1044"/>
      <c r="AV94" s="1044"/>
      <c r="AW94" s="1044"/>
      <c r="AX94" s="1044"/>
      <c r="AY94" s="1044"/>
      <c r="AZ94" s="1044"/>
      <c r="BA94" s="1044"/>
      <c r="BB94" s="1044"/>
      <c r="BC94" s="1044"/>
      <c r="BD94" s="1044"/>
      <c r="BE94" s="1044"/>
      <c r="BF94" s="1046"/>
      <c r="BG94" s="1046"/>
      <c r="BH94" s="1044"/>
      <c r="BI94" s="1044"/>
      <c r="BJ94" s="1044"/>
      <c r="BK94" s="1044"/>
      <c r="BL94" s="1044"/>
      <c r="BM94" s="1044"/>
      <c r="BN94" s="1044"/>
      <c r="BO94" s="1043"/>
    </row>
    <row r="95" spans="1:67" ht="105" customHeight="1" x14ac:dyDescent="0.2">
      <c r="A95" s="3398"/>
      <c r="B95" s="4386"/>
      <c r="C95" s="4386"/>
      <c r="D95" s="4386"/>
      <c r="E95" s="4419"/>
      <c r="F95" s="3249"/>
      <c r="G95" s="4374">
        <v>192</v>
      </c>
      <c r="H95" s="4374" t="s">
        <v>927</v>
      </c>
      <c r="I95" s="4374" t="s">
        <v>928</v>
      </c>
      <c r="J95" s="4374">
        <v>1</v>
      </c>
      <c r="K95" s="4374">
        <v>0.18</v>
      </c>
      <c r="L95" s="4374" t="s">
        <v>929</v>
      </c>
      <c r="M95" s="4374" t="s">
        <v>930</v>
      </c>
      <c r="N95" s="4384" t="s">
        <v>931</v>
      </c>
      <c r="O95" s="4380">
        <v>1</v>
      </c>
      <c r="P95" s="3828">
        <v>79500000</v>
      </c>
      <c r="Q95" s="4406" t="s">
        <v>932</v>
      </c>
      <c r="R95" s="4374" t="s">
        <v>933</v>
      </c>
      <c r="S95" s="1049" t="s">
        <v>934</v>
      </c>
      <c r="T95" s="2671">
        <v>44500000</v>
      </c>
      <c r="U95" s="2671">
        <v>13990000</v>
      </c>
      <c r="V95" s="2671">
        <v>5596000</v>
      </c>
      <c r="W95" s="2646" t="s">
        <v>689</v>
      </c>
      <c r="X95" s="2647" t="s">
        <v>368</v>
      </c>
      <c r="Y95" s="4374">
        <v>701</v>
      </c>
      <c r="Z95" s="4374">
        <v>170</v>
      </c>
      <c r="AA95" s="4374">
        <v>877</v>
      </c>
      <c r="AB95" s="4374">
        <v>216</v>
      </c>
      <c r="AC95" s="4374">
        <v>56</v>
      </c>
      <c r="AD95" s="4374">
        <v>12</v>
      </c>
      <c r="AE95" s="4374">
        <v>150</v>
      </c>
      <c r="AF95" s="4374">
        <v>45</v>
      </c>
      <c r="AG95" s="4374">
        <v>1250</v>
      </c>
      <c r="AH95" s="4374">
        <v>307</v>
      </c>
      <c r="AI95" s="4374">
        <v>122</v>
      </c>
      <c r="AJ95" s="4374">
        <v>22</v>
      </c>
      <c r="AK95" s="4374" t="s">
        <v>935</v>
      </c>
      <c r="AL95" s="4374" t="s">
        <v>935</v>
      </c>
      <c r="AM95" s="4374" t="s">
        <v>935</v>
      </c>
      <c r="AN95" s="4374" t="s">
        <v>935</v>
      </c>
      <c r="AO95" s="4374" t="s">
        <v>935</v>
      </c>
      <c r="AP95" s="4374" t="s">
        <v>935</v>
      </c>
      <c r="AQ95" s="4374" t="s">
        <v>935</v>
      </c>
      <c r="AR95" s="4374" t="s">
        <v>935</v>
      </c>
      <c r="AS95" s="4374" t="s">
        <v>935</v>
      </c>
      <c r="AT95" s="4374" t="s">
        <v>935</v>
      </c>
      <c r="AU95" s="4374" t="s">
        <v>935</v>
      </c>
      <c r="AV95" s="4374" t="s">
        <v>935</v>
      </c>
      <c r="AW95" s="4374" t="s">
        <v>935</v>
      </c>
      <c r="AX95" s="4374" t="s">
        <v>935</v>
      </c>
      <c r="AY95" s="4374" t="s">
        <v>935</v>
      </c>
      <c r="AZ95" s="4374" t="s">
        <v>935</v>
      </c>
      <c r="BA95" s="4374" t="s">
        <v>935</v>
      </c>
      <c r="BB95" s="4374" t="s">
        <v>935</v>
      </c>
      <c r="BC95" s="4374">
        <f>+Y95+AA95</f>
        <v>1578</v>
      </c>
      <c r="BD95" s="4374">
        <f>+Z95+AB95</f>
        <v>386</v>
      </c>
      <c r="BE95" s="4374">
        <v>1</v>
      </c>
      <c r="BF95" s="3828">
        <v>13990000</v>
      </c>
      <c r="BG95" s="3828">
        <v>5596000</v>
      </c>
      <c r="BH95" s="4402">
        <f>+BF95/(T95+T96)</f>
        <v>0.17597484276729561</v>
      </c>
      <c r="BI95" s="4374" t="s">
        <v>181</v>
      </c>
      <c r="BJ95" s="4374" t="s">
        <v>936</v>
      </c>
      <c r="BK95" s="4387">
        <v>43466</v>
      </c>
      <c r="BL95" s="4387">
        <v>43466</v>
      </c>
      <c r="BM95" s="4387">
        <v>43617</v>
      </c>
      <c r="BN95" s="4387">
        <v>43617</v>
      </c>
      <c r="BO95" s="4374" t="s">
        <v>787</v>
      </c>
    </row>
    <row r="96" spans="1:67" ht="69.75" customHeight="1" x14ac:dyDescent="0.2">
      <c r="A96" s="3398"/>
      <c r="B96" s="4386"/>
      <c r="C96" s="4386"/>
      <c r="D96" s="4386"/>
      <c r="E96" s="4419"/>
      <c r="F96" s="3249"/>
      <c r="G96" s="4388"/>
      <c r="H96" s="4388"/>
      <c r="I96" s="4388"/>
      <c r="J96" s="4388"/>
      <c r="K96" s="4388"/>
      <c r="L96" s="4388"/>
      <c r="M96" s="4388"/>
      <c r="N96" s="4418"/>
      <c r="O96" s="4414"/>
      <c r="P96" s="3829"/>
      <c r="Q96" s="4412"/>
      <c r="R96" s="4388"/>
      <c r="S96" s="1051" t="s">
        <v>937</v>
      </c>
      <c r="T96" s="2654">
        <v>35000000</v>
      </c>
      <c r="U96" s="2654">
        <v>0</v>
      </c>
      <c r="V96" s="2654">
        <v>0</v>
      </c>
      <c r="W96" s="2646" t="s">
        <v>689</v>
      </c>
      <c r="X96" s="2647" t="s">
        <v>368</v>
      </c>
      <c r="Y96" s="4388"/>
      <c r="Z96" s="4388"/>
      <c r="AA96" s="4388"/>
      <c r="AB96" s="4388"/>
      <c r="AC96" s="4388"/>
      <c r="AD96" s="4388"/>
      <c r="AE96" s="4388"/>
      <c r="AF96" s="4388"/>
      <c r="AG96" s="4388"/>
      <c r="AH96" s="4388"/>
      <c r="AI96" s="4388"/>
      <c r="AJ96" s="4388"/>
      <c r="AK96" s="4388"/>
      <c r="AL96" s="4388"/>
      <c r="AM96" s="4388"/>
      <c r="AN96" s="4388"/>
      <c r="AO96" s="4388"/>
      <c r="AP96" s="4388"/>
      <c r="AQ96" s="4388"/>
      <c r="AR96" s="4388"/>
      <c r="AS96" s="4388"/>
      <c r="AT96" s="4388"/>
      <c r="AU96" s="4388"/>
      <c r="AV96" s="4388"/>
      <c r="AW96" s="4388"/>
      <c r="AX96" s="4388"/>
      <c r="AY96" s="4388"/>
      <c r="AZ96" s="4388"/>
      <c r="BA96" s="4388"/>
      <c r="BB96" s="4388"/>
      <c r="BC96" s="4388"/>
      <c r="BD96" s="4388"/>
      <c r="BE96" s="4388"/>
      <c r="BF96" s="3829"/>
      <c r="BG96" s="3829"/>
      <c r="BH96" s="4411"/>
      <c r="BI96" s="4388"/>
      <c r="BJ96" s="4388"/>
      <c r="BK96" s="4388"/>
      <c r="BL96" s="4388"/>
      <c r="BM96" s="4388"/>
      <c r="BN96" s="4388"/>
      <c r="BO96" s="4388"/>
    </row>
    <row r="97" spans="1:67" ht="135" customHeight="1" x14ac:dyDescent="0.2">
      <c r="A97" s="3398"/>
      <c r="B97" s="4386"/>
      <c r="C97" s="4386"/>
      <c r="D97" s="4386"/>
      <c r="E97" s="4419"/>
      <c r="F97" s="3249"/>
      <c r="G97" s="4409">
        <v>193</v>
      </c>
      <c r="H97" s="4409" t="s">
        <v>938</v>
      </c>
      <c r="I97" s="4409" t="s">
        <v>939</v>
      </c>
      <c r="J97" s="4374">
        <v>1</v>
      </c>
      <c r="K97" s="4374">
        <v>0</v>
      </c>
      <c r="L97" s="4409" t="s">
        <v>940</v>
      </c>
      <c r="M97" s="4374" t="s">
        <v>941</v>
      </c>
      <c r="N97" s="4404" t="s">
        <v>938</v>
      </c>
      <c r="O97" s="4380">
        <v>1</v>
      </c>
      <c r="P97" s="3828">
        <v>29800000</v>
      </c>
      <c r="Q97" s="4406" t="s">
        <v>942</v>
      </c>
      <c r="R97" s="4374" t="s">
        <v>943</v>
      </c>
      <c r="S97" s="2653" t="s">
        <v>944</v>
      </c>
      <c r="T97" s="2654">
        <v>7450000</v>
      </c>
      <c r="U97" s="2654">
        <v>0</v>
      </c>
      <c r="V97" s="2654">
        <v>0</v>
      </c>
      <c r="W97" s="2646" t="s">
        <v>689</v>
      </c>
      <c r="X97" s="2647" t="s">
        <v>368</v>
      </c>
      <c r="Y97" s="4374">
        <v>13</v>
      </c>
      <c r="Z97" s="4374">
        <v>0</v>
      </c>
      <c r="AA97" s="4374">
        <v>21</v>
      </c>
      <c r="AB97" s="4374">
        <v>0</v>
      </c>
      <c r="AC97" s="4374">
        <v>0</v>
      </c>
      <c r="AD97" s="4374">
        <v>0</v>
      </c>
      <c r="AE97" s="4374">
        <v>0</v>
      </c>
      <c r="AF97" s="4374">
        <v>0</v>
      </c>
      <c r="AG97" s="4374">
        <v>0</v>
      </c>
      <c r="AH97" s="4374">
        <v>0</v>
      </c>
      <c r="AI97" s="4374">
        <v>0</v>
      </c>
      <c r="AJ97" s="4374">
        <v>0</v>
      </c>
      <c r="AK97" s="4374">
        <v>34</v>
      </c>
      <c r="AL97" s="4374">
        <v>0</v>
      </c>
      <c r="AM97" s="4374">
        <v>0</v>
      </c>
      <c r="AN97" s="4374">
        <v>0</v>
      </c>
      <c r="AO97" s="4374">
        <v>0</v>
      </c>
      <c r="AP97" s="4374">
        <v>0</v>
      </c>
      <c r="AQ97" s="4374">
        <v>0</v>
      </c>
      <c r="AR97" s="4374">
        <v>0</v>
      </c>
      <c r="AS97" s="4374">
        <v>0</v>
      </c>
      <c r="AT97" s="4374">
        <v>0</v>
      </c>
      <c r="AU97" s="4374">
        <v>0</v>
      </c>
      <c r="AV97" s="4374">
        <v>0</v>
      </c>
      <c r="AW97" s="4374">
        <v>0</v>
      </c>
      <c r="AX97" s="4374">
        <v>0</v>
      </c>
      <c r="AY97" s="4374">
        <v>0</v>
      </c>
      <c r="AZ97" s="4374">
        <v>0</v>
      </c>
      <c r="BA97" s="4374">
        <v>0</v>
      </c>
      <c r="BB97" s="4374">
        <v>0</v>
      </c>
      <c r="BC97" s="4374">
        <f>+Y97+AA97</f>
        <v>34</v>
      </c>
      <c r="BD97" s="4374">
        <v>0</v>
      </c>
      <c r="BE97" s="4374">
        <v>0</v>
      </c>
      <c r="BF97" s="3828">
        <v>0</v>
      </c>
      <c r="BG97" s="3828">
        <v>0</v>
      </c>
      <c r="BH97" s="4415">
        <v>0</v>
      </c>
      <c r="BI97" s="4374" t="s">
        <v>143</v>
      </c>
      <c r="BJ97" s="4374" t="s">
        <v>936</v>
      </c>
      <c r="BK97" s="4387">
        <v>43556</v>
      </c>
      <c r="BL97" s="4374">
        <v>0</v>
      </c>
      <c r="BM97" s="4387">
        <v>43800</v>
      </c>
      <c r="BN97" s="4374">
        <v>0</v>
      </c>
      <c r="BO97" s="4374" t="s">
        <v>787</v>
      </c>
    </row>
    <row r="98" spans="1:67" ht="45" x14ac:dyDescent="0.2">
      <c r="A98" s="3398"/>
      <c r="B98" s="4386"/>
      <c r="C98" s="4386"/>
      <c r="D98" s="4386"/>
      <c r="E98" s="4419"/>
      <c r="F98" s="3249"/>
      <c r="G98" s="4410"/>
      <c r="H98" s="4410"/>
      <c r="I98" s="4410"/>
      <c r="J98" s="4375"/>
      <c r="K98" s="4375"/>
      <c r="L98" s="4410"/>
      <c r="M98" s="4375"/>
      <c r="N98" s="4405"/>
      <c r="O98" s="4381"/>
      <c r="P98" s="3831"/>
      <c r="Q98" s="4407"/>
      <c r="R98" s="4388"/>
      <c r="S98" s="2653" t="s">
        <v>945</v>
      </c>
      <c r="T98" s="2654">
        <v>7450000</v>
      </c>
      <c r="U98" s="2654">
        <v>0</v>
      </c>
      <c r="V98" s="2654">
        <v>0</v>
      </c>
      <c r="W98" s="2646" t="s">
        <v>689</v>
      </c>
      <c r="X98" s="2647" t="s">
        <v>368</v>
      </c>
      <c r="Y98" s="4375"/>
      <c r="Z98" s="4375"/>
      <c r="AA98" s="4375"/>
      <c r="AB98" s="4375"/>
      <c r="AC98" s="4375"/>
      <c r="AD98" s="4375"/>
      <c r="AE98" s="4375"/>
      <c r="AF98" s="4375"/>
      <c r="AG98" s="4375"/>
      <c r="AH98" s="4375"/>
      <c r="AI98" s="4375"/>
      <c r="AJ98" s="4375"/>
      <c r="AK98" s="4375"/>
      <c r="AL98" s="4375"/>
      <c r="AM98" s="4375"/>
      <c r="AN98" s="4375"/>
      <c r="AO98" s="4375"/>
      <c r="AP98" s="4375"/>
      <c r="AQ98" s="4375"/>
      <c r="AR98" s="4375"/>
      <c r="AS98" s="4375"/>
      <c r="AT98" s="4375"/>
      <c r="AU98" s="4375"/>
      <c r="AV98" s="4375"/>
      <c r="AW98" s="4375"/>
      <c r="AX98" s="4375"/>
      <c r="AY98" s="4375"/>
      <c r="AZ98" s="4375"/>
      <c r="BA98" s="4375"/>
      <c r="BB98" s="4375"/>
      <c r="BC98" s="4375"/>
      <c r="BD98" s="4375"/>
      <c r="BE98" s="4375"/>
      <c r="BF98" s="3831"/>
      <c r="BG98" s="3831"/>
      <c r="BH98" s="4416"/>
      <c r="BI98" s="4375"/>
      <c r="BJ98" s="4375"/>
      <c r="BK98" s="4375"/>
      <c r="BL98" s="4375"/>
      <c r="BM98" s="4375"/>
      <c r="BN98" s="4375"/>
      <c r="BO98" s="4375"/>
    </row>
    <row r="99" spans="1:67" ht="30" x14ac:dyDescent="0.2">
      <c r="A99" s="3398"/>
      <c r="B99" s="4386"/>
      <c r="C99" s="4386"/>
      <c r="D99" s="4386"/>
      <c r="E99" s="4419"/>
      <c r="F99" s="3249"/>
      <c r="G99" s="4413"/>
      <c r="H99" s="4413"/>
      <c r="I99" s="4413"/>
      <c r="J99" s="4388"/>
      <c r="K99" s="4388"/>
      <c r="L99" s="4413"/>
      <c r="M99" s="4388"/>
      <c r="N99" s="4408"/>
      <c r="O99" s="4414"/>
      <c r="P99" s="3829"/>
      <c r="Q99" s="4412"/>
      <c r="R99" s="1053" t="s">
        <v>946</v>
      </c>
      <c r="S99" s="2653" t="s">
        <v>947</v>
      </c>
      <c r="T99" s="2654">
        <v>14900000</v>
      </c>
      <c r="U99" s="2654">
        <v>0</v>
      </c>
      <c r="V99" s="2654">
        <v>0</v>
      </c>
      <c r="W99" s="2646" t="s">
        <v>689</v>
      </c>
      <c r="X99" s="2647" t="s">
        <v>368</v>
      </c>
      <c r="Y99" s="4388"/>
      <c r="Z99" s="4388"/>
      <c r="AA99" s="4388"/>
      <c r="AB99" s="4388"/>
      <c r="AC99" s="4388"/>
      <c r="AD99" s="4388"/>
      <c r="AE99" s="4388"/>
      <c r="AF99" s="4388"/>
      <c r="AG99" s="4388"/>
      <c r="AH99" s="4388"/>
      <c r="AI99" s="4388"/>
      <c r="AJ99" s="4388"/>
      <c r="AK99" s="4388"/>
      <c r="AL99" s="4388"/>
      <c r="AM99" s="4388"/>
      <c r="AN99" s="4388"/>
      <c r="AO99" s="4388"/>
      <c r="AP99" s="4388"/>
      <c r="AQ99" s="4388"/>
      <c r="AR99" s="4388"/>
      <c r="AS99" s="4388"/>
      <c r="AT99" s="4388"/>
      <c r="AU99" s="4388"/>
      <c r="AV99" s="4388"/>
      <c r="AW99" s="4388"/>
      <c r="AX99" s="4388"/>
      <c r="AY99" s="4388"/>
      <c r="AZ99" s="4388"/>
      <c r="BA99" s="4388"/>
      <c r="BB99" s="4388"/>
      <c r="BC99" s="4388"/>
      <c r="BD99" s="4388"/>
      <c r="BE99" s="4388"/>
      <c r="BF99" s="3829"/>
      <c r="BG99" s="3829"/>
      <c r="BH99" s="4417"/>
      <c r="BI99" s="4388"/>
      <c r="BJ99" s="4388"/>
      <c r="BK99" s="4388"/>
      <c r="BL99" s="4388"/>
      <c r="BM99" s="4388"/>
      <c r="BN99" s="4388"/>
      <c r="BO99" s="4388"/>
    </row>
    <row r="100" spans="1:67" ht="90" customHeight="1" x14ac:dyDescent="0.2">
      <c r="A100" s="3398"/>
      <c r="B100" s="4386"/>
      <c r="C100" s="4386"/>
      <c r="D100" s="4386"/>
      <c r="E100" s="4419"/>
      <c r="F100" s="3249"/>
      <c r="G100" s="4409">
        <v>194</v>
      </c>
      <c r="H100" s="4409" t="s">
        <v>948</v>
      </c>
      <c r="I100" s="4409" t="s">
        <v>949</v>
      </c>
      <c r="J100" s="4374">
        <v>1</v>
      </c>
      <c r="K100" s="4374">
        <v>0.38</v>
      </c>
      <c r="L100" s="4409" t="s">
        <v>950</v>
      </c>
      <c r="M100" s="4374" t="s">
        <v>951</v>
      </c>
      <c r="N100" s="4404" t="s">
        <v>948</v>
      </c>
      <c r="O100" s="4380">
        <v>1</v>
      </c>
      <c r="P100" s="3828">
        <v>69560000</v>
      </c>
      <c r="Q100" s="4406" t="s">
        <v>952</v>
      </c>
      <c r="R100" s="1053" t="s">
        <v>953</v>
      </c>
      <c r="S100" s="2653" t="s">
        <v>954</v>
      </c>
      <c r="T100" s="2654">
        <v>64560000</v>
      </c>
      <c r="U100" s="2654">
        <v>26170500</v>
      </c>
      <c r="V100" s="2654">
        <v>3583000</v>
      </c>
      <c r="W100" s="2646" t="s">
        <v>689</v>
      </c>
      <c r="X100" s="2647" t="s">
        <v>368</v>
      </c>
      <c r="Y100" s="4374">
        <v>454</v>
      </c>
      <c r="Z100" s="4374">
        <v>123</v>
      </c>
      <c r="AA100" s="4374">
        <v>455</v>
      </c>
      <c r="AB100" s="4374">
        <v>131</v>
      </c>
      <c r="AC100" s="4374">
        <v>0</v>
      </c>
      <c r="AD100" s="4374">
        <v>0</v>
      </c>
      <c r="AE100" s="4374">
        <v>0</v>
      </c>
      <c r="AF100" s="4374">
        <v>0</v>
      </c>
      <c r="AG100" s="4374">
        <v>0</v>
      </c>
      <c r="AH100" s="4374">
        <v>0</v>
      </c>
      <c r="AI100" s="4374">
        <v>0</v>
      </c>
      <c r="AJ100" s="4374">
        <v>0</v>
      </c>
      <c r="AK100" s="4374">
        <f>+Y100+AA100</f>
        <v>909</v>
      </c>
      <c r="AL100" s="4374">
        <f>+Z100+AB100</f>
        <v>254</v>
      </c>
      <c r="AM100" s="4374">
        <v>0</v>
      </c>
      <c r="AN100" s="4374">
        <v>0</v>
      </c>
      <c r="AO100" s="4374">
        <v>0</v>
      </c>
      <c r="AP100" s="4374">
        <v>0</v>
      </c>
      <c r="AQ100" s="4374">
        <v>0</v>
      </c>
      <c r="AR100" s="4374">
        <v>0</v>
      </c>
      <c r="AS100" s="4374">
        <v>0</v>
      </c>
      <c r="AT100" s="4374">
        <v>0</v>
      </c>
      <c r="AU100" s="4374">
        <v>0</v>
      </c>
      <c r="AV100" s="4374">
        <v>0</v>
      </c>
      <c r="AW100" s="4374">
        <v>0</v>
      </c>
      <c r="AX100" s="4374">
        <v>0</v>
      </c>
      <c r="AY100" s="4374">
        <v>0</v>
      </c>
      <c r="AZ100" s="4374">
        <v>0</v>
      </c>
      <c r="BA100" s="4374">
        <v>0</v>
      </c>
      <c r="BB100" s="4374">
        <v>0</v>
      </c>
      <c r="BC100" s="4374">
        <f>+Y100+AA100</f>
        <v>909</v>
      </c>
      <c r="BD100" s="4374">
        <f>+Z100+AB100</f>
        <v>254</v>
      </c>
      <c r="BE100" s="4374">
        <v>3</v>
      </c>
      <c r="BF100" s="3828">
        <v>26170500</v>
      </c>
      <c r="BG100" s="3828">
        <v>3583000</v>
      </c>
      <c r="BH100" s="4402">
        <f>+BF100/P100</f>
        <v>0.37622915468660151</v>
      </c>
      <c r="BI100" s="4374" t="s">
        <v>143</v>
      </c>
      <c r="BJ100" s="4374" t="s">
        <v>955</v>
      </c>
      <c r="BK100" s="4387">
        <v>43466</v>
      </c>
      <c r="BL100" s="4387">
        <v>43466</v>
      </c>
      <c r="BM100" s="4387">
        <v>43617</v>
      </c>
      <c r="BN100" s="4387">
        <v>43617</v>
      </c>
      <c r="BO100" s="4374" t="s">
        <v>787</v>
      </c>
    </row>
    <row r="101" spans="1:67" ht="75" customHeight="1" x14ac:dyDescent="0.2">
      <c r="A101" s="3398"/>
      <c r="B101" s="4386"/>
      <c r="C101" s="4386"/>
      <c r="D101" s="4386"/>
      <c r="E101" s="4419"/>
      <c r="F101" s="3249"/>
      <c r="G101" s="4413"/>
      <c r="H101" s="4413"/>
      <c r="I101" s="4413"/>
      <c r="J101" s="4388"/>
      <c r="K101" s="4388"/>
      <c r="L101" s="4413"/>
      <c r="M101" s="4388"/>
      <c r="N101" s="4408"/>
      <c r="O101" s="4414"/>
      <c r="P101" s="3829"/>
      <c r="Q101" s="4412"/>
      <c r="R101" s="1053" t="s">
        <v>956</v>
      </c>
      <c r="S101" s="2653" t="s">
        <v>957</v>
      </c>
      <c r="T101" s="2654">
        <v>5000000</v>
      </c>
      <c r="U101" s="2654">
        <v>0</v>
      </c>
      <c r="V101" s="2654">
        <v>0</v>
      </c>
      <c r="W101" s="2646" t="s">
        <v>689</v>
      </c>
      <c r="X101" s="2647" t="s">
        <v>368</v>
      </c>
      <c r="Y101" s="4388"/>
      <c r="Z101" s="4388"/>
      <c r="AA101" s="4388"/>
      <c r="AB101" s="4388"/>
      <c r="AC101" s="4388"/>
      <c r="AD101" s="4388"/>
      <c r="AE101" s="4388"/>
      <c r="AF101" s="4388"/>
      <c r="AG101" s="4388"/>
      <c r="AH101" s="4388"/>
      <c r="AI101" s="4388"/>
      <c r="AJ101" s="4388"/>
      <c r="AK101" s="4388"/>
      <c r="AL101" s="4388"/>
      <c r="AM101" s="4388"/>
      <c r="AN101" s="4388"/>
      <c r="AO101" s="4388"/>
      <c r="AP101" s="4388"/>
      <c r="AQ101" s="4388"/>
      <c r="AR101" s="4388"/>
      <c r="AS101" s="4388"/>
      <c r="AT101" s="4388"/>
      <c r="AU101" s="4388"/>
      <c r="AV101" s="4388"/>
      <c r="AW101" s="4388"/>
      <c r="AX101" s="4388"/>
      <c r="AY101" s="4388"/>
      <c r="AZ101" s="4388"/>
      <c r="BA101" s="4388"/>
      <c r="BB101" s="4388"/>
      <c r="BC101" s="4388"/>
      <c r="BD101" s="4388"/>
      <c r="BE101" s="4388"/>
      <c r="BF101" s="3829"/>
      <c r="BG101" s="3829"/>
      <c r="BH101" s="4411"/>
      <c r="BI101" s="4388"/>
      <c r="BJ101" s="4388"/>
      <c r="BK101" s="4388"/>
      <c r="BL101" s="4388"/>
      <c r="BM101" s="4388"/>
      <c r="BN101" s="4388"/>
      <c r="BO101" s="4388"/>
    </row>
    <row r="102" spans="1:67" ht="45" customHeight="1" x14ac:dyDescent="0.2">
      <c r="A102" s="3398"/>
      <c r="B102" s="4386"/>
      <c r="C102" s="4386"/>
      <c r="D102" s="4386"/>
      <c r="E102" s="4419"/>
      <c r="F102" s="3249"/>
      <c r="G102" s="4409">
        <v>195</v>
      </c>
      <c r="H102" s="4409" t="s">
        <v>958</v>
      </c>
      <c r="I102" s="4409" t="s">
        <v>959</v>
      </c>
      <c r="J102" s="4374">
        <v>1</v>
      </c>
      <c r="K102" s="4374">
        <v>0.2</v>
      </c>
      <c r="L102" s="4409" t="s">
        <v>960</v>
      </c>
      <c r="M102" s="4374" t="s">
        <v>961</v>
      </c>
      <c r="N102" s="4404" t="s">
        <v>958</v>
      </c>
      <c r="O102" s="4380">
        <v>1</v>
      </c>
      <c r="P102" s="3828">
        <v>100000000</v>
      </c>
      <c r="Q102" s="4406" t="s">
        <v>962</v>
      </c>
      <c r="R102" s="4404" t="s">
        <v>963</v>
      </c>
      <c r="S102" s="1054" t="s">
        <v>964</v>
      </c>
      <c r="T102" s="2654">
        <v>40000000</v>
      </c>
      <c r="U102" s="2654">
        <v>0</v>
      </c>
      <c r="V102" s="2654">
        <v>0</v>
      </c>
      <c r="W102" s="2646" t="s">
        <v>689</v>
      </c>
      <c r="X102" s="2647" t="s">
        <v>368</v>
      </c>
      <c r="Y102" s="4374">
        <v>3698</v>
      </c>
      <c r="Z102" s="4374">
        <v>121</v>
      </c>
      <c r="AA102" s="4374">
        <v>3552</v>
      </c>
      <c r="AB102" s="4374">
        <v>107</v>
      </c>
      <c r="AC102" s="4374">
        <v>0</v>
      </c>
      <c r="AD102" s="4374">
        <v>0</v>
      </c>
      <c r="AE102" s="4374">
        <v>0</v>
      </c>
      <c r="AF102" s="4374">
        <v>0</v>
      </c>
      <c r="AG102" s="4374">
        <v>0</v>
      </c>
      <c r="AH102" s="4374">
        <v>0</v>
      </c>
      <c r="AI102" s="4374">
        <v>0</v>
      </c>
      <c r="AJ102" s="4374">
        <v>0</v>
      </c>
      <c r="AK102" s="4374">
        <v>0</v>
      </c>
      <c r="AL102" s="4374">
        <v>0</v>
      </c>
      <c r="AM102" s="4374">
        <f>+Y102+AA102</f>
        <v>7250</v>
      </c>
      <c r="AN102" s="4374">
        <f>+Z102+AB102</f>
        <v>228</v>
      </c>
      <c r="AO102" s="4374">
        <v>0</v>
      </c>
      <c r="AP102" s="4374">
        <v>0</v>
      </c>
      <c r="AQ102" s="4374">
        <v>0</v>
      </c>
      <c r="AR102" s="4374">
        <v>0</v>
      </c>
      <c r="AS102" s="4374">
        <v>0</v>
      </c>
      <c r="AT102" s="4374">
        <v>0</v>
      </c>
      <c r="AU102" s="4374">
        <v>0</v>
      </c>
      <c r="AV102" s="4374">
        <v>0</v>
      </c>
      <c r="AW102" s="4374">
        <v>0</v>
      </c>
      <c r="AX102" s="4374">
        <v>0</v>
      </c>
      <c r="AY102" s="4374">
        <v>0</v>
      </c>
      <c r="AZ102" s="4374">
        <v>0</v>
      </c>
      <c r="BA102" s="4374">
        <v>0</v>
      </c>
      <c r="BB102" s="4374">
        <v>0</v>
      </c>
      <c r="BC102" s="4374">
        <f>+Y102+AA102</f>
        <v>7250</v>
      </c>
      <c r="BD102" s="4374">
        <f>+Z102+AB102</f>
        <v>228</v>
      </c>
      <c r="BE102" s="4374">
        <v>2</v>
      </c>
      <c r="BF102" s="4401">
        <v>19557500</v>
      </c>
      <c r="BG102" s="4401">
        <v>2120000</v>
      </c>
      <c r="BH102" s="4402">
        <f>+BF102/P102</f>
        <v>0.195575</v>
      </c>
      <c r="BI102" s="4374" t="s">
        <v>143</v>
      </c>
      <c r="BJ102" s="4374" t="s">
        <v>955</v>
      </c>
      <c r="BK102" s="4387">
        <v>43466</v>
      </c>
      <c r="BL102" s="4387">
        <v>43466</v>
      </c>
      <c r="BM102" s="4387">
        <v>43617</v>
      </c>
      <c r="BN102" s="4387">
        <v>43617</v>
      </c>
      <c r="BO102" s="4374" t="s">
        <v>787</v>
      </c>
    </row>
    <row r="103" spans="1:67" ht="41.25" customHeight="1" x14ac:dyDescent="0.2">
      <c r="A103" s="3398"/>
      <c r="B103" s="4386"/>
      <c r="C103" s="4386"/>
      <c r="D103" s="4386"/>
      <c r="E103" s="4419"/>
      <c r="F103" s="3249"/>
      <c r="G103" s="4410"/>
      <c r="H103" s="4410"/>
      <c r="I103" s="4410"/>
      <c r="J103" s="4375"/>
      <c r="K103" s="4375"/>
      <c r="L103" s="4410"/>
      <c r="M103" s="4375"/>
      <c r="N103" s="4405"/>
      <c r="O103" s="4381"/>
      <c r="P103" s="3831"/>
      <c r="Q103" s="4407"/>
      <c r="R103" s="4408"/>
      <c r="S103" s="1054" t="s">
        <v>965</v>
      </c>
      <c r="T103" s="2654">
        <v>55000000</v>
      </c>
      <c r="U103" s="2654">
        <v>19557500</v>
      </c>
      <c r="V103" s="2654">
        <v>2120000</v>
      </c>
      <c r="W103" s="2646" t="s">
        <v>689</v>
      </c>
      <c r="X103" s="2647" t="s">
        <v>368</v>
      </c>
      <c r="Y103" s="4375"/>
      <c r="Z103" s="4375"/>
      <c r="AA103" s="4375"/>
      <c r="AB103" s="4375"/>
      <c r="AC103" s="4375"/>
      <c r="AD103" s="4375"/>
      <c r="AE103" s="4375"/>
      <c r="AF103" s="4375"/>
      <c r="AG103" s="4375"/>
      <c r="AH103" s="4375"/>
      <c r="AI103" s="4375"/>
      <c r="AJ103" s="4375"/>
      <c r="AK103" s="4375"/>
      <c r="AL103" s="4375"/>
      <c r="AM103" s="4375"/>
      <c r="AN103" s="4375"/>
      <c r="AO103" s="4375"/>
      <c r="AP103" s="4375"/>
      <c r="AQ103" s="4375"/>
      <c r="AR103" s="4375"/>
      <c r="AS103" s="4375"/>
      <c r="AT103" s="4375"/>
      <c r="AU103" s="4375"/>
      <c r="AV103" s="4375"/>
      <c r="AW103" s="4375"/>
      <c r="AX103" s="4375"/>
      <c r="AY103" s="4375"/>
      <c r="AZ103" s="4375"/>
      <c r="BA103" s="4375"/>
      <c r="BB103" s="4375"/>
      <c r="BC103" s="4375"/>
      <c r="BD103" s="4375"/>
      <c r="BE103" s="4375"/>
      <c r="BF103" s="4401"/>
      <c r="BG103" s="4401"/>
      <c r="BH103" s="4403"/>
      <c r="BI103" s="4375"/>
      <c r="BJ103" s="4375"/>
      <c r="BK103" s="4375"/>
      <c r="BL103" s="4375"/>
      <c r="BM103" s="4375"/>
      <c r="BN103" s="4375"/>
      <c r="BO103" s="4375"/>
    </row>
    <row r="104" spans="1:67" ht="90" x14ac:dyDescent="0.2">
      <c r="A104" s="3398"/>
      <c r="B104" s="4386"/>
      <c r="C104" s="4386"/>
      <c r="D104" s="4386"/>
      <c r="E104" s="3915"/>
      <c r="F104" s="3202"/>
      <c r="G104" s="4410"/>
      <c r="H104" s="4410"/>
      <c r="I104" s="4410"/>
      <c r="J104" s="4375"/>
      <c r="K104" s="4375"/>
      <c r="L104" s="4410"/>
      <c r="M104" s="4375"/>
      <c r="N104" s="4405"/>
      <c r="O104" s="4381"/>
      <c r="P104" s="3831"/>
      <c r="Q104" s="4407"/>
      <c r="R104" s="2670" t="s">
        <v>966</v>
      </c>
      <c r="S104" s="1054" t="s">
        <v>967</v>
      </c>
      <c r="T104" s="2654">
        <v>5000000</v>
      </c>
      <c r="U104" s="2654">
        <v>0</v>
      </c>
      <c r="V104" s="2654">
        <v>0</v>
      </c>
      <c r="W104" s="2646" t="s">
        <v>689</v>
      </c>
      <c r="X104" s="2647" t="s">
        <v>368</v>
      </c>
      <c r="Y104" s="4375"/>
      <c r="Z104" s="4375"/>
      <c r="AA104" s="4375"/>
      <c r="AB104" s="4375"/>
      <c r="AC104" s="4375"/>
      <c r="AD104" s="4375"/>
      <c r="AE104" s="4375"/>
      <c r="AF104" s="4375"/>
      <c r="AG104" s="4375"/>
      <c r="AH104" s="4375"/>
      <c r="AI104" s="4375"/>
      <c r="AJ104" s="4375"/>
      <c r="AK104" s="4375"/>
      <c r="AL104" s="4375"/>
      <c r="AM104" s="4375"/>
      <c r="AN104" s="4375"/>
      <c r="AO104" s="4375"/>
      <c r="AP104" s="4375"/>
      <c r="AQ104" s="4375"/>
      <c r="AR104" s="4375"/>
      <c r="AS104" s="4375"/>
      <c r="AT104" s="4375"/>
      <c r="AU104" s="4375"/>
      <c r="AV104" s="4375"/>
      <c r="AW104" s="4375"/>
      <c r="AX104" s="4375"/>
      <c r="AY104" s="4375"/>
      <c r="AZ104" s="4375"/>
      <c r="BA104" s="4375"/>
      <c r="BB104" s="4375"/>
      <c r="BC104" s="4375"/>
      <c r="BD104" s="4375"/>
      <c r="BE104" s="4375"/>
      <c r="BF104" s="3828"/>
      <c r="BG104" s="3828"/>
      <c r="BH104" s="4403"/>
      <c r="BI104" s="4375"/>
      <c r="BJ104" s="4375"/>
      <c r="BK104" s="4375"/>
      <c r="BL104" s="4375"/>
      <c r="BM104" s="4375"/>
      <c r="BN104" s="4375"/>
      <c r="BO104" s="4375"/>
    </row>
    <row r="105" spans="1:67" x14ac:dyDescent="0.2">
      <c r="C105" s="1004">
        <v>18</v>
      </c>
      <c r="D105" s="1055" t="s">
        <v>926</v>
      </c>
      <c r="E105" s="1034"/>
      <c r="F105" s="1035"/>
      <c r="G105" s="1034"/>
      <c r="H105" s="1034"/>
      <c r="I105" s="1034"/>
      <c r="J105" s="1034"/>
      <c r="K105" s="1034"/>
      <c r="L105" s="1034"/>
      <c r="M105" s="1034"/>
      <c r="N105" s="1034"/>
      <c r="O105" s="1036"/>
      <c r="P105" s="1037"/>
      <c r="Q105" s="1034"/>
      <c r="R105" s="1034"/>
      <c r="S105" s="1034"/>
      <c r="T105" s="1038"/>
      <c r="U105" s="1038"/>
      <c r="V105" s="1038"/>
      <c r="W105" s="1034"/>
      <c r="X105" s="1039"/>
      <c r="Y105" s="1034"/>
      <c r="Z105" s="1056"/>
      <c r="AA105" s="1056"/>
      <c r="AB105" s="1056"/>
      <c r="AC105" s="1056"/>
      <c r="AD105" s="1056"/>
      <c r="AE105" s="1056"/>
      <c r="AF105" s="1056"/>
      <c r="AG105" s="1056"/>
      <c r="AH105" s="1056"/>
      <c r="AI105" s="1056"/>
      <c r="AJ105" s="1056"/>
      <c r="AK105" s="1056"/>
      <c r="AL105" s="1056"/>
      <c r="AM105" s="1056"/>
      <c r="AN105" s="1056"/>
      <c r="AO105" s="1056"/>
      <c r="AP105" s="1056"/>
      <c r="AQ105" s="1056"/>
      <c r="AR105" s="1056"/>
      <c r="AS105" s="1056"/>
      <c r="AT105" s="1056"/>
      <c r="AU105" s="1056"/>
      <c r="AV105" s="1056"/>
      <c r="AW105" s="1056"/>
      <c r="AX105" s="1056"/>
      <c r="AY105" s="1056"/>
      <c r="AZ105" s="1056"/>
      <c r="BA105" s="1056"/>
      <c r="BB105" s="1056"/>
      <c r="BC105" s="1056"/>
      <c r="BD105" s="1056"/>
      <c r="BE105" s="1034"/>
      <c r="BF105" s="1037"/>
      <c r="BG105" s="1037"/>
      <c r="BH105" s="1034"/>
      <c r="BI105" s="1034"/>
      <c r="BJ105" s="1034"/>
      <c r="BK105" s="1034"/>
      <c r="BL105" s="1034"/>
      <c r="BM105" s="1034"/>
      <c r="BN105" s="1034"/>
      <c r="BO105" s="1040"/>
    </row>
    <row r="106" spans="1:67" x14ac:dyDescent="0.2">
      <c r="A106" s="4386"/>
      <c r="B106" s="4386"/>
      <c r="C106" s="4386"/>
      <c r="D106" s="3785"/>
      <c r="E106" s="1057">
        <v>65</v>
      </c>
      <c r="F106" s="1042" t="s">
        <v>968</v>
      </c>
      <c r="G106" s="1043"/>
      <c r="H106" s="1044"/>
      <c r="I106" s="1044"/>
      <c r="J106" s="1044"/>
      <c r="K106" s="1044"/>
      <c r="L106" s="1044"/>
      <c r="M106" s="1044"/>
      <c r="N106" s="1044"/>
      <c r="O106" s="1045"/>
      <c r="P106" s="1046"/>
      <c r="Q106" s="1044"/>
      <c r="R106" s="1044"/>
      <c r="S106" s="1044"/>
      <c r="T106" s="1047"/>
      <c r="U106" s="1047"/>
      <c r="V106" s="1047"/>
      <c r="W106" s="1044"/>
      <c r="X106" s="1048"/>
      <c r="Y106" s="1044"/>
      <c r="Z106" s="1058"/>
      <c r="AA106" s="1058"/>
      <c r="AB106" s="1058"/>
      <c r="AC106" s="1058"/>
      <c r="AD106" s="1058"/>
      <c r="AE106" s="1058"/>
      <c r="AF106" s="1058"/>
      <c r="AG106" s="1058"/>
      <c r="AH106" s="1058"/>
      <c r="AI106" s="1058"/>
      <c r="AJ106" s="1058"/>
      <c r="AK106" s="1058"/>
      <c r="AL106" s="1058"/>
      <c r="AM106" s="1058"/>
      <c r="AN106" s="1058"/>
      <c r="AO106" s="1058"/>
      <c r="AP106" s="1058"/>
      <c r="AQ106" s="1058"/>
      <c r="AR106" s="1058"/>
      <c r="AS106" s="1058"/>
      <c r="AT106" s="1058"/>
      <c r="AU106" s="1058"/>
      <c r="AV106" s="1058"/>
      <c r="AW106" s="1058"/>
      <c r="AX106" s="1058"/>
      <c r="AY106" s="1058"/>
      <c r="AZ106" s="1058"/>
      <c r="BA106" s="1058"/>
      <c r="BB106" s="1058"/>
      <c r="BC106" s="1058"/>
      <c r="BD106" s="1058"/>
      <c r="BE106" s="1044"/>
      <c r="BF106" s="1046"/>
      <c r="BG106" s="1046"/>
      <c r="BH106" s="1044"/>
      <c r="BI106" s="1044"/>
      <c r="BJ106" s="1044"/>
      <c r="BK106" s="1044"/>
      <c r="BL106" s="1044"/>
      <c r="BM106" s="1044"/>
      <c r="BN106" s="1044"/>
      <c r="BO106" s="1043"/>
    </row>
    <row r="107" spans="1:67" ht="85.5" customHeight="1" x14ac:dyDescent="0.2">
      <c r="A107" s="4386"/>
      <c r="B107" s="4386"/>
      <c r="C107" s="4386"/>
      <c r="D107" s="3788"/>
      <c r="E107" s="3249"/>
      <c r="F107" s="3249"/>
      <c r="G107" s="4374">
        <v>196</v>
      </c>
      <c r="H107" s="4384" t="s">
        <v>969</v>
      </c>
      <c r="I107" s="4374" t="s">
        <v>970</v>
      </c>
      <c r="J107" s="4374">
        <v>1</v>
      </c>
      <c r="K107" s="4374">
        <v>0.47</v>
      </c>
      <c r="L107" s="4374" t="s">
        <v>971</v>
      </c>
      <c r="M107" s="4374" t="s">
        <v>972</v>
      </c>
      <c r="N107" s="4384" t="s">
        <v>973</v>
      </c>
      <c r="O107" s="4380">
        <v>1</v>
      </c>
      <c r="P107" s="3828">
        <v>30000000</v>
      </c>
      <c r="Q107" s="4383" t="s">
        <v>974</v>
      </c>
      <c r="R107" s="4384" t="s">
        <v>975</v>
      </c>
      <c r="S107" s="1054" t="s">
        <v>976</v>
      </c>
      <c r="T107" s="2671">
        <v>12000000</v>
      </c>
      <c r="U107" s="2671">
        <v>12000000</v>
      </c>
      <c r="V107" s="2671">
        <v>2798000</v>
      </c>
      <c r="W107" s="2646" t="s">
        <v>689</v>
      </c>
      <c r="X107" s="2647" t="s">
        <v>368</v>
      </c>
      <c r="Y107" s="4393"/>
      <c r="Z107" s="4393">
        <v>48</v>
      </c>
      <c r="AA107" s="4393"/>
      <c r="AB107" s="4393">
        <v>57</v>
      </c>
      <c r="AC107" s="4393"/>
      <c r="AD107" s="4393"/>
      <c r="AE107" s="4378"/>
      <c r="AF107" s="4378">
        <v>15</v>
      </c>
      <c r="AG107" s="4376"/>
      <c r="AH107" s="4376">
        <v>70</v>
      </c>
      <c r="AI107" s="4376"/>
      <c r="AJ107" s="4376">
        <v>10</v>
      </c>
      <c r="AK107" s="4376"/>
      <c r="AL107" s="4376">
        <v>2</v>
      </c>
      <c r="AM107" s="4393"/>
      <c r="AN107" s="4393"/>
      <c r="AO107" s="4393"/>
      <c r="AP107" s="4393"/>
      <c r="AQ107" s="4393"/>
      <c r="AR107" s="4393"/>
      <c r="AS107" s="4393"/>
      <c r="AT107" s="4393"/>
      <c r="AU107" s="4378"/>
      <c r="AV107" s="4378"/>
      <c r="AW107" s="4376"/>
      <c r="AX107" s="4376">
        <v>4</v>
      </c>
      <c r="AY107" s="4376"/>
      <c r="AZ107" s="4376"/>
      <c r="BA107" s="4376"/>
      <c r="BB107" s="4376">
        <v>4</v>
      </c>
      <c r="BC107" s="4393"/>
      <c r="BD107" s="4393">
        <f>+Z107+AB107</f>
        <v>105</v>
      </c>
      <c r="BE107" s="4374">
        <v>1</v>
      </c>
      <c r="BF107" s="3828">
        <f>+U107+U108</f>
        <v>13990000</v>
      </c>
      <c r="BG107" s="3828">
        <f>+V107</f>
        <v>2798000</v>
      </c>
      <c r="BH107" s="4374">
        <f>+BG107*100/BF107</f>
        <v>20</v>
      </c>
      <c r="BI107" s="4374" t="s">
        <v>977</v>
      </c>
      <c r="BJ107" s="4374" t="s">
        <v>978</v>
      </c>
      <c r="BK107" s="4387">
        <v>43466</v>
      </c>
      <c r="BL107" s="4387">
        <v>43466</v>
      </c>
      <c r="BM107" s="4387">
        <v>43617</v>
      </c>
      <c r="BN107" s="4387">
        <v>43617</v>
      </c>
      <c r="BO107" s="4372" t="s">
        <v>787</v>
      </c>
    </row>
    <row r="108" spans="1:67" ht="57" customHeight="1" x14ac:dyDescent="0.2">
      <c r="A108" s="4386"/>
      <c r="B108" s="4386"/>
      <c r="C108" s="4386"/>
      <c r="D108" s="3788"/>
      <c r="E108" s="3249"/>
      <c r="F108" s="3249"/>
      <c r="G108" s="4375"/>
      <c r="H108" s="4385"/>
      <c r="I108" s="4375"/>
      <c r="J108" s="4375"/>
      <c r="K108" s="4375"/>
      <c r="L108" s="4375"/>
      <c r="M108" s="4375"/>
      <c r="N108" s="4385"/>
      <c r="O108" s="4381"/>
      <c r="P108" s="3831"/>
      <c r="Q108" s="4398"/>
      <c r="R108" s="4385"/>
      <c r="S108" s="1054" t="s">
        <v>979</v>
      </c>
      <c r="T108" s="2654">
        <v>10000000</v>
      </c>
      <c r="U108" s="2654">
        <v>1990000</v>
      </c>
      <c r="V108" s="2654"/>
      <c r="W108" s="2646" t="s">
        <v>689</v>
      </c>
      <c r="X108" s="2647" t="s">
        <v>368</v>
      </c>
      <c r="Y108" s="4394"/>
      <c r="Z108" s="4394"/>
      <c r="AA108" s="4394"/>
      <c r="AB108" s="4394"/>
      <c r="AC108" s="4394"/>
      <c r="AD108" s="4394"/>
      <c r="AE108" s="4379"/>
      <c r="AF108" s="4379"/>
      <c r="AG108" s="4377"/>
      <c r="AH108" s="4377"/>
      <c r="AI108" s="4377"/>
      <c r="AJ108" s="4377"/>
      <c r="AK108" s="4377"/>
      <c r="AL108" s="4377"/>
      <c r="AM108" s="4394"/>
      <c r="AN108" s="4394"/>
      <c r="AO108" s="4394"/>
      <c r="AP108" s="4394"/>
      <c r="AQ108" s="4394"/>
      <c r="AR108" s="4394"/>
      <c r="AS108" s="4394"/>
      <c r="AT108" s="4394"/>
      <c r="AU108" s="4379"/>
      <c r="AV108" s="4379"/>
      <c r="AW108" s="4377"/>
      <c r="AX108" s="4377"/>
      <c r="AY108" s="4377"/>
      <c r="AZ108" s="4377"/>
      <c r="BA108" s="4377"/>
      <c r="BB108" s="4377"/>
      <c r="BC108" s="4394"/>
      <c r="BD108" s="4394"/>
      <c r="BE108" s="4375"/>
      <c r="BF108" s="3831"/>
      <c r="BG108" s="3831"/>
      <c r="BH108" s="4375"/>
      <c r="BI108" s="4375"/>
      <c r="BJ108" s="4375"/>
      <c r="BK108" s="4388"/>
      <c r="BL108" s="4388"/>
      <c r="BM108" s="4388"/>
      <c r="BN108" s="4388"/>
      <c r="BO108" s="4373"/>
    </row>
    <row r="109" spans="1:67" ht="42" customHeight="1" x14ac:dyDescent="0.2">
      <c r="A109" s="4386"/>
      <c r="B109" s="4386"/>
      <c r="C109" s="4386"/>
      <c r="D109" s="3788"/>
      <c r="E109" s="3249"/>
      <c r="F109" s="3249"/>
      <c r="G109" s="4375"/>
      <c r="H109" s="4385"/>
      <c r="I109" s="4375"/>
      <c r="J109" s="4375"/>
      <c r="K109" s="4375"/>
      <c r="L109" s="4375"/>
      <c r="M109" s="4375"/>
      <c r="N109" s="4385"/>
      <c r="O109" s="4381"/>
      <c r="P109" s="3831"/>
      <c r="Q109" s="4398"/>
      <c r="R109" s="4385"/>
      <c r="S109" s="1054" t="s">
        <v>980</v>
      </c>
      <c r="T109" s="2654">
        <v>3000000</v>
      </c>
      <c r="U109" s="2654"/>
      <c r="V109" s="2654"/>
      <c r="W109" s="2646" t="s">
        <v>689</v>
      </c>
      <c r="X109" s="2647" t="s">
        <v>368</v>
      </c>
      <c r="Y109" s="4394"/>
      <c r="Z109" s="4394"/>
      <c r="AA109" s="4394"/>
      <c r="AB109" s="4394"/>
      <c r="AC109" s="4394"/>
      <c r="AD109" s="4394"/>
      <c r="AE109" s="4379"/>
      <c r="AF109" s="4379"/>
      <c r="AG109" s="4377"/>
      <c r="AH109" s="4377"/>
      <c r="AI109" s="4377"/>
      <c r="AJ109" s="4377"/>
      <c r="AK109" s="4377"/>
      <c r="AL109" s="4377"/>
      <c r="AM109" s="4394"/>
      <c r="AN109" s="4394"/>
      <c r="AO109" s="4394"/>
      <c r="AP109" s="4394"/>
      <c r="AQ109" s="4394"/>
      <c r="AR109" s="4394"/>
      <c r="AS109" s="4394"/>
      <c r="AT109" s="4394"/>
      <c r="AU109" s="4379"/>
      <c r="AV109" s="4379"/>
      <c r="AW109" s="4377"/>
      <c r="AX109" s="4377"/>
      <c r="AY109" s="4377"/>
      <c r="AZ109" s="4377"/>
      <c r="BA109" s="4377"/>
      <c r="BB109" s="4377"/>
      <c r="BC109" s="4394"/>
      <c r="BD109" s="4394"/>
      <c r="BE109" s="4375"/>
      <c r="BF109" s="3831"/>
      <c r="BG109" s="3831"/>
      <c r="BH109" s="4375"/>
      <c r="BI109" s="4375"/>
      <c r="BJ109" s="4375"/>
      <c r="BK109" s="4387">
        <v>43466</v>
      </c>
      <c r="BL109" s="4387">
        <v>43466</v>
      </c>
      <c r="BM109" s="4387">
        <v>43617</v>
      </c>
      <c r="BN109" s="4387">
        <v>43617</v>
      </c>
      <c r="BO109" s="4373"/>
    </row>
    <row r="110" spans="1:67" ht="67.5" customHeight="1" thickBot="1" x14ac:dyDescent="0.25">
      <c r="A110" s="4386"/>
      <c r="B110" s="4386"/>
      <c r="C110" s="4386"/>
      <c r="D110" s="3765"/>
      <c r="E110" s="3249"/>
      <c r="F110" s="3249"/>
      <c r="G110" s="4390"/>
      <c r="H110" s="4400"/>
      <c r="I110" s="4390"/>
      <c r="J110" s="4390"/>
      <c r="K110" s="4390"/>
      <c r="L110" s="4390"/>
      <c r="M110" s="4390"/>
      <c r="N110" s="4400"/>
      <c r="O110" s="4397"/>
      <c r="P110" s="4391"/>
      <c r="Q110" s="4399"/>
      <c r="R110" s="4400"/>
      <c r="S110" s="1054" t="s">
        <v>981</v>
      </c>
      <c r="T110" s="2654">
        <v>5000000</v>
      </c>
      <c r="U110" s="2654"/>
      <c r="V110" s="2654"/>
      <c r="W110" s="2646" t="s">
        <v>689</v>
      </c>
      <c r="X110" s="2647" t="s">
        <v>368</v>
      </c>
      <c r="Y110" s="4395"/>
      <c r="Z110" s="4395"/>
      <c r="AA110" s="4395"/>
      <c r="AB110" s="4395"/>
      <c r="AC110" s="4395"/>
      <c r="AD110" s="4395"/>
      <c r="AE110" s="4396"/>
      <c r="AF110" s="4396"/>
      <c r="AG110" s="4392"/>
      <c r="AH110" s="4392"/>
      <c r="AI110" s="4392"/>
      <c r="AJ110" s="4392"/>
      <c r="AK110" s="4392"/>
      <c r="AL110" s="4392"/>
      <c r="AM110" s="4395"/>
      <c r="AN110" s="3589"/>
      <c r="AO110" s="4395"/>
      <c r="AP110" s="4395"/>
      <c r="AQ110" s="4395"/>
      <c r="AR110" s="4395"/>
      <c r="AS110" s="4395"/>
      <c r="AT110" s="4395"/>
      <c r="AU110" s="4396"/>
      <c r="AV110" s="4396"/>
      <c r="AW110" s="4392"/>
      <c r="AX110" s="4392"/>
      <c r="AY110" s="4392"/>
      <c r="AZ110" s="4392"/>
      <c r="BA110" s="4392"/>
      <c r="BB110" s="4392"/>
      <c r="BC110" s="4395"/>
      <c r="BD110" s="3589"/>
      <c r="BE110" s="4390"/>
      <c r="BF110" s="4391"/>
      <c r="BG110" s="4391"/>
      <c r="BH110" s="4390"/>
      <c r="BI110" s="4390"/>
      <c r="BJ110" s="4390"/>
      <c r="BK110" s="4388"/>
      <c r="BL110" s="4388"/>
      <c r="BM110" s="4388"/>
      <c r="BN110" s="4388"/>
      <c r="BO110" s="4389"/>
    </row>
    <row r="111" spans="1:67" x14ac:dyDescent="0.2">
      <c r="A111" s="1032"/>
      <c r="C111" s="1059">
        <v>18</v>
      </c>
      <c r="D111" s="1033" t="s">
        <v>926</v>
      </c>
      <c r="E111" s="1060"/>
      <c r="F111" s="1035"/>
      <c r="G111" s="1034"/>
      <c r="H111" s="1034"/>
      <c r="I111" s="1034"/>
      <c r="J111" s="1034"/>
      <c r="K111" s="1034"/>
      <c r="L111" s="1034"/>
      <c r="M111" s="1034"/>
      <c r="N111" s="1034"/>
      <c r="O111" s="1036"/>
      <c r="P111" s="1037"/>
      <c r="Q111" s="1034"/>
      <c r="R111" s="1034"/>
      <c r="S111" s="1034"/>
      <c r="T111" s="1038"/>
      <c r="U111" s="1038"/>
      <c r="V111" s="1038"/>
      <c r="W111" s="1034"/>
      <c r="X111" s="1039"/>
      <c r="Y111" s="1034"/>
      <c r="Z111" s="1056"/>
      <c r="AA111" s="1056"/>
      <c r="AB111" s="1056"/>
      <c r="AC111" s="1056"/>
      <c r="AD111" s="1056"/>
      <c r="AE111" s="1056"/>
      <c r="AF111" s="1056"/>
      <c r="AG111" s="1056"/>
      <c r="AH111" s="1056"/>
      <c r="AI111" s="1056"/>
      <c r="AJ111" s="1056"/>
      <c r="AK111" s="1056"/>
      <c r="AL111" s="1056"/>
      <c r="AM111" s="1056"/>
      <c r="AN111" s="1056"/>
      <c r="AO111" s="1056"/>
      <c r="AP111" s="1056"/>
      <c r="AQ111" s="1056"/>
      <c r="AR111" s="1056"/>
      <c r="AS111" s="1056"/>
      <c r="AT111" s="1056"/>
      <c r="AU111" s="1056"/>
      <c r="AV111" s="1056"/>
      <c r="AW111" s="1056"/>
      <c r="AX111" s="1056"/>
      <c r="AY111" s="1056"/>
      <c r="AZ111" s="1056"/>
      <c r="BA111" s="1056"/>
      <c r="BB111" s="1056"/>
      <c r="BC111" s="1056"/>
      <c r="BD111" s="1056"/>
      <c r="BE111" s="1034"/>
      <c r="BF111" s="1037"/>
      <c r="BG111" s="1037"/>
      <c r="BH111" s="1034"/>
      <c r="BI111" s="1034"/>
      <c r="BJ111" s="1034"/>
      <c r="BK111" s="1034"/>
      <c r="BL111" s="1034"/>
      <c r="BM111" s="1034"/>
      <c r="BN111" s="1034"/>
      <c r="BO111" s="1040"/>
    </row>
    <row r="112" spans="1:67" x14ac:dyDescent="0.2">
      <c r="A112" s="4386"/>
      <c r="B112" s="4386"/>
      <c r="C112" s="4386"/>
      <c r="D112" s="3785"/>
      <c r="E112" s="1057">
        <v>66</v>
      </c>
      <c r="F112" s="1042" t="s">
        <v>982</v>
      </c>
      <c r="G112" s="1043"/>
      <c r="H112" s="1044"/>
      <c r="I112" s="1044"/>
      <c r="J112" s="1044"/>
      <c r="K112" s="1044"/>
      <c r="L112" s="1044"/>
      <c r="M112" s="1044"/>
      <c r="N112" s="1044"/>
      <c r="O112" s="1045"/>
      <c r="P112" s="1046"/>
      <c r="Q112" s="1044"/>
      <c r="R112" s="1044"/>
      <c r="S112" s="1044"/>
      <c r="T112" s="1047"/>
      <c r="U112" s="1047"/>
      <c r="V112" s="1047"/>
      <c r="W112" s="1044"/>
      <c r="X112" s="1048"/>
      <c r="Y112" s="1044"/>
      <c r="Z112" s="1058"/>
      <c r="AA112" s="1058"/>
      <c r="AB112" s="1058"/>
      <c r="AC112" s="1058"/>
      <c r="AD112" s="1058"/>
      <c r="AE112" s="1058"/>
      <c r="AF112" s="1058"/>
      <c r="AG112" s="1058"/>
      <c r="AH112" s="1058"/>
      <c r="AI112" s="1058"/>
      <c r="AJ112" s="1058"/>
      <c r="AK112" s="1058"/>
      <c r="AL112" s="1058"/>
      <c r="AM112" s="1058"/>
      <c r="AN112" s="1058"/>
      <c r="AO112" s="1058"/>
      <c r="AP112" s="1058"/>
      <c r="AQ112" s="1058"/>
      <c r="AR112" s="1058"/>
      <c r="AS112" s="1058"/>
      <c r="AT112" s="1058"/>
      <c r="AU112" s="1058"/>
      <c r="AV112" s="1058"/>
      <c r="AW112" s="1058"/>
      <c r="AX112" s="1058"/>
      <c r="AY112" s="1058"/>
      <c r="AZ112" s="1058"/>
      <c r="BA112" s="1058"/>
      <c r="BB112" s="1058"/>
      <c r="BC112" s="1058"/>
      <c r="BD112" s="1058"/>
      <c r="BE112" s="1044"/>
      <c r="BF112" s="1046"/>
      <c r="BG112" s="1046"/>
      <c r="BH112" s="1044"/>
      <c r="BI112" s="1044"/>
      <c r="BJ112" s="1044"/>
      <c r="BK112" s="1044"/>
      <c r="BL112" s="1044"/>
      <c r="BM112" s="1044"/>
      <c r="BN112" s="1044"/>
      <c r="BO112" s="1043"/>
    </row>
    <row r="113" spans="1:67" ht="99.75" customHeight="1" x14ac:dyDescent="0.2">
      <c r="A113" s="4386"/>
      <c r="B113" s="4386"/>
      <c r="C113" s="4386"/>
      <c r="D113" s="3788"/>
      <c r="E113" s="3249"/>
      <c r="F113" s="3249"/>
      <c r="G113" s="4374">
        <v>197</v>
      </c>
      <c r="H113" s="3320" t="s">
        <v>983</v>
      </c>
      <c r="I113" s="3320" t="s">
        <v>984</v>
      </c>
      <c r="J113" s="4374">
        <v>1</v>
      </c>
      <c r="K113" s="4374">
        <v>0.81</v>
      </c>
      <c r="L113" s="4374" t="s">
        <v>985</v>
      </c>
      <c r="M113" s="4374" t="s">
        <v>986</v>
      </c>
      <c r="N113" s="4384" t="s">
        <v>987</v>
      </c>
      <c r="O113" s="4380">
        <v>1</v>
      </c>
      <c r="P113" s="3828">
        <v>50000000</v>
      </c>
      <c r="Q113" s="4382" t="s">
        <v>988</v>
      </c>
      <c r="R113" s="3317" t="s">
        <v>989</v>
      </c>
      <c r="S113" s="1054" t="s">
        <v>990</v>
      </c>
      <c r="T113" s="2671">
        <v>0</v>
      </c>
      <c r="U113" s="2671">
        <v>0</v>
      </c>
      <c r="V113" s="2671">
        <v>0</v>
      </c>
      <c r="W113" s="2646" t="s">
        <v>689</v>
      </c>
      <c r="X113" s="2647" t="s">
        <v>368</v>
      </c>
      <c r="Y113" s="4378"/>
      <c r="Z113" s="4376">
        <v>572</v>
      </c>
      <c r="AA113" s="4376"/>
      <c r="AB113" s="4376"/>
      <c r="AC113" s="4376"/>
      <c r="AD113" s="4376">
        <v>10</v>
      </c>
      <c r="AE113" s="3588"/>
      <c r="AF113" s="4376">
        <v>35</v>
      </c>
      <c r="AG113" s="4376"/>
      <c r="AH113" s="3588">
        <v>410</v>
      </c>
      <c r="AI113" s="4376"/>
      <c r="AJ113" s="4376"/>
      <c r="AK113" s="4376"/>
      <c r="AL113" s="4376">
        <v>20</v>
      </c>
      <c r="AM113" s="4376"/>
      <c r="AN113" s="4376">
        <v>30</v>
      </c>
      <c r="AO113" s="4378"/>
      <c r="AP113" s="4376"/>
      <c r="AQ113" s="4376"/>
      <c r="AR113" s="4376"/>
      <c r="AS113" s="4376"/>
      <c r="AT113" s="4376"/>
      <c r="AU113" s="3588"/>
      <c r="AV113" s="4376"/>
      <c r="AW113" s="4376"/>
      <c r="AX113" s="3588">
        <v>10</v>
      </c>
      <c r="AY113" s="4376"/>
      <c r="AZ113" s="4376"/>
      <c r="BA113" s="4376"/>
      <c r="BB113" s="4376">
        <v>12</v>
      </c>
      <c r="BC113" s="4376"/>
      <c r="BD113" s="4376">
        <v>572</v>
      </c>
      <c r="BE113" s="4374">
        <v>3</v>
      </c>
      <c r="BF113" s="3828">
        <v>40299000</v>
      </c>
      <c r="BG113" s="3828">
        <v>12762000</v>
      </c>
      <c r="BH113" s="4374">
        <v>31</v>
      </c>
      <c r="BI113" s="4374" t="s">
        <v>977</v>
      </c>
      <c r="BJ113" s="4374" t="s">
        <v>978</v>
      </c>
      <c r="BK113" s="4370">
        <v>43466</v>
      </c>
      <c r="BL113" s="4370">
        <v>43466</v>
      </c>
      <c r="BM113" s="4370">
        <v>43617</v>
      </c>
      <c r="BN113" s="4370">
        <v>43617</v>
      </c>
      <c r="BO113" s="4372" t="s">
        <v>787</v>
      </c>
    </row>
    <row r="114" spans="1:67" ht="48.75" customHeight="1" x14ac:dyDescent="0.2">
      <c r="A114" s="4386"/>
      <c r="B114" s="4386"/>
      <c r="C114" s="4386"/>
      <c r="D114" s="3788"/>
      <c r="E114" s="3249"/>
      <c r="F114" s="3249"/>
      <c r="G114" s="4375"/>
      <c r="H114" s="3320"/>
      <c r="I114" s="3320"/>
      <c r="J114" s="4375"/>
      <c r="K114" s="4375"/>
      <c r="L114" s="4375"/>
      <c r="M114" s="4375"/>
      <c r="N114" s="4385"/>
      <c r="O114" s="4381"/>
      <c r="P114" s="3831"/>
      <c r="Q114" s="4382"/>
      <c r="R114" s="3317"/>
      <c r="S114" s="1054" t="s">
        <v>991</v>
      </c>
      <c r="T114" s="2654">
        <v>0</v>
      </c>
      <c r="U114" s="2654">
        <v>0</v>
      </c>
      <c r="V114" s="2654"/>
      <c r="W114" s="2646" t="s">
        <v>689</v>
      </c>
      <c r="X114" s="2647" t="s">
        <v>368</v>
      </c>
      <c r="Y114" s="4379"/>
      <c r="Z114" s="4377"/>
      <c r="AA114" s="4377"/>
      <c r="AB114" s="4377"/>
      <c r="AC114" s="4377"/>
      <c r="AD114" s="4377"/>
      <c r="AE114" s="3589"/>
      <c r="AF114" s="4377"/>
      <c r="AG114" s="4377"/>
      <c r="AH114" s="3589"/>
      <c r="AI114" s="4377"/>
      <c r="AJ114" s="4377"/>
      <c r="AK114" s="4377"/>
      <c r="AL114" s="4377"/>
      <c r="AM114" s="4377"/>
      <c r="AN114" s="4377"/>
      <c r="AO114" s="4379"/>
      <c r="AP114" s="4377"/>
      <c r="AQ114" s="4377"/>
      <c r="AR114" s="4377"/>
      <c r="AS114" s="4377"/>
      <c r="AT114" s="4377"/>
      <c r="AU114" s="3589"/>
      <c r="AV114" s="4377"/>
      <c r="AW114" s="4377"/>
      <c r="AX114" s="3589"/>
      <c r="AY114" s="4377"/>
      <c r="AZ114" s="4377"/>
      <c r="BA114" s="4377"/>
      <c r="BB114" s="4377"/>
      <c r="BC114" s="4377"/>
      <c r="BD114" s="4377"/>
      <c r="BE114" s="4375"/>
      <c r="BF114" s="3831"/>
      <c r="BG114" s="3831"/>
      <c r="BH114" s="4375"/>
      <c r="BI114" s="4375"/>
      <c r="BJ114" s="4375"/>
      <c r="BK114" s="4371"/>
      <c r="BL114" s="4371"/>
      <c r="BM114" s="4371"/>
      <c r="BN114" s="4371"/>
      <c r="BO114" s="4373"/>
    </row>
    <row r="115" spans="1:67" ht="51.75" customHeight="1" x14ac:dyDescent="0.2">
      <c r="A115" s="4386"/>
      <c r="B115" s="4386"/>
      <c r="C115" s="4386"/>
      <c r="D115" s="3788"/>
      <c r="E115" s="3249"/>
      <c r="F115" s="3249"/>
      <c r="G115" s="4375"/>
      <c r="H115" s="3320"/>
      <c r="I115" s="3320"/>
      <c r="J115" s="4375"/>
      <c r="K115" s="4375"/>
      <c r="L115" s="4375"/>
      <c r="M115" s="4375"/>
      <c r="N115" s="4385"/>
      <c r="O115" s="4381"/>
      <c r="P115" s="3831"/>
      <c r="Q115" s="4382"/>
      <c r="R115" s="3320" t="s">
        <v>992</v>
      </c>
      <c r="S115" s="1054" t="s">
        <v>993</v>
      </c>
      <c r="T115" s="2654">
        <v>0</v>
      </c>
      <c r="U115" s="2654">
        <v>0</v>
      </c>
      <c r="V115" s="2654"/>
      <c r="W115" s="2646" t="s">
        <v>689</v>
      </c>
      <c r="X115" s="2647" t="s">
        <v>368</v>
      </c>
      <c r="Y115" s="4379"/>
      <c r="Z115" s="4377"/>
      <c r="AA115" s="4377"/>
      <c r="AB115" s="4377"/>
      <c r="AC115" s="4377"/>
      <c r="AD115" s="4377"/>
      <c r="AE115" s="3589"/>
      <c r="AF115" s="4377"/>
      <c r="AG115" s="4377"/>
      <c r="AH115" s="3589"/>
      <c r="AI115" s="4377"/>
      <c r="AJ115" s="4377"/>
      <c r="AK115" s="4377"/>
      <c r="AL115" s="4377"/>
      <c r="AM115" s="4377"/>
      <c r="AN115" s="4377"/>
      <c r="AO115" s="4379"/>
      <c r="AP115" s="4377"/>
      <c r="AQ115" s="4377"/>
      <c r="AR115" s="4377"/>
      <c r="AS115" s="4377"/>
      <c r="AT115" s="4377"/>
      <c r="AU115" s="3589"/>
      <c r="AV115" s="4377"/>
      <c r="AW115" s="4377"/>
      <c r="AX115" s="3589"/>
      <c r="AY115" s="4377"/>
      <c r="AZ115" s="4377"/>
      <c r="BA115" s="4377"/>
      <c r="BB115" s="4377"/>
      <c r="BC115" s="4377"/>
      <c r="BD115" s="4377"/>
      <c r="BE115" s="4375"/>
      <c r="BF115" s="3831"/>
      <c r="BG115" s="3831"/>
      <c r="BH115" s="4375"/>
      <c r="BI115" s="4375"/>
      <c r="BJ115" s="4375"/>
      <c r="BK115" s="4371"/>
      <c r="BL115" s="4371"/>
      <c r="BM115" s="4371"/>
      <c r="BN115" s="4371"/>
      <c r="BO115" s="4373"/>
    </row>
    <row r="116" spans="1:67" ht="51.75" customHeight="1" x14ac:dyDescent="0.2">
      <c r="A116" s="4386"/>
      <c r="B116" s="4386"/>
      <c r="C116" s="4386"/>
      <c r="D116" s="3788"/>
      <c r="E116" s="3249"/>
      <c r="F116" s="3249"/>
      <c r="G116" s="4375"/>
      <c r="H116" s="3320"/>
      <c r="I116" s="3320"/>
      <c r="J116" s="4375"/>
      <c r="K116" s="4375"/>
      <c r="L116" s="4375"/>
      <c r="M116" s="4375"/>
      <c r="N116" s="4385"/>
      <c r="O116" s="4381"/>
      <c r="P116" s="3831"/>
      <c r="Q116" s="4382"/>
      <c r="R116" s="3320"/>
      <c r="S116" s="1054" t="s">
        <v>994</v>
      </c>
      <c r="T116" s="2654">
        <v>40000000</v>
      </c>
      <c r="U116" s="2654">
        <v>35299000</v>
      </c>
      <c r="V116" s="2654">
        <v>12762000</v>
      </c>
      <c r="W116" s="2646" t="s">
        <v>689</v>
      </c>
      <c r="X116" s="2647" t="s">
        <v>368</v>
      </c>
      <c r="Y116" s="4379"/>
      <c r="Z116" s="4377"/>
      <c r="AA116" s="4377"/>
      <c r="AB116" s="4377"/>
      <c r="AC116" s="4377"/>
      <c r="AD116" s="4377"/>
      <c r="AE116" s="3589"/>
      <c r="AF116" s="4377"/>
      <c r="AG116" s="4377"/>
      <c r="AH116" s="3589"/>
      <c r="AI116" s="4377"/>
      <c r="AJ116" s="4377"/>
      <c r="AK116" s="4377"/>
      <c r="AL116" s="4377"/>
      <c r="AM116" s="4377"/>
      <c r="AN116" s="4377"/>
      <c r="AO116" s="4379"/>
      <c r="AP116" s="4377"/>
      <c r="AQ116" s="4377"/>
      <c r="AR116" s="4377"/>
      <c r="AS116" s="4377"/>
      <c r="AT116" s="4377"/>
      <c r="AU116" s="3589"/>
      <c r="AV116" s="4377"/>
      <c r="AW116" s="4377"/>
      <c r="AX116" s="3589"/>
      <c r="AY116" s="4377"/>
      <c r="AZ116" s="4377"/>
      <c r="BA116" s="4377"/>
      <c r="BB116" s="4377"/>
      <c r="BC116" s="4377"/>
      <c r="BD116" s="4377"/>
      <c r="BE116" s="4375"/>
      <c r="BF116" s="3831"/>
      <c r="BG116" s="3831"/>
      <c r="BH116" s="4375"/>
      <c r="BI116" s="4375"/>
      <c r="BJ116" s="4375"/>
      <c r="BK116" s="4371"/>
      <c r="BL116" s="4371"/>
      <c r="BM116" s="4371"/>
      <c r="BN116" s="4371"/>
      <c r="BO116" s="4373"/>
    </row>
    <row r="117" spans="1:67" ht="51.75" customHeight="1" x14ac:dyDescent="0.2">
      <c r="A117" s="4386"/>
      <c r="B117" s="4386"/>
      <c r="C117" s="4386"/>
      <c r="D117" s="3788"/>
      <c r="E117" s="3249"/>
      <c r="F117" s="3249"/>
      <c r="G117" s="4375"/>
      <c r="H117" s="3320"/>
      <c r="I117" s="3320"/>
      <c r="J117" s="4375"/>
      <c r="K117" s="4375"/>
      <c r="L117" s="4375"/>
      <c r="M117" s="4375"/>
      <c r="N117" s="4385"/>
      <c r="O117" s="4381"/>
      <c r="P117" s="3831"/>
      <c r="Q117" s="4382"/>
      <c r="R117" s="3320"/>
      <c r="S117" s="1054" t="s">
        <v>995</v>
      </c>
      <c r="T117" s="2654">
        <v>5000000</v>
      </c>
      <c r="U117" s="2654">
        <v>5000000</v>
      </c>
      <c r="V117" s="2654"/>
      <c r="W117" s="2646" t="s">
        <v>689</v>
      </c>
      <c r="X117" s="2647" t="s">
        <v>368</v>
      </c>
      <c r="Y117" s="4379"/>
      <c r="Z117" s="4377"/>
      <c r="AA117" s="4377"/>
      <c r="AB117" s="4377"/>
      <c r="AC117" s="4377"/>
      <c r="AD117" s="4377"/>
      <c r="AE117" s="3589"/>
      <c r="AF117" s="4377"/>
      <c r="AG117" s="4377"/>
      <c r="AH117" s="3589"/>
      <c r="AI117" s="4377"/>
      <c r="AJ117" s="4377"/>
      <c r="AK117" s="4377"/>
      <c r="AL117" s="4377"/>
      <c r="AM117" s="4377"/>
      <c r="AN117" s="4377"/>
      <c r="AO117" s="4379"/>
      <c r="AP117" s="4377"/>
      <c r="AQ117" s="4377"/>
      <c r="AR117" s="4377"/>
      <c r="AS117" s="4377"/>
      <c r="AT117" s="4377"/>
      <c r="AU117" s="3589"/>
      <c r="AV117" s="4377"/>
      <c r="AW117" s="4377"/>
      <c r="AX117" s="3589"/>
      <c r="AY117" s="4377"/>
      <c r="AZ117" s="4377"/>
      <c r="BA117" s="4377"/>
      <c r="BB117" s="4377"/>
      <c r="BC117" s="4377"/>
      <c r="BD117" s="4377"/>
      <c r="BE117" s="4375"/>
      <c r="BF117" s="3831"/>
      <c r="BG117" s="3831"/>
      <c r="BH117" s="4375"/>
      <c r="BI117" s="4375"/>
      <c r="BJ117" s="4375"/>
      <c r="BK117" s="4371"/>
      <c r="BL117" s="4371"/>
      <c r="BM117" s="4371"/>
      <c r="BN117" s="4371"/>
      <c r="BO117" s="4373"/>
    </row>
    <row r="118" spans="1:67" ht="51.75" customHeight="1" x14ac:dyDescent="0.2">
      <c r="A118" s="4386"/>
      <c r="B118" s="4386"/>
      <c r="C118" s="4386"/>
      <c r="D118" s="3788"/>
      <c r="E118" s="3249"/>
      <c r="F118" s="3249"/>
      <c r="G118" s="4375"/>
      <c r="H118" s="3320"/>
      <c r="I118" s="3320"/>
      <c r="J118" s="4375"/>
      <c r="K118" s="4375"/>
      <c r="L118" s="4375"/>
      <c r="M118" s="4375"/>
      <c r="N118" s="4385"/>
      <c r="O118" s="4381"/>
      <c r="P118" s="3831"/>
      <c r="Q118" s="4382"/>
      <c r="R118" s="3320"/>
      <c r="S118" s="1054" t="s">
        <v>980</v>
      </c>
      <c r="T118" s="2654">
        <v>1000000</v>
      </c>
      <c r="U118" s="2654"/>
      <c r="V118" s="2654"/>
      <c r="W118" s="2646" t="s">
        <v>689</v>
      </c>
      <c r="X118" s="2647" t="s">
        <v>368</v>
      </c>
      <c r="Y118" s="4379"/>
      <c r="Z118" s="4377"/>
      <c r="AA118" s="4377"/>
      <c r="AB118" s="4377"/>
      <c r="AC118" s="4377"/>
      <c r="AD118" s="4377"/>
      <c r="AE118" s="3589"/>
      <c r="AF118" s="4377"/>
      <c r="AG118" s="4377"/>
      <c r="AH118" s="3589"/>
      <c r="AI118" s="4377"/>
      <c r="AJ118" s="4377"/>
      <c r="AK118" s="4377"/>
      <c r="AL118" s="4377"/>
      <c r="AM118" s="4377"/>
      <c r="AN118" s="4377"/>
      <c r="AO118" s="4379"/>
      <c r="AP118" s="4377"/>
      <c r="AQ118" s="4377"/>
      <c r="AR118" s="4377"/>
      <c r="AS118" s="4377"/>
      <c r="AT118" s="4377"/>
      <c r="AU118" s="3589"/>
      <c r="AV118" s="4377"/>
      <c r="AW118" s="4377"/>
      <c r="AX118" s="3589"/>
      <c r="AY118" s="4377"/>
      <c r="AZ118" s="4377"/>
      <c r="BA118" s="4377"/>
      <c r="BB118" s="4377"/>
      <c r="BC118" s="4377"/>
      <c r="BD118" s="4377"/>
      <c r="BE118" s="4375"/>
      <c r="BF118" s="3831"/>
      <c r="BG118" s="3831"/>
      <c r="BH118" s="4375"/>
      <c r="BI118" s="4375"/>
      <c r="BJ118" s="4375"/>
      <c r="BK118" s="4371"/>
      <c r="BL118" s="4371"/>
      <c r="BM118" s="4371"/>
      <c r="BN118" s="4371"/>
      <c r="BO118" s="4373"/>
    </row>
    <row r="119" spans="1:67" ht="51.75" customHeight="1" x14ac:dyDescent="0.2">
      <c r="A119" s="4386"/>
      <c r="B119" s="4386"/>
      <c r="C119" s="4386"/>
      <c r="D119" s="3791"/>
      <c r="E119" s="3202"/>
      <c r="F119" s="3202"/>
      <c r="G119" s="4375"/>
      <c r="H119" s="3256"/>
      <c r="I119" s="3256"/>
      <c r="J119" s="4375"/>
      <c r="K119" s="4375"/>
      <c r="L119" s="4375"/>
      <c r="M119" s="4375"/>
      <c r="N119" s="4385"/>
      <c r="O119" s="4381"/>
      <c r="P119" s="3831"/>
      <c r="Q119" s="4383"/>
      <c r="R119" s="3256"/>
      <c r="S119" s="2669" t="s">
        <v>981</v>
      </c>
      <c r="T119" s="2654">
        <v>4000000</v>
      </c>
      <c r="U119" s="2654"/>
      <c r="V119" s="2654"/>
      <c r="W119" s="2646" t="s">
        <v>689</v>
      </c>
      <c r="X119" s="2647" t="s">
        <v>368</v>
      </c>
      <c r="Y119" s="4379"/>
      <c r="Z119" s="4377"/>
      <c r="AA119" s="4377"/>
      <c r="AB119" s="4377"/>
      <c r="AC119" s="4377"/>
      <c r="AD119" s="4377"/>
      <c r="AE119" s="3589"/>
      <c r="AF119" s="4377"/>
      <c r="AG119" s="4377"/>
      <c r="AH119" s="3589"/>
      <c r="AI119" s="4377"/>
      <c r="AJ119" s="4377"/>
      <c r="AK119" s="4377"/>
      <c r="AL119" s="4377"/>
      <c r="AM119" s="4377"/>
      <c r="AN119" s="4377"/>
      <c r="AO119" s="4379"/>
      <c r="AP119" s="4377"/>
      <c r="AQ119" s="4377"/>
      <c r="AR119" s="4377"/>
      <c r="AS119" s="4377"/>
      <c r="AT119" s="4377"/>
      <c r="AU119" s="3589"/>
      <c r="AV119" s="4377"/>
      <c r="AW119" s="4377"/>
      <c r="AX119" s="3589"/>
      <c r="AY119" s="4377"/>
      <c r="AZ119" s="4377"/>
      <c r="BA119" s="4377"/>
      <c r="BB119" s="4377"/>
      <c r="BC119" s="4377"/>
      <c r="BD119" s="4377"/>
      <c r="BE119" s="4375"/>
      <c r="BF119" s="3831"/>
      <c r="BG119" s="3831"/>
      <c r="BH119" s="4375"/>
      <c r="BI119" s="4375"/>
      <c r="BJ119" s="4375"/>
      <c r="BK119" s="4371"/>
      <c r="BL119" s="4371"/>
      <c r="BM119" s="4371"/>
      <c r="BN119" s="4371"/>
      <c r="BO119" s="4373"/>
    </row>
    <row r="120" spans="1:67" x14ac:dyDescent="0.2">
      <c r="C120" s="1061">
        <v>19</v>
      </c>
      <c r="D120" s="1005" t="s">
        <v>996</v>
      </c>
      <c r="E120" s="1062"/>
      <c r="F120" s="1062"/>
      <c r="G120" s="1062"/>
      <c r="H120" s="1063"/>
      <c r="I120" s="1063"/>
      <c r="J120" s="1062"/>
      <c r="K120" s="1062"/>
      <c r="L120" s="1062"/>
      <c r="M120" s="1062"/>
      <c r="N120" s="1064"/>
      <c r="O120" s="1065"/>
      <c r="P120" s="1066"/>
      <c r="Q120" s="1063"/>
      <c r="R120" s="1063"/>
      <c r="S120" s="1063"/>
      <c r="T120" s="1067"/>
      <c r="U120" s="1067"/>
      <c r="V120" s="1067"/>
      <c r="W120" s="1068"/>
      <c r="X120" s="1068"/>
      <c r="Y120" s="1062"/>
      <c r="Z120" s="259"/>
      <c r="AA120" s="259"/>
      <c r="AB120" s="259"/>
      <c r="AC120" s="259"/>
      <c r="AD120" s="259"/>
      <c r="AE120" s="259"/>
      <c r="AF120" s="259"/>
      <c r="AG120" s="259"/>
      <c r="AH120" s="259"/>
      <c r="AI120" s="259"/>
      <c r="AJ120" s="259"/>
      <c r="AK120" s="259"/>
      <c r="AL120" s="259"/>
      <c r="AM120" s="259"/>
      <c r="AN120" s="259"/>
      <c r="AO120" s="259"/>
      <c r="AP120" s="259"/>
      <c r="AQ120" s="259"/>
      <c r="AR120" s="259"/>
      <c r="AS120" s="259"/>
      <c r="AT120" s="259"/>
      <c r="AU120" s="259"/>
      <c r="AV120" s="259"/>
      <c r="AW120" s="259"/>
      <c r="AX120" s="259"/>
      <c r="AY120" s="259"/>
      <c r="AZ120" s="259"/>
      <c r="BA120" s="259"/>
      <c r="BB120" s="259"/>
      <c r="BC120" s="259"/>
      <c r="BD120" s="259"/>
      <c r="BE120" s="1062"/>
      <c r="BF120" s="1066"/>
      <c r="BG120" s="1066"/>
      <c r="BH120" s="1062"/>
      <c r="BI120" s="1062"/>
      <c r="BJ120" s="1062"/>
      <c r="BK120" s="1062"/>
      <c r="BL120" s="1062"/>
      <c r="BM120" s="1062"/>
      <c r="BN120" s="1062"/>
      <c r="BO120" s="269"/>
    </row>
    <row r="121" spans="1:67" x14ac:dyDescent="0.2">
      <c r="C121" s="4365"/>
      <c r="D121" s="4366"/>
      <c r="E121" s="182">
        <v>67</v>
      </c>
      <c r="F121" s="285" t="s">
        <v>997</v>
      </c>
      <c r="G121" s="151"/>
      <c r="H121" s="1015"/>
      <c r="I121" s="1015"/>
      <c r="J121" s="151"/>
      <c r="K121" s="270"/>
      <c r="L121" s="270"/>
      <c r="M121" s="151"/>
      <c r="N121" s="153"/>
      <c r="O121" s="1069"/>
      <c r="P121" s="287"/>
      <c r="Q121" s="1015"/>
      <c r="R121" s="1015"/>
      <c r="S121" s="1015"/>
      <c r="T121" s="156"/>
      <c r="U121" s="156"/>
      <c r="V121" s="156"/>
      <c r="W121" s="1024"/>
      <c r="X121" s="1024"/>
      <c r="Y121" s="151"/>
      <c r="Z121" s="278"/>
      <c r="AA121" s="278"/>
      <c r="AB121" s="278"/>
      <c r="AC121" s="278"/>
      <c r="AD121" s="278"/>
      <c r="AE121" s="278"/>
      <c r="AF121" s="278"/>
      <c r="AG121" s="278"/>
      <c r="AH121" s="278"/>
      <c r="AI121" s="278"/>
      <c r="AJ121" s="278"/>
      <c r="AK121" s="278"/>
      <c r="AL121" s="278"/>
      <c r="AM121" s="278"/>
      <c r="AN121" s="278"/>
      <c r="AO121" s="278"/>
      <c r="AP121" s="278"/>
      <c r="AQ121" s="278"/>
      <c r="AR121" s="278"/>
      <c r="AS121" s="278"/>
      <c r="AT121" s="278"/>
      <c r="AU121" s="278"/>
      <c r="AV121" s="278"/>
      <c r="AW121" s="278"/>
      <c r="AX121" s="278"/>
      <c r="AY121" s="278"/>
      <c r="AZ121" s="278"/>
      <c r="BA121" s="278"/>
      <c r="BB121" s="278"/>
      <c r="BC121" s="278"/>
      <c r="BD121" s="278"/>
      <c r="BE121" s="151"/>
      <c r="BF121" s="287"/>
      <c r="BG121" s="287"/>
      <c r="BH121" s="151"/>
      <c r="BI121" s="151"/>
      <c r="BJ121" s="151"/>
      <c r="BK121" s="151"/>
      <c r="BL121" s="151"/>
      <c r="BM121" s="151"/>
      <c r="BN121" s="151"/>
      <c r="BO121" s="282"/>
    </row>
    <row r="122" spans="1:67" ht="71.25" customHeight="1" x14ac:dyDescent="0.2">
      <c r="C122" s="4365"/>
      <c r="D122" s="4366"/>
      <c r="E122" s="1018"/>
      <c r="F122" s="1026"/>
      <c r="G122" s="3190">
        <v>198</v>
      </c>
      <c r="H122" s="3955" t="s">
        <v>998</v>
      </c>
      <c r="I122" s="3955" t="s">
        <v>999</v>
      </c>
      <c r="J122" s="4367">
        <v>1</v>
      </c>
      <c r="K122" s="4369">
        <v>0.59</v>
      </c>
      <c r="L122" s="3202" t="s">
        <v>1000</v>
      </c>
      <c r="M122" s="4364" t="s">
        <v>1001</v>
      </c>
      <c r="N122" s="3963" t="s">
        <v>1002</v>
      </c>
      <c r="O122" s="4360">
        <f>SUM(T122:T128)/P122</f>
        <v>1.1019292128613386E-2</v>
      </c>
      <c r="P122" s="3408">
        <f>SUM(T122:T133)</f>
        <v>3977405943</v>
      </c>
      <c r="Q122" s="3963" t="s">
        <v>1003</v>
      </c>
      <c r="R122" s="3954" t="s">
        <v>1004</v>
      </c>
      <c r="S122" s="2658" t="s">
        <v>1005</v>
      </c>
      <c r="T122" s="1021">
        <v>10000000</v>
      </c>
      <c r="U122" s="1021">
        <v>3373000</v>
      </c>
      <c r="V122" s="1070">
        <v>481857.1428571429</v>
      </c>
      <c r="W122" s="1071">
        <v>20</v>
      </c>
      <c r="X122" s="2675" t="s">
        <v>71</v>
      </c>
      <c r="Y122" s="4007">
        <v>2500</v>
      </c>
      <c r="Z122" s="4007">
        <f>768+400</f>
        <v>1168</v>
      </c>
      <c r="AA122" s="3594">
        <v>2000</v>
      </c>
      <c r="AB122" s="4007">
        <f>1153+113</f>
        <v>1266</v>
      </c>
      <c r="AC122" s="3594"/>
      <c r="AD122" s="3594"/>
      <c r="AE122" s="3594"/>
      <c r="AF122" s="3594"/>
      <c r="AG122" s="3594"/>
      <c r="AH122" s="3594"/>
      <c r="AI122" s="3594">
        <v>4500</v>
      </c>
      <c r="AJ122" s="4007">
        <v>2434</v>
      </c>
      <c r="AK122" s="4362"/>
      <c r="AL122" s="4362"/>
      <c r="AM122" s="3594"/>
      <c r="AN122" s="3594"/>
      <c r="AO122" s="3594"/>
      <c r="AP122" s="3594"/>
      <c r="AQ122" s="4363"/>
      <c r="AR122" s="4362"/>
      <c r="AS122" s="4363"/>
      <c r="AT122" s="4362"/>
      <c r="AU122" s="4363"/>
      <c r="AV122" s="4362"/>
      <c r="AW122" s="4363"/>
      <c r="AX122" s="4362"/>
      <c r="AY122" s="4363"/>
      <c r="AZ122" s="4362"/>
      <c r="BA122" s="4363"/>
      <c r="BB122" s="2674"/>
      <c r="BC122" s="3595">
        <f>SUM(AI122)</f>
        <v>4500</v>
      </c>
      <c r="BD122" s="4007">
        <f>+AJ122</f>
        <v>2434</v>
      </c>
      <c r="BE122" s="3594"/>
      <c r="BF122" s="3408">
        <f>SUM(U122:U133)</f>
        <v>908116749</v>
      </c>
      <c r="BG122" s="3408">
        <f>SUM(V122:V133)</f>
        <v>11192000</v>
      </c>
      <c r="BH122" s="3594"/>
      <c r="BI122" s="3594"/>
      <c r="BJ122" s="3594"/>
      <c r="BK122" s="3406">
        <v>43467</v>
      </c>
      <c r="BL122" s="3406">
        <v>43467</v>
      </c>
      <c r="BM122" s="3406">
        <v>43830</v>
      </c>
      <c r="BN122" s="3406">
        <v>43830</v>
      </c>
      <c r="BO122" s="3955" t="s">
        <v>882</v>
      </c>
    </row>
    <row r="123" spans="1:67" ht="42.75" x14ac:dyDescent="0.2">
      <c r="C123" s="4365"/>
      <c r="D123" s="4366"/>
      <c r="E123" s="1020"/>
      <c r="F123" s="1019"/>
      <c r="G123" s="3191"/>
      <c r="H123" s="3963"/>
      <c r="I123" s="3963"/>
      <c r="J123" s="4368"/>
      <c r="K123" s="4369"/>
      <c r="L123" s="3203"/>
      <c r="M123" s="4364"/>
      <c r="N123" s="3963"/>
      <c r="O123" s="4350"/>
      <c r="P123" s="3409"/>
      <c r="Q123" s="3963"/>
      <c r="R123" s="3954"/>
      <c r="S123" s="2658" t="s">
        <v>1006</v>
      </c>
      <c r="T123" s="1021">
        <v>10968198</v>
      </c>
      <c r="U123" s="1021">
        <v>9573198</v>
      </c>
      <c r="V123" s="1070">
        <v>3191066</v>
      </c>
      <c r="W123" s="1071">
        <v>20</v>
      </c>
      <c r="X123" s="2675" t="s">
        <v>71</v>
      </c>
      <c r="Y123" s="4361"/>
      <c r="Z123" s="4361"/>
      <c r="AA123" s="3595"/>
      <c r="AB123" s="4361"/>
      <c r="AC123" s="3595"/>
      <c r="AD123" s="3595"/>
      <c r="AE123" s="3595"/>
      <c r="AF123" s="3595"/>
      <c r="AG123" s="3595"/>
      <c r="AH123" s="3595"/>
      <c r="AI123" s="3595"/>
      <c r="AJ123" s="4361"/>
      <c r="AK123" s="4363"/>
      <c r="AL123" s="4363"/>
      <c r="AM123" s="3595"/>
      <c r="AN123" s="3595"/>
      <c r="AO123" s="3595"/>
      <c r="AP123" s="3595"/>
      <c r="AQ123" s="4363"/>
      <c r="AR123" s="4363"/>
      <c r="AS123" s="4363"/>
      <c r="AT123" s="4363"/>
      <c r="AU123" s="4363"/>
      <c r="AV123" s="4363"/>
      <c r="AW123" s="4363"/>
      <c r="AX123" s="4363"/>
      <c r="AY123" s="4363"/>
      <c r="AZ123" s="4363"/>
      <c r="BA123" s="4363"/>
      <c r="BB123" s="2674"/>
      <c r="BC123" s="3595"/>
      <c r="BD123" s="4361"/>
      <c r="BE123" s="3595"/>
      <c r="BF123" s="3409"/>
      <c r="BG123" s="3409"/>
      <c r="BH123" s="3595"/>
      <c r="BI123" s="3595"/>
      <c r="BJ123" s="3595"/>
      <c r="BK123" s="3969"/>
      <c r="BL123" s="3969"/>
      <c r="BM123" s="3969"/>
      <c r="BN123" s="3969"/>
      <c r="BO123" s="3963"/>
    </row>
    <row r="124" spans="1:67" ht="57" x14ac:dyDescent="0.2">
      <c r="C124" s="4365"/>
      <c r="D124" s="4366"/>
      <c r="E124" s="1020"/>
      <c r="F124" s="1019"/>
      <c r="G124" s="3191"/>
      <c r="H124" s="3963"/>
      <c r="I124" s="3963"/>
      <c r="J124" s="4368"/>
      <c r="K124" s="4369"/>
      <c r="L124" s="3203"/>
      <c r="M124" s="4364"/>
      <c r="N124" s="3963"/>
      <c r="O124" s="4350"/>
      <c r="P124" s="3409"/>
      <c r="Q124" s="3963"/>
      <c r="R124" s="3954"/>
      <c r="S124" s="2658" t="s">
        <v>1007</v>
      </c>
      <c r="T124" s="1021">
        <v>500000</v>
      </c>
      <c r="U124" s="1021">
        <v>500000</v>
      </c>
      <c r="V124" s="1070">
        <v>71428.571428571435</v>
      </c>
      <c r="W124" s="1071">
        <v>20</v>
      </c>
      <c r="X124" s="2675" t="s">
        <v>71</v>
      </c>
      <c r="Y124" s="4361"/>
      <c r="Z124" s="4361"/>
      <c r="AA124" s="3595"/>
      <c r="AB124" s="4361"/>
      <c r="AC124" s="3595"/>
      <c r="AD124" s="3595"/>
      <c r="AE124" s="3595"/>
      <c r="AF124" s="3595"/>
      <c r="AG124" s="3595"/>
      <c r="AH124" s="3595"/>
      <c r="AI124" s="3595"/>
      <c r="AJ124" s="4361"/>
      <c r="AK124" s="4363"/>
      <c r="AL124" s="4363"/>
      <c r="AM124" s="3595"/>
      <c r="AN124" s="3595"/>
      <c r="AO124" s="3595"/>
      <c r="AP124" s="3595"/>
      <c r="AQ124" s="4363"/>
      <c r="AR124" s="4363"/>
      <c r="AS124" s="4363"/>
      <c r="AT124" s="4363"/>
      <c r="AU124" s="4363"/>
      <c r="AV124" s="4363"/>
      <c r="AW124" s="4363"/>
      <c r="AX124" s="4363"/>
      <c r="AY124" s="4363"/>
      <c r="AZ124" s="4363"/>
      <c r="BA124" s="4363"/>
      <c r="BB124" s="2674"/>
      <c r="BC124" s="3595"/>
      <c r="BD124" s="4361"/>
      <c r="BE124" s="3595"/>
      <c r="BF124" s="3409"/>
      <c r="BG124" s="3409"/>
      <c r="BH124" s="3595"/>
      <c r="BI124" s="3595"/>
      <c r="BJ124" s="3595"/>
      <c r="BK124" s="3969"/>
      <c r="BL124" s="3969"/>
      <c r="BM124" s="3969"/>
      <c r="BN124" s="3969"/>
      <c r="BO124" s="3963"/>
    </row>
    <row r="125" spans="1:67" ht="42.75" x14ac:dyDescent="0.2">
      <c r="C125" s="4365"/>
      <c r="D125" s="4366"/>
      <c r="E125" s="1020"/>
      <c r="F125" s="1019"/>
      <c r="G125" s="3191"/>
      <c r="H125" s="3963"/>
      <c r="I125" s="3963"/>
      <c r="J125" s="4368"/>
      <c r="K125" s="4369"/>
      <c r="L125" s="3203"/>
      <c r="M125" s="4364"/>
      <c r="N125" s="3963"/>
      <c r="O125" s="4350"/>
      <c r="P125" s="3409"/>
      <c r="Q125" s="3963"/>
      <c r="R125" s="3954"/>
      <c r="S125" s="2658" t="s">
        <v>1008</v>
      </c>
      <c r="T125" s="1021">
        <f>5940000+500000</f>
        <v>6440000</v>
      </c>
      <c r="U125" s="1021">
        <v>6440000</v>
      </c>
      <c r="V125" s="1070">
        <f>2222222.22222222+480000</f>
        <v>2702222.2222222202</v>
      </c>
      <c r="W125" s="1071">
        <v>20</v>
      </c>
      <c r="X125" s="2675" t="s">
        <v>71</v>
      </c>
      <c r="Y125" s="4361"/>
      <c r="Z125" s="4361"/>
      <c r="AA125" s="3595"/>
      <c r="AB125" s="4361"/>
      <c r="AC125" s="3595"/>
      <c r="AD125" s="3595"/>
      <c r="AE125" s="3595"/>
      <c r="AF125" s="3595"/>
      <c r="AG125" s="3595"/>
      <c r="AH125" s="3595"/>
      <c r="AI125" s="3595"/>
      <c r="AJ125" s="4361"/>
      <c r="AK125" s="4363"/>
      <c r="AL125" s="4363"/>
      <c r="AM125" s="3595"/>
      <c r="AN125" s="3595"/>
      <c r="AO125" s="3595"/>
      <c r="AP125" s="3595"/>
      <c r="AQ125" s="4363"/>
      <c r="AR125" s="4363"/>
      <c r="AS125" s="4363"/>
      <c r="AT125" s="4363"/>
      <c r="AU125" s="4363"/>
      <c r="AV125" s="4363"/>
      <c r="AW125" s="4363"/>
      <c r="AX125" s="4363"/>
      <c r="AY125" s="4363"/>
      <c r="AZ125" s="4363"/>
      <c r="BA125" s="4363"/>
      <c r="BB125" s="2674"/>
      <c r="BC125" s="3595"/>
      <c r="BD125" s="4361"/>
      <c r="BE125" s="3595"/>
      <c r="BF125" s="3409"/>
      <c r="BG125" s="3409"/>
      <c r="BH125" s="3595"/>
      <c r="BI125" s="3595"/>
      <c r="BJ125" s="3595"/>
      <c r="BK125" s="3969"/>
      <c r="BL125" s="3969"/>
      <c r="BM125" s="3969"/>
      <c r="BN125" s="3969"/>
      <c r="BO125" s="3963"/>
    </row>
    <row r="126" spans="1:67" ht="42.75" x14ac:dyDescent="0.2">
      <c r="C126" s="4365"/>
      <c r="D126" s="4366"/>
      <c r="E126" s="1020"/>
      <c r="F126" s="1019"/>
      <c r="G126" s="3191"/>
      <c r="H126" s="3963"/>
      <c r="I126" s="3963"/>
      <c r="J126" s="4368"/>
      <c r="K126" s="4369"/>
      <c r="L126" s="3203"/>
      <c r="M126" s="4364"/>
      <c r="N126" s="3963"/>
      <c r="O126" s="4350"/>
      <c r="P126" s="3409"/>
      <c r="Q126" s="3963"/>
      <c r="R126" s="3954"/>
      <c r="S126" s="2658" t="s">
        <v>1009</v>
      </c>
      <c r="T126" s="1021">
        <f>7920000-500000</f>
        <v>7420000</v>
      </c>
      <c r="U126" s="1021">
        <v>5920000</v>
      </c>
      <c r="V126" s="1070">
        <v>845714.2857142858</v>
      </c>
      <c r="W126" s="1071">
        <v>20</v>
      </c>
      <c r="X126" s="2675" t="s">
        <v>71</v>
      </c>
      <c r="Y126" s="4361"/>
      <c r="Z126" s="4361"/>
      <c r="AA126" s="3595"/>
      <c r="AB126" s="4361"/>
      <c r="AC126" s="3595"/>
      <c r="AD126" s="3595"/>
      <c r="AE126" s="3595"/>
      <c r="AF126" s="3595"/>
      <c r="AG126" s="3595"/>
      <c r="AH126" s="3595"/>
      <c r="AI126" s="3595"/>
      <c r="AJ126" s="4361"/>
      <c r="AK126" s="4363"/>
      <c r="AL126" s="4363"/>
      <c r="AM126" s="3595"/>
      <c r="AN126" s="3595"/>
      <c r="AO126" s="3595"/>
      <c r="AP126" s="3595"/>
      <c r="AQ126" s="4363"/>
      <c r="AR126" s="4363"/>
      <c r="AS126" s="4363"/>
      <c r="AT126" s="4363"/>
      <c r="AU126" s="4363"/>
      <c r="AV126" s="4363"/>
      <c r="AW126" s="4363"/>
      <c r="AX126" s="4363"/>
      <c r="AY126" s="4363"/>
      <c r="AZ126" s="4363"/>
      <c r="BA126" s="4363"/>
      <c r="BB126" s="2674"/>
      <c r="BC126" s="3595"/>
      <c r="BD126" s="4361"/>
      <c r="BE126" s="3595"/>
      <c r="BF126" s="3409"/>
      <c r="BG126" s="3409"/>
      <c r="BH126" s="3595"/>
      <c r="BI126" s="3595"/>
      <c r="BJ126" s="3595"/>
      <c r="BK126" s="3969"/>
      <c r="BL126" s="3969"/>
      <c r="BM126" s="3969"/>
      <c r="BN126" s="3969"/>
      <c r="BO126" s="3963"/>
    </row>
    <row r="127" spans="1:67" ht="45" customHeight="1" x14ac:dyDescent="0.2">
      <c r="C127" s="4365"/>
      <c r="D127" s="4366"/>
      <c r="E127" s="1020"/>
      <c r="F127" s="1019"/>
      <c r="G127" s="3191"/>
      <c r="H127" s="3963"/>
      <c r="I127" s="3963"/>
      <c r="J127" s="4368"/>
      <c r="K127" s="4369"/>
      <c r="L127" s="3203"/>
      <c r="M127" s="4364"/>
      <c r="N127" s="3963"/>
      <c r="O127" s="4350"/>
      <c r="P127" s="3409"/>
      <c r="Q127" s="3963"/>
      <c r="R127" s="3954"/>
      <c r="S127" s="2658" t="s">
        <v>1010</v>
      </c>
      <c r="T127" s="1021">
        <v>5000000</v>
      </c>
      <c r="U127" s="1021">
        <v>0</v>
      </c>
      <c r="V127" s="1070">
        <v>0</v>
      </c>
      <c r="W127" s="1071">
        <v>20</v>
      </c>
      <c r="X127" s="2675" t="s">
        <v>71</v>
      </c>
      <c r="Y127" s="4361"/>
      <c r="Z127" s="4361"/>
      <c r="AA127" s="3595"/>
      <c r="AB127" s="4361"/>
      <c r="AC127" s="3595"/>
      <c r="AD127" s="3595"/>
      <c r="AE127" s="3595"/>
      <c r="AF127" s="3595"/>
      <c r="AG127" s="3595"/>
      <c r="AH127" s="3595"/>
      <c r="AI127" s="3595"/>
      <c r="AJ127" s="4361"/>
      <c r="AK127" s="4363"/>
      <c r="AL127" s="4363"/>
      <c r="AM127" s="3595"/>
      <c r="AN127" s="3595"/>
      <c r="AO127" s="3595"/>
      <c r="AP127" s="3595"/>
      <c r="AQ127" s="4363"/>
      <c r="AR127" s="4363"/>
      <c r="AS127" s="4363"/>
      <c r="AT127" s="4363"/>
      <c r="AU127" s="4363"/>
      <c r="AV127" s="4363"/>
      <c r="AW127" s="4363"/>
      <c r="AX127" s="4363"/>
      <c r="AY127" s="4363"/>
      <c r="AZ127" s="4363"/>
      <c r="BA127" s="4363"/>
      <c r="BB127" s="2674"/>
      <c r="BC127" s="3595"/>
      <c r="BD127" s="4361"/>
      <c r="BE127" s="3595"/>
      <c r="BF127" s="3409"/>
      <c r="BG127" s="3409"/>
      <c r="BH127" s="3595"/>
      <c r="BI127" s="3595"/>
      <c r="BJ127" s="3595"/>
      <c r="BK127" s="3969"/>
      <c r="BL127" s="3969"/>
      <c r="BM127" s="3969"/>
      <c r="BN127" s="3969"/>
      <c r="BO127" s="3963"/>
    </row>
    <row r="128" spans="1:67" ht="66" customHeight="1" x14ac:dyDescent="0.2">
      <c r="C128" s="4365"/>
      <c r="D128" s="4366"/>
      <c r="E128" s="1020"/>
      <c r="F128" s="1019"/>
      <c r="G128" s="3191"/>
      <c r="H128" s="3963"/>
      <c r="I128" s="3963"/>
      <c r="J128" s="4368"/>
      <c r="K128" s="4369"/>
      <c r="L128" s="3203"/>
      <c r="M128" s="4364"/>
      <c r="N128" s="3963"/>
      <c r="O128" s="4350"/>
      <c r="P128" s="3409"/>
      <c r="Q128" s="3963"/>
      <c r="R128" s="3954"/>
      <c r="S128" s="2658" t="s">
        <v>1011</v>
      </c>
      <c r="T128" s="1021">
        <v>3500000</v>
      </c>
      <c r="U128" s="1021">
        <v>0</v>
      </c>
      <c r="V128" s="1070">
        <v>0</v>
      </c>
      <c r="W128" s="1071">
        <v>20</v>
      </c>
      <c r="X128" s="2675" t="s">
        <v>71</v>
      </c>
      <c r="Y128" s="4361"/>
      <c r="Z128" s="4361"/>
      <c r="AA128" s="3595"/>
      <c r="AB128" s="4361"/>
      <c r="AC128" s="3595"/>
      <c r="AD128" s="3595"/>
      <c r="AE128" s="3595"/>
      <c r="AF128" s="3595"/>
      <c r="AG128" s="3595"/>
      <c r="AH128" s="3595"/>
      <c r="AI128" s="3595"/>
      <c r="AJ128" s="4361"/>
      <c r="AK128" s="4363"/>
      <c r="AL128" s="4363"/>
      <c r="AM128" s="3595"/>
      <c r="AN128" s="3595"/>
      <c r="AO128" s="3595"/>
      <c r="AP128" s="3595"/>
      <c r="AQ128" s="4363"/>
      <c r="AR128" s="4363"/>
      <c r="AS128" s="4363"/>
      <c r="AT128" s="4363"/>
      <c r="AU128" s="4363"/>
      <c r="AV128" s="4363"/>
      <c r="AW128" s="4363"/>
      <c r="AX128" s="4363"/>
      <c r="AY128" s="4363"/>
      <c r="AZ128" s="4363"/>
      <c r="BA128" s="4363"/>
      <c r="BB128" s="2674"/>
      <c r="BC128" s="3595"/>
      <c r="BD128" s="4361"/>
      <c r="BE128" s="3595"/>
      <c r="BF128" s="3409"/>
      <c r="BG128" s="3409"/>
      <c r="BH128" s="3595"/>
      <c r="BI128" s="3595"/>
      <c r="BJ128" s="3595"/>
      <c r="BK128" s="3969"/>
      <c r="BL128" s="3969"/>
      <c r="BM128" s="3969"/>
      <c r="BN128" s="3969"/>
      <c r="BO128" s="3963"/>
    </row>
    <row r="129" spans="1:67" ht="71.25" x14ac:dyDescent="0.2">
      <c r="C129" s="4365"/>
      <c r="D129" s="4366"/>
      <c r="E129" s="1020"/>
      <c r="F129" s="1019"/>
      <c r="G129" s="2644">
        <v>199</v>
      </c>
      <c r="H129" s="2658" t="s">
        <v>1012</v>
      </c>
      <c r="I129" s="2659" t="s">
        <v>1013</v>
      </c>
      <c r="J129" s="2672">
        <v>4</v>
      </c>
      <c r="K129" s="2673">
        <v>0.2</v>
      </c>
      <c r="L129" s="1073"/>
      <c r="M129" s="4364"/>
      <c r="N129" s="3963"/>
      <c r="O129" s="1074">
        <f>+T129/P122</f>
        <v>1.0056806012068655E-2</v>
      </c>
      <c r="P129" s="3409"/>
      <c r="Q129" s="3963"/>
      <c r="R129" s="3954"/>
      <c r="S129" s="2658" t="s">
        <v>1014</v>
      </c>
      <c r="T129" s="1021">
        <v>40000000</v>
      </c>
      <c r="U129" s="1021">
        <v>9168802</v>
      </c>
      <c r="V129" s="1070">
        <f>3373777.77777778+525934</f>
        <v>3899711.7777777798</v>
      </c>
      <c r="W129" s="1071">
        <v>20</v>
      </c>
      <c r="X129" s="2675" t="s">
        <v>71</v>
      </c>
      <c r="Y129" s="4361"/>
      <c r="Z129" s="4361"/>
      <c r="AA129" s="3595"/>
      <c r="AB129" s="4361"/>
      <c r="AC129" s="3595"/>
      <c r="AD129" s="3595"/>
      <c r="AE129" s="3595"/>
      <c r="AF129" s="3595"/>
      <c r="AG129" s="3595"/>
      <c r="AH129" s="3595"/>
      <c r="AI129" s="3595"/>
      <c r="AJ129" s="4361"/>
      <c r="AK129" s="4363"/>
      <c r="AL129" s="4363"/>
      <c r="AM129" s="3595"/>
      <c r="AN129" s="3595"/>
      <c r="AO129" s="3595"/>
      <c r="AP129" s="3595"/>
      <c r="AQ129" s="4363"/>
      <c r="AR129" s="4363"/>
      <c r="AS129" s="4363"/>
      <c r="AT129" s="4363"/>
      <c r="AU129" s="4363"/>
      <c r="AV129" s="4363"/>
      <c r="AW129" s="4363"/>
      <c r="AX129" s="4363"/>
      <c r="AY129" s="4363"/>
      <c r="AZ129" s="4363"/>
      <c r="BA129" s="4363"/>
      <c r="BB129" s="2674"/>
      <c r="BC129" s="3595"/>
      <c r="BD129" s="4361"/>
      <c r="BE129" s="3595"/>
      <c r="BF129" s="3409"/>
      <c r="BG129" s="3409"/>
      <c r="BH129" s="3595"/>
      <c r="BI129" s="3595"/>
      <c r="BJ129" s="3595"/>
      <c r="BK129" s="3969"/>
      <c r="BL129" s="3969"/>
      <c r="BM129" s="3969"/>
      <c r="BN129" s="3969"/>
      <c r="BO129" s="3963"/>
    </row>
    <row r="130" spans="1:67" ht="35.25" customHeight="1" x14ac:dyDescent="0.2">
      <c r="C130" s="4365"/>
      <c r="D130" s="4366"/>
      <c r="E130" s="1020"/>
      <c r="F130" s="1019"/>
      <c r="G130" s="3190">
        <v>200</v>
      </c>
      <c r="H130" s="4352" t="s">
        <v>1015</v>
      </c>
      <c r="I130" s="4354" t="s">
        <v>1016</v>
      </c>
      <c r="J130" s="4355">
        <v>12</v>
      </c>
      <c r="K130" s="4357">
        <v>0.2</v>
      </c>
      <c r="L130" s="4358" t="s">
        <v>1017</v>
      </c>
      <c r="M130" s="4364"/>
      <c r="N130" s="3963"/>
      <c r="O130" s="4360">
        <f>(T130+T131)/P122</f>
        <v>0.29367717068350546</v>
      </c>
      <c r="P130" s="3409"/>
      <c r="Q130" s="3963"/>
      <c r="R130" s="3955" t="s">
        <v>1018</v>
      </c>
      <c r="S130" s="3959" t="s">
        <v>1019</v>
      </c>
      <c r="T130" s="1021">
        <v>1111986335</v>
      </c>
      <c r="U130" s="1021">
        <v>205855536</v>
      </c>
      <c r="V130" s="1070">
        <v>0</v>
      </c>
      <c r="W130" s="1075">
        <v>6</v>
      </c>
      <c r="X130" s="2675" t="s">
        <v>1020</v>
      </c>
      <c r="Y130" s="4361"/>
      <c r="Z130" s="4361"/>
      <c r="AA130" s="3595"/>
      <c r="AB130" s="4361"/>
      <c r="AC130" s="3595"/>
      <c r="AD130" s="3595"/>
      <c r="AE130" s="3595"/>
      <c r="AF130" s="3595"/>
      <c r="AG130" s="3595"/>
      <c r="AH130" s="3595"/>
      <c r="AI130" s="3595"/>
      <c r="AJ130" s="4361"/>
      <c r="AK130" s="4363"/>
      <c r="AL130" s="4363"/>
      <c r="AM130" s="3595"/>
      <c r="AN130" s="3595"/>
      <c r="AO130" s="3595"/>
      <c r="AP130" s="3595"/>
      <c r="AQ130" s="4363"/>
      <c r="AR130" s="4363"/>
      <c r="AS130" s="4363"/>
      <c r="AT130" s="4363"/>
      <c r="AU130" s="4363"/>
      <c r="AV130" s="4363"/>
      <c r="AW130" s="4363"/>
      <c r="AX130" s="4363"/>
      <c r="AY130" s="4363"/>
      <c r="AZ130" s="4363"/>
      <c r="BA130" s="4363"/>
      <c r="BB130" s="2674"/>
      <c r="BC130" s="3595"/>
      <c r="BD130" s="4361"/>
      <c r="BE130" s="3595"/>
      <c r="BF130" s="3409"/>
      <c r="BG130" s="3409"/>
      <c r="BH130" s="3595"/>
      <c r="BI130" s="3595"/>
      <c r="BJ130" s="3595"/>
      <c r="BK130" s="3969"/>
      <c r="BL130" s="3969"/>
      <c r="BM130" s="3969"/>
      <c r="BN130" s="3969"/>
      <c r="BO130" s="3963"/>
    </row>
    <row r="131" spans="1:67" ht="35.25" customHeight="1" x14ac:dyDescent="0.2">
      <c r="C131" s="4365"/>
      <c r="D131" s="4366"/>
      <c r="E131" s="1020"/>
      <c r="F131" s="1019"/>
      <c r="G131" s="3192"/>
      <c r="H131" s="4353"/>
      <c r="I131" s="4354"/>
      <c r="J131" s="4356"/>
      <c r="K131" s="4358"/>
      <c r="L131" s="4358"/>
      <c r="M131" s="4364"/>
      <c r="N131" s="3963"/>
      <c r="O131" s="4350"/>
      <c r="P131" s="3409"/>
      <c r="Q131" s="3963"/>
      <c r="R131" s="3963"/>
      <c r="S131" s="3961"/>
      <c r="T131" s="1021">
        <f>0+56086989</f>
        <v>56086989</v>
      </c>
      <c r="U131" s="1021">
        <v>56086989</v>
      </c>
      <c r="V131" s="1021">
        <f t="shared" ref="V131:V133" si="0">+T131-U131</f>
        <v>0</v>
      </c>
      <c r="W131" s="1076">
        <v>84</v>
      </c>
      <c r="X131" s="1077" t="s">
        <v>1021</v>
      </c>
      <c r="Y131" s="4361"/>
      <c r="Z131" s="4361"/>
      <c r="AA131" s="3595"/>
      <c r="AB131" s="4361"/>
      <c r="AC131" s="3595"/>
      <c r="AD131" s="3595"/>
      <c r="AE131" s="3595"/>
      <c r="AF131" s="3595"/>
      <c r="AG131" s="3595"/>
      <c r="AH131" s="3595"/>
      <c r="AI131" s="3595"/>
      <c r="AJ131" s="4361"/>
      <c r="AK131" s="4363"/>
      <c r="AL131" s="4363"/>
      <c r="AM131" s="3595"/>
      <c r="AN131" s="3595"/>
      <c r="AO131" s="3595"/>
      <c r="AP131" s="3595"/>
      <c r="AQ131" s="4363"/>
      <c r="AR131" s="4363"/>
      <c r="AS131" s="4363"/>
      <c r="AT131" s="4363"/>
      <c r="AU131" s="4363"/>
      <c r="AV131" s="4363"/>
      <c r="AW131" s="4363"/>
      <c r="AX131" s="4363"/>
      <c r="AY131" s="4363"/>
      <c r="AZ131" s="4363"/>
      <c r="BA131" s="4363"/>
      <c r="BB131" s="2674"/>
      <c r="BC131" s="3595"/>
      <c r="BD131" s="4361"/>
      <c r="BE131" s="3595"/>
      <c r="BF131" s="3409"/>
      <c r="BG131" s="3409"/>
      <c r="BH131" s="3595"/>
      <c r="BI131" s="3595"/>
      <c r="BJ131" s="3595"/>
      <c r="BK131" s="3969"/>
      <c r="BL131" s="3969"/>
      <c r="BM131" s="3969"/>
      <c r="BN131" s="3969"/>
      <c r="BO131" s="3963"/>
    </row>
    <row r="132" spans="1:67" ht="35.25" customHeight="1" x14ac:dyDescent="0.2">
      <c r="C132" s="4365"/>
      <c r="D132" s="4366"/>
      <c r="E132" s="1020"/>
      <c r="F132" s="1019"/>
      <c r="G132" s="3190">
        <v>201</v>
      </c>
      <c r="H132" s="3959" t="s">
        <v>1022</v>
      </c>
      <c r="I132" s="3191" t="s">
        <v>1023</v>
      </c>
      <c r="J132" s="3266">
        <v>14</v>
      </c>
      <c r="K132" s="3266">
        <v>0.2</v>
      </c>
      <c r="L132" s="4359"/>
      <c r="M132" s="4364"/>
      <c r="N132" s="3963"/>
      <c r="O132" s="4350">
        <f>(T132+T133)/P122</f>
        <v>0.68524673117581247</v>
      </c>
      <c r="P132" s="3409"/>
      <c r="Q132" s="3963"/>
      <c r="R132" s="3963"/>
      <c r="S132" s="3959" t="s">
        <v>1024</v>
      </c>
      <c r="T132" s="1021">
        <v>2594634781</v>
      </c>
      <c r="U132" s="1021">
        <v>480329584</v>
      </c>
      <c r="V132" s="1021">
        <v>0</v>
      </c>
      <c r="W132" s="1078">
        <v>6</v>
      </c>
      <c r="X132" s="1079" t="s">
        <v>1020</v>
      </c>
      <c r="Y132" s="4361"/>
      <c r="Z132" s="4361"/>
      <c r="AA132" s="3595"/>
      <c r="AB132" s="4361"/>
      <c r="AC132" s="3595"/>
      <c r="AD132" s="3595"/>
      <c r="AE132" s="3595"/>
      <c r="AF132" s="3595"/>
      <c r="AG132" s="3595"/>
      <c r="AH132" s="3595"/>
      <c r="AI132" s="3595"/>
      <c r="AJ132" s="4361"/>
      <c r="AK132" s="4363"/>
      <c r="AL132" s="4363"/>
      <c r="AM132" s="3595"/>
      <c r="AN132" s="3595"/>
      <c r="AO132" s="3595"/>
      <c r="AP132" s="3595"/>
      <c r="AQ132" s="4363"/>
      <c r="AR132" s="4363"/>
      <c r="AS132" s="4363"/>
      <c r="AT132" s="4363"/>
      <c r="AU132" s="4363"/>
      <c r="AV132" s="4363"/>
      <c r="AW132" s="4363"/>
      <c r="AX132" s="4363"/>
      <c r="AY132" s="4363"/>
      <c r="AZ132" s="4363"/>
      <c r="BA132" s="4363"/>
      <c r="BB132" s="2674"/>
      <c r="BC132" s="3595"/>
      <c r="BD132" s="4361"/>
      <c r="BE132" s="3595"/>
      <c r="BF132" s="3409"/>
      <c r="BG132" s="3409"/>
      <c r="BH132" s="3595"/>
      <c r="BI132" s="3595"/>
      <c r="BJ132" s="3595"/>
      <c r="BK132" s="3969"/>
      <c r="BL132" s="3969"/>
      <c r="BM132" s="3969"/>
      <c r="BN132" s="3969"/>
      <c r="BO132" s="3963"/>
    </row>
    <row r="133" spans="1:67" ht="53.25" customHeight="1" thickBot="1" x14ac:dyDescent="0.25">
      <c r="C133" s="4365"/>
      <c r="D133" s="4366"/>
      <c r="E133" s="1020"/>
      <c r="F133" s="1019"/>
      <c r="G133" s="3191"/>
      <c r="H133" s="3960"/>
      <c r="I133" s="3191"/>
      <c r="J133" s="3190"/>
      <c r="K133" s="3190"/>
      <c r="L133" s="4359"/>
      <c r="M133" s="4364"/>
      <c r="N133" s="3963"/>
      <c r="O133" s="4351"/>
      <c r="P133" s="3409"/>
      <c r="Q133" s="3963"/>
      <c r="R133" s="3963"/>
      <c r="S133" s="3960"/>
      <c r="T133" s="1023">
        <f>0+130869640</f>
        <v>130869640</v>
      </c>
      <c r="U133" s="1023">
        <v>130869640</v>
      </c>
      <c r="V133" s="1023">
        <f t="shared" si="0"/>
        <v>0</v>
      </c>
      <c r="W133" s="1080">
        <v>84</v>
      </c>
      <c r="X133" s="2643" t="s">
        <v>1021</v>
      </c>
      <c r="Y133" s="4361"/>
      <c r="Z133" s="4361"/>
      <c r="AA133" s="3595"/>
      <c r="AB133" s="4361"/>
      <c r="AC133" s="3595"/>
      <c r="AD133" s="3595"/>
      <c r="AE133" s="3595"/>
      <c r="AF133" s="3595"/>
      <c r="AG133" s="3595"/>
      <c r="AH133" s="3595"/>
      <c r="AI133" s="3595"/>
      <c r="AJ133" s="4361"/>
      <c r="AK133" s="4363"/>
      <c r="AL133" s="4363"/>
      <c r="AM133" s="3595"/>
      <c r="AN133" s="3595"/>
      <c r="AO133" s="3595"/>
      <c r="AP133" s="3595"/>
      <c r="AQ133" s="4363"/>
      <c r="AR133" s="4363"/>
      <c r="AS133" s="4363"/>
      <c r="AT133" s="4363"/>
      <c r="AU133" s="4363"/>
      <c r="AV133" s="4363"/>
      <c r="AW133" s="4363"/>
      <c r="AX133" s="4363"/>
      <c r="AY133" s="4363"/>
      <c r="AZ133" s="4363"/>
      <c r="BA133" s="4363"/>
      <c r="BB133" s="2674"/>
      <c r="BC133" s="3595"/>
      <c r="BD133" s="4361"/>
      <c r="BE133" s="3595"/>
      <c r="BF133" s="3409"/>
      <c r="BG133" s="3409"/>
      <c r="BH133" s="3595"/>
      <c r="BI133" s="3595"/>
      <c r="BJ133" s="3595"/>
      <c r="BK133" s="3969"/>
      <c r="BL133" s="3969"/>
      <c r="BM133" s="3969"/>
      <c r="BN133" s="3969"/>
      <c r="BO133" s="3963"/>
    </row>
    <row r="134" spans="1:67" ht="22.5" customHeight="1" thickBot="1" x14ac:dyDescent="0.25">
      <c r="A134" s="1082"/>
      <c r="B134" s="1083"/>
      <c r="C134" s="1083"/>
      <c r="D134" s="1083"/>
      <c r="E134" s="1083"/>
      <c r="F134" s="1084"/>
      <c r="G134" s="1083"/>
      <c r="H134" s="1085"/>
      <c r="I134" s="1085"/>
      <c r="J134" s="1083"/>
      <c r="K134" s="1083"/>
      <c r="L134" s="1083"/>
      <c r="M134" s="1083"/>
      <c r="N134" s="1085"/>
      <c r="O134" s="1083"/>
      <c r="P134" s="1086"/>
      <c r="Q134" s="1085"/>
      <c r="R134" s="1085"/>
      <c r="S134" s="1087"/>
      <c r="T134" s="1088">
        <f>SUM(T13:T133)</f>
        <v>6067165943</v>
      </c>
      <c r="U134" s="1088">
        <f>SUM(U13:U133)</f>
        <v>1425365749</v>
      </c>
      <c r="V134" s="1088">
        <f>SUM(V13:V133)</f>
        <v>157225000</v>
      </c>
      <c r="W134" s="1089"/>
      <c r="X134" s="1090"/>
      <c r="Y134" s="1083"/>
      <c r="Z134" s="1083"/>
      <c r="AA134" s="1083"/>
      <c r="AB134" s="1083"/>
      <c r="AC134" s="1083"/>
      <c r="AD134" s="1083"/>
      <c r="AE134" s="1083"/>
      <c r="AF134" s="1083"/>
      <c r="AG134" s="1083"/>
      <c r="AH134" s="1083"/>
      <c r="AI134" s="1083"/>
      <c r="AJ134" s="1083"/>
      <c r="AK134" s="1083"/>
      <c r="AL134" s="1083"/>
      <c r="AM134" s="1083"/>
      <c r="AN134" s="1083"/>
      <c r="AO134" s="1083"/>
      <c r="AP134" s="1083"/>
      <c r="AQ134" s="1083"/>
      <c r="AR134" s="1083"/>
      <c r="AS134" s="1083"/>
      <c r="AT134" s="1083"/>
      <c r="AU134" s="1083"/>
      <c r="AV134" s="1083"/>
      <c r="AW134" s="1083"/>
      <c r="AX134" s="1083"/>
      <c r="AY134" s="1083"/>
      <c r="AZ134" s="1083"/>
      <c r="BA134" s="1083"/>
      <c r="BB134" s="1083"/>
      <c r="BC134" s="1083"/>
      <c r="BD134" s="1083"/>
      <c r="BE134" s="1091"/>
      <c r="BF134" s="1088">
        <f>SUM(BF13:BF133)</f>
        <v>1425365749</v>
      </c>
      <c r="BG134" s="1088">
        <f>+BG122+BG113+BG107+BG102+BG100+BG95+BG76+BG59+BG45+BG31+BG23+BG13</f>
        <v>157225000</v>
      </c>
      <c r="BH134" s="1082"/>
      <c r="BI134" s="1083"/>
      <c r="BJ134" s="1083"/>
      <c r="BK134" s="1083"/>
      <c r="BL134" s="1083"/>
      <c r="BM134" s="1083"/>
      <c r="BN134" s="1083"/>
      <c r="BO134" s="1092"/>
    </row>
    <row r="139" spans="1:67" x14ac:dyDescent="0.2">
      <c r="BF139" s="1098"/>
      <c r="BG139" s="1098"/>
    </row>
  </sheetData>
  <sheetProtection password="F3F4" sheet="1" objects="1" scenarios="1"/>
  <mergeCells count="838">
    <mergeCell ref="Q7:Q9"/>
    <mergeCell ref="R7:R9"/>
    <mergeCell ref="F7:F9"/>
    <mergeCell ref="G7:G9"/>
    <mergeCell ref="H7:H9"/>
    <mergeCell ref="I7:I9"/>
    <mergeCell ref="J7:K8"/>
    <mergeCell ref="L7:L9"/>
    <mergeCell ref="A1:BM4"/>
    <mergeCell ref="A5:K6"/>
    <mergeCell ref="L5:BO5"/>
    <mergeCell ref="Y6:BD6"/>
    <mergeCell ref="BE6:BO6"/>
    <mergeCell ref="A7:A9"/>
    <mergeCell ref="B7:B9"/>
    <mergeCell ref="C7:C9"/>
    <mergeCell ref="D7:D9"/>
    <mergeCell ref="E7:E9"/>
    <mergeCell ref="BO7:BO9"/>
    <mergeCell ref="Y8:Z8"/>
    <mergeCell ref="AA8:AB8"/>
    <mergeCell ref="AC8:AD8"/>
    <mergeCell ref="AE8:AF8"/>
    <mergeCell ref="AG8:AH8"/>
    <mergeCell ref="AI8:AJ8"/>
    <mergeCell ref="AK8:AL8"/>
    <mergeCell ref="AM8:AN8"/>
    <mergeCell ref="AO8:AP8"/>
    <mergeCell ref="AK7:AV7"/>
    <mergeCell ref="AW7:BB7"/>
    <mergeCell ref="BC7:BD8"/>
    <mergeCell ref="BE7:BJ7"/>
    <mergeCell ref="BK7:BL8"/>
    <mergeCell ref="BM7:BN8"/>
    <mergeCell ref="AQ8:AR8"/>
    <mergeCell ref="AS8:AT8"/>
    <mergeCell ref="AU8:AV8"/>
    <mergeCell ref="AW8:AX8"/>
    <mergeCell ref="Y7:AB7"/>
    <mergeCell ref="AC7:AJ7"/>
    <mergeCell ref="BI8:BI9"/>
    <mergeCell ref="BJ8:BJ9"/>
    <mergeCell ref="E13:F20"/>
    <mergeCell ref="G13:G16"/>
    <mergeCell ref="H13:H16"/>
    <mergeCell ref="I13:I16"/>
    <mergeCell ref="J13:J16"/>
    <mergeCell ref="K13:K16"/>
    <mergeCell ref="L13:L20"/>
    <mergeCell ref="M13:M20"/>
    <mergeCell ref="AY8:AZ8"/>
    <mergeCell ref="BA8:BB8"/>
    <mergeCell ref="BE8:BE9"/>
    <mergeCell ref="BF8:BF9"/>
    <mergeCell ref="BG8:BG9"/>
    <mergeCell ref="BH8:BH9"/>
    <mergeCell ref="S7:S9"/>
    <mergeCell ref="T7:V8"/>
    <mergeCell ref="W7:W9"/>
    <mergeCell ref="X7:X9"/>
    <mergeCell ref="M7:M9"/>
    <mergeCell ref="N7:N9"/>
    <mergeCell ref="O7:O9"/>
    <mergeCell ref="P7:P9"/>
    <mergeCell ref="Z13:Z20"/>
    <mergeCell ref="AA13:AA20"/>
    <mergeCell ref="AB13:AB20"/>
    <mergeCell ref="AC13:AC20"/>
    <mergeCell ref="AD13:AD20"/>
    <mergeCell ref="AE13:AE20"/>
    <mergeCell ref="N13:N20"/>
    <mergeCell ref="O13:O16"/>
    <mergeCell ref="P13:P20"/>
    <mergeCell ref="Q13:Q20"/>
    <mergeCell ref="R13:R16"/>
    <mergeCell ref="Y13:Y20"/>
    <mergeCell ref="R17:R20"/>
    <mergeCell ref="AO13:AO20"/>
    <mergeCell ref="AP13:AP20"/>
    <mergeCell ref="AQ13:AQ20"/>
    <mergeCell ref="AF13:AF20"/>
    <mergeCell ref="AG13:AG20"/>
    <mergeCell ref="AH13:AH20"/>
    <mergeCell ref="AI13:AI20"/>
    <mergeCell ref="AJ13:AJ20"/>
    <mergeCell ref="AK13:AK20"/>
    <mergeCell ref="BM13:BM20"/>
    <mergeCell ref="BN13:BN20"/>
    <mergeCell ref="BO13:BO20"/>
    <mergeCell ref="BD13:BD20"/>
    <mergeCell ref="BE13:BE20"/>
    <mergeCell ref="BF13:BF20"/>
    <mergeCell ref="BG13:BG20"/>
    <mergeCell ref="BH13:BH20"/>
    <mergeCell ref="BI13:BI20"/>
    <mergeCell ref="G17:G20"/>
    <mergeCell ref="H17:H20"/>
    <mergeCell ref="I17:I20"/>
    <mergeCell ref="J17:J20"/>
    <mergeCell ref="K17:K20"/>
    <mergeCell ref="O17:O20"/>
    <mergeCell ref="BJ13:BJ20"/>
    <mergeCell ref="BK13:BK20"/>
    <mergeCell ref="BL13:BL20"/>
    <mergeCell ref="AX13:AX20"/>
    <mergeCell ref="AY13:AY20"/>
    <mergeCell ref="AZ13:AZ20"/>
    <mergeCell ref="BA13:BA20"/>
    <mergeCell ref="BB13:BB20"/>
    <mergeCell ref="BC13:BC20"/>
    <mergeCell ref="AR13:AR20"/>
    <mergeCell ref="AS13:AS20"/>
    <mergeCell ref="AT13:AT20"/>
    <mergeCell ref="AU13:AU20"/>
    <mergeCell ref="AV13:AV20"/>
    <mergeCell ref="AW13:AW20"/>
    <mergeCell ref="AL13:AL20"/>
    <mergeCell ref="AM13:AM20"/>
    <mergeCell ref="AN13:AN20"/>
    <mergeCell ref="L23:L29"/>
    <mergeCell ref="M23:M29"/>
    <mergeCell ref="N23:N29"/>
    <mergeCell ref="O23:O29"/>
    <mergeCell ref="P23:P29"/>
    <mergeCell ref="Q23:Q29"/>
    <mergeCell ref="C22:D56"/>
    <mergeCell ref="G23:G29"/>
    <mergeCell ref="H23:H29"/>
    <mergeCell ref="I23:I29"/>
    <mergeCell ref="J23:J29"/>
    <mergeCell ref="K23:K29"/>
    <mergeCell ref="G41:G43"/>
    <mergeCell ref="H41:H43"/>
    <mergeCell ref="I41:I43"/>
    <mergeCell ref="J41:J43"/>
    <mergeCell ref="AD23:AD29"/>
    <mergeCell ref="AE23:AE29"/>
    <mergeCell ref="AF23:AF29"/>
    <mergeCell ref="AG23:AG29"/>
    <mergeCell ref="AH23:AH29"/>
    <mergeCell ref="AI23:AI29"/>
    <mergeCell ref="R23:R27"/>
    <mergeCell ref="Y23:Y29"/>
    <mergeCell ref="Z23:Z29"/>
    <mergeCell ref="AA23:AA29"/>
    <mergeCell ref="AB23:AB29"/>
    <mergeCell ref="AC23:AC29"/>
    <mergeCell ref="BO23:BO29"/>
    <mergeCell ref="R28:R29"/>
    <mergeCell ref="G31:G37"/>
    <mergeCell ref="H31:H37"/>
    <mergeCell ref="I31:I37"/>
    <mergeCell ref="J31:J37"/>
    <mergeCell ref="K31:K37"/>
    <mergeCell ref="M31:M43"/>
    <mergeCell ref="N31:N43"/>
    <mergeCell ref="BH23:BH29"/>
    <mergeCell ref="BI23:BI29"/>
    <mergeCell ref="BJ23:BJ29"/>
    <mergeCell ref="BK23:BK29"/>
    <mergeCell ref="BL23:BL29"/>
    <mergeCell ref="BM23:BM29"/>
    <mergeCell ref="BB23:BB29"/>
    <mergeCell ref="BC23:BC29"/>
    <mergeCell ref="BD23:BD29"/>
    <mergeCell ref="BE23:BE29"/>
    <mergeCell ref="BF23:BF29"/>
    <mergeCell ref="BG23:BG29"/>
    <mergeCell ref="AV23:AV29"/>
    <mergeCell ref="AW23:AW29"/>
    <mergeCell ref="AX23:AX29"/>
    <mergeCell ref="O31:O37"/>
    <mergeCell ref="P31:P43"/>
    <mergeCell ref="Q31:Q43"/>
    <mergeCell ref="R31:R37"/>
    <mergeCell ref="Y31:Y43"/>
    <mergeCell ref="Z31:Z43"/>
    <mergeCell ref="O38:O40"/>
    <mergeCell ref="R38:R40"/>
    <mergeCell ref="BN23:BN29"/>
    <mergeCell ref="AY23:AY29"/>
    <mergeCell ref="AZ23:AZ29"/>
    <mergeCell ref="BA23:BA29"/>
    <mergeCell ref="AP23:AP29"/>
    <mergeCell ref="AQ23:AQ29"/>
    <mergeCell ref="AR23:AR29"/>
    <mergeCell ref="AS23:AS29"/>
    <mergeCell ref="AT23:AT29"/>
    <mergeCell ref="AU23:AU29"/>
    <mergeCell ref="AJ23:AJ29"/>
    <mergeCell ref="AK23:AK29"/>
    <mergeCell ref="AL23:AL29"/>
    <mergeCell ref="AM23:AM29"/>
    <mergeCell ref="AN23:AN29"/>
    <mergeCell ref="AO23:AO29"/>
    <mergeCell ref="AG31:AG43"/>
    <mergeCell ref="AH31:AH43"/>
    <mergeCell ref="AI31:AI43"/>
    <mergeCell ref="AJ31:AJ43"/>
    <mergeCell ref="AK31:AK43"/>
    <mergeCell ref="AL31:AL43"/>
    <mergeCell ref="AA31:AA43"/>
    <mergeCell ref="AB31:AB43"/>
    <mergeCell ref="AC31:AC43"/>
    <mergeCell ref="AD31:AD43"/>
    <mergeCell ref="AE31:AE43"/>
    <mergeCell ref="AF31:AF43"/>
    <mergeCell ref="AU31:AU43"/>
    <mergeCell ref="AV31:AV43"/>
    <mergeCell ref="AW31:AW43"/>
    <mergeCell ref="AX31:AX43"/>
    <mergeCell ref="AM31:AM43"/>
    <mergeCell ref="AN31:AN43"/>
    <mergeCell ref="AO31:AO43"/>
    <mergeCell ref="AP31:AP43"/>
    <mergeCell ref="AQ31:AQ43"/>
    <mergeCell ref="AR31:AR43"/>
    <mergeCell ref="BK31:BK43"/>
    <mergeCell ref="BL31:BL43"/>
    <mergeCell ref="BM31:BM43"/>
    <mergeCell ref="BN31:BN43"/>
    <mergeCell ref="BO31:BO43"/>
    <mergeCell ref="G38:G40"/>
    <mergeCell ref="H38:H40"/>
    <mergeCell ref="I38:I40"/>
    <mergeCell ref="J38:J40"/>
    <mergeCell ref="K38:K40"/>
    <mergeCell ref="BE31:BE43"/>
    <mergeCell ref="BF31:BF43"/>
    <mergeCell ref="BG31:BG43"/>
    <mergeCell ref="BH31:BH43"/>
    <mergeCell ref="BI31:BI43"/>
    <mergeCell ref="BJ31:BJ43"/>
    <mergeCell ref="AY31:AY43"/>
    <mergeCell ref="AZ31:AZ43"/>
    <mergeCell ref="BA31:BA43"/>
    <mergeCell ref="BB31:BB43"/>
    <mergeCell ref="BC31:BC43"/>
    <mergeCell ref="BD31:BD43"/>
    <mergeCell ref="AS31:AS43"/>
    <mergeCell ref="AT31:AT43"/>
    <mergeCell ref="K41:K43"/>
    <mergeCell ref="O41:O43"/>
    <mergeCell ref="R41:R43"/>
    <mergeCell ref="G45:G50"/>
    <mergeCell ref="H45:H50"/>
    <mergeCell ref="I45:I50"/>
    <mergeCell ref="J45:J50"/>
    <mergeCell ref="K45:K50"/>
    <mergeCell ref="L45:L56"/>
    <mergeCell ref="M45:M56"/>
    <mergeCell ref="Z45:Z56"/>
    <mergeCell ref="AA45:AA56"/>
    <mergeCell ref="AB45:AB56"/>
    <mergeCell ref="AC45:AC56"/>
    <mergeCell ref="AD45:AD56"/>
    <mergeCell ref="AE45:AE56"/>
    <mergeCell ref="N45:N56"/>
    <mergeCell ref="O45:O50"/>
    <mergeCell ref="P45:P56"/>
    <mergeCell ref="Q45:Q56"/>
    <mergeCell ref="R45:R50"/>
    <mergeCell ref="Y45:Y56"/>
    <mergeCell ref="AO45:AO56"/>
    <mergeCell ref="AP45:AP56"/>
    <mergeCell ref="AQ45:AQ56"/>
    <mergeCell ref="AR45:AR56"/>
    <mergeCell ref="AS45:AS56"/>
    <mergeCell ref="AT45:AT56"/>
    <mergeCell ref="AF45:AF56"/>
    <mergeCell ref="AG45:AG56"/>
    <mergeCell ref="AH45:AH56"/>
    <mergeCell ref="AI45:AI56"/>
    <mergeCell ref="AK45:AK56"/>
    <mergeCell ref="AM45:AM56"/>
    <mergeCell ref="BC45:BC56"/>
    <mergeCell ref="BD45:BD56"/>
    <mergeCell ref="BE45:BE56"/>
    <mergeCell ref="BF45:BF56"/>
    <mergeCell ref="AU45:AU56"/>
    <mergeCell ref="AV45:AV56"/>
    <mergeCell ref="AW45:AW56"/>
    <mergeCell ref="AX45:AX56"/>
    <mergeCell ref="AY45:AY56"/>
    <mergeCell ref="AZ45:AZ56"/>
    <mergeCell ref="H54:H56"/>
    <mergeCell ref="I54:I56"/>
    <mergeCell ref="J54:J56"/>
    <mergeCell ref="K54:K56"/>
    <mergeCell ref="O54:O56"/>
    <mergeCell ref="R54:R56"/>
    <mergeCell ref="BN45:BN56"/>
    <mergeCell ref="BO45:BO56"/>
    <mergeCell ref="G51:G53"/>
    <mergeCell ref="H51:H53"/>
    <mergeCell ref="I51:I53"/>
    <mergeCell ref="J51:J53"/>
    <mergeCell ref="K51:K53"/>
    <mergeCell ref="O51:O53"/>
    <mergeCell ref="R51:R53"/>
    <mergeCell ref="G54:G56"/>
    <mergeCell ref="BG45:BG56"/>
    <mergeCell ref="BH45:BH56"/>
    <mergeCell ref="BJ45:BJ56"/>
    <mergeCell ref="BK45:BK56"/>
    <mergeCell ref="BL45:BL56"/>
    <mergeCell ref="BM45:BM56"/>
    <mergeCell ref="BA45:BA56"/>
    <mergeCell ref="BB45:BB56"/>
    <mergeCell ref="C58:D92"/>
    <mergeCell ref="G59:G74"/>
    <mergeCell ref="H59:H74"/>
    <mergeCell ref="I59:I74"/>
    <mergeCell ref="J59:J74"/>
    <mergeCell ref="K59:K74"/>
    <mergeCell ref="G76:G92"/>
    <mergeCell ref="H76:H92"/>
    <mergeCell ref="I76:I92"/>
    <mergeCell ref="J76:J92"/>
    <mergeCell ref="R59:R61"/>
    <mergeCell ref="Y59:Y74"/>
    <mergeCell ref="Z59:Z74"/>
    <mergeCell ref="AA59:AA74"/>
    <mergeCell ref="AB59:AB74"/>
    <mergeCell ref="AC59:AC74"/>
    <mergeCell ref="R62:R74"/>
    <mergeCell ref="L59:L74"/>
    <mergeCell ref="M59:M74"/>
    <mergeCell ref="N59:N74"/>
    <mergeCell ref="O59:O74"/>
    <mergeCell ref="P59:P74"/>
    <mergeCell ref="Q59:Q74"/>
    <mergeCell ref="AM59:AM74"/>
    <mergeCell ref="AN59:AN74"/>
    <mergeCell ref="AO59:AO74"/>
    <mergeCell ref="AD59:AD74"/>
    <mergeCell ref="AE59:AE74"/>
    <mergeCell ref="AF59:AF74"/>
    <mergeCell ref="AG59:AG74"/>
    <mergeCell ref="AH59:AH74"/>
    <mergeCell ref="AI59:AI74"/>
    <mergeCell ref="BM59:BM74"/>
    <mergeCell ref="BN59:BN74"/>
    <mergeCell ref="BO59:BO74"/>
    <mergeCell ref="BB59:BB74"/>
    <mergeCell ref="BC59:BC74"/>
    <mergeCell ref="BF59:BF74"/>
    <mergeCell ref="BG59:BG74"/>
    <mergeCell ref="BH59:BH74"/>
    <mergeCell ref="BI59:BI74"/>
    <mergeCell ref="BD60:BD74"/>
    <mergeCell ref="BE60:BE74"/>
    <mergeCell ref="K76:K92"/>
    <mergeCell ref="L76:L92"/>
    <mergeCell ref="M76:M92"/>
    <mergeCell ref="N76:N92"/>
    <mergeCell ref="O76:O92"/>
    <mergeCell ref="P76:P92"/>
    <mergeCell ref="BJ59:BJ74"/>
    <mergeCell ref="BK59:BK74"/>
    <mergeCell ref="BL59:BL74"/>
    <mergeCell ref="AV59:AV74"/>
    <mergeCell ref="AW59:AW74"/>
    <mergeCell ref="AX59:AX74"/>
    <mergeCell ref="AY59:AY74"/>
    <mergeCell ref="AZ59:AZ74"/>
    <mergeCell ref="BA59:BA74"/>
    <mergeCell ref="AP59:AP74"/>
    <mergeCell ref="AQ59:AQ74"/>
    <mergeCell ref="AR59:AR74"/>
    <mergeCell ref="AS59:AS74"/>
    <mergeCell ref="AT59:AT74"/>
    <mergeCell ref="AU59:AU74"/>
    <mergeCell ref="AJ59:AJ74"/>
    <mergeCell ref="AK59:AK74"/>
    <mergeCell ref="AL59:AL74"/>
    <mergeCell ref="AE76:AE92"/>
    <mergeCell ref="AF76:AF92"/>
    <mergeCell ref="AG76:AG92"/>
    <mergeCell ref="AH76:AH92"/>
    <mergeCell ref="Q76:Q92"/>
    <mergeCell ref="R76:R86"/>
    <mergeCell ref="Y76:Y92"/>
    <mergeCell ref="Z76:Z92"/>
    <mergeCell ref="AA76:AA92"/>
    <mergeCell ref="AB76:AB92"/>
    <mergeCell ref="A94:A104"/>
    <mergeCell ref="B94:D104"/>
    <mergeCell ref="E95:F104"/>
    <mergeCell ref="G95:G96"/>
    <mergeCell ref="H95:H96"/>
    <mergeCell ref="I95:I96"/>
    <mergeCell ref="BG76:BG92"/>
    <mergeCell ref="BH76:BH92"/>
    <mergeCell ref="BI76:BI92"/>
    <mergeCell ref="BA76:BA92"/>
    <mergeCell ref="BB76:BB92"/>
    <mergeCell ref="BC76:BC92"/>
    <mergeCell ref="BD76:BD92"/>
    <mergeCell ref="BE76:BE92"/>
    <mergeCell ref="BF76:BF92"/>
    <mergeCell ref="AU76:AU92"/>
    <mergeCell ref="AV76:AV92"/>
    <mergeCell ref="AW76:AW92"/>
    <mergeCell ref="AX76:AX92"/>
    <mergeCell ref="AY76:AY92"/>
    <mergeCell ref="AZ76:AZ92"/>
    <mergeCell ref="AO76:AO92"/>
    <mergeCell ref="AP76:AP92"/>
    <mergeCell ref="AQ76:AQ92"/>
    <mergeCell ref="J95:J96"/>
    <mergeCell ref="K95:K96"/>
    <mergeCell ref="L95:L96"/>
    <mergeCell ref="M95:M96"/>
    <mergeCell ref="N95:N96"/>
    <mergeCell ref="O95:O96"/>
    <mergeCell ref="BM76:BM92"/>
    <mergeCell ref="BN76:BN92"/>
    <mergeCell ref="BO76:BO92"/>
    <mergeCell ref="R87:R92"/>
    <mergeCell ref="BJ76:BJ92"/>
    <mergeCell ref="BK76:BK92"/>
    <mergeCell ref="BL76:BL92"/>
    <mergeCell ref="AR76:AR92"/>
    <mergeCell ref="AS76:AS92"/>
    <mergeCell ref="AT76:AT92"/>
    <mergeCell ref="AI76:AI92"/>
    <mergeCell ref="AJ76:AJ92"/>
    <mergeCell ref="AK76:AK92"/>
    <mergeCell ref="AL76:AL92"/>
    <mergeCell ref="AM76:AM92"/>
    <mergeCell ref="AN76:AN92"/>
    <mergeCell ref="AC76:AC92"/>
    <mergeCell ref="AD76:AD92"/>
    <mergeCell ref="AD95:AD96"/>
    <mergeCell ref="AE95:AE96"/>
    <mergeCell ref="AF95:AF96"/>
    <mergeCell ref="AG95:AG96"/>
    <mergeCell ref="P95:P96"/>
    <mergeCell ref="Q95:Q96"/>
    <mergeCell ref="R95:R96"/>
    <mergeCell ref="Y95:Y96"/>
    <mergeCell ref="Z95:Z96"/>
    <mergeCell ref="AA95:AA96"/>
    <mergeCell ref="BO95:BO96"/>
    <mergeCell ref="G97:G99"/>
    <mergeCell ref="H97:H99"/>
    <mergeCell ref="I97:I99"/>
    <mergeCell ref="J97:J99"/>
    <mergeCell ref="K97:K99"/>
    <mergeCell ref="L97:L99"/>
    <mergeCell ref="BF95:BF96"/>
    <mergeCell ref="BG95:BG96"/>
    <mergeCell ref="BH95:BH96"/>
    <mergeCell ref="BI95:BI96"/>
    <mergeCell ref="BJ95:BJ96"/>
    <mergeCell ref="BK95:BK96"/>
    <mergeCell ref="AZ95:AZ96"/>
    <mergeCell ref="BA95:BA96"/>
    <mergeCell ref="BB95:BB96"/>
    <mergeCell ref="BC95:BC96"/>
    <mergeCell ref="BD95:BD96"/>
    <mergeCell ref="BE95:BE96"/>
    <mergeCell ref="AT95:AT96"/>
    <mergeCell ref="AU95:AU96"/>
    <mergeCell ref="AV95:AV96"/>
    <mergeCell ref="AW95:AW96"/>
    <mergeCell ref="AX95:AX96"/>
    <mergeCell ref="M97:M99"/>
    <mergeCell ref="N97:N99"/>
    <mergeCell ref="O97:O99"/>
    <mergeCell ref="P97:P99"/>
    <mergeCell ref="Q97:Q99"/>
    <mergeCell ref="R97:R98"/>
    <mergeCell ref="BL95:BL96"/>
    <mergeCell ref="BM95:BM96"/>
    <mergeCell ref="BN95:BN96"/>
    <mergeCell ref="AY95:AY96"/>
    <mergeCell ref="AN95:AN96"/>
    <mergeCell ref="AO95:AO96"/>
    <mergeCell ref="AP95:AP96"/>
    <mergeCell ref="AQ95:AQ96"/>
    <mergeCell ref="AR95:AR96"/>
    <mergeCell ref="AS95:AS96"/>
    <mergeCell ref="AH95:AH96"/>
    <mergeCell ref="AI95:AI96"/>
    <mergeCell ref="AJ95:AJ96"/>
    <mergeCell ref="AK95:AK96"/>
    <mergeCell ref="AL95:AL96"/>
    <mergeCell ref="AM95:AM96"/>
    <mergeCell ref="AB95:AB96"/>
    <mergeCell ref="AC95:AC96"/>
    <mergeCell ref="AE97:AE99"/>
    <mergeCell ref="AF97:AF99"/>
    <mergeCell ref="AG97:AG99"/>
    <mergeCell ref="AH97:AH99"/>
    <mergeCell ref="AI97:AI99"/>
    <mergeCell ref="AJ97:AJ99"/>
    <mergeCell ref="Y97:Y99"/>
    <mergeCell ref="Z97:Z99"/>
    <mergeCell ref="AA97:AA99"/>
    <mergeCell ref="AB97:AB99"/>
    <mergeCell ref="AC97:AC99"/>
    <mergeCell ref="AD97:AD99"/>
    <mergeCell ref="AQ97:AQ99"/>
    <mergeCell ref="AR97:AR99"/>
    <mergeCell ref="AS97:AS99"/>
    <mergeCell ref="AT97:AT99"/>
    <mergeCell ref="AU97:AU99"/>
    <mergeCell ref="AV97:AV99"/>
    <mergeCell ref="AK97:AK99"/>
    <mergeCell ref="AL97:AL99"/>
    <mergeCell ref="AM97:AM99"/>
    <mergeCell ref="AN97:AN99"/>
    <mergeCell ref="AO97:AO99"/>
    <mergeCell ref="AP97:AP99"/>
    <mergeCell ref="BE97:BE99"/>
    <mergeCell ref="BF97:BF99"/>
    <mergeCell ref="BG97:BG99"/>
    <mergeCell ref="BH97:BH99"/>
    <mergeCell ref="AW97:AW99"/>
    <mergeCell ref="AX97:AX99"/>
    <mergeCell ref="AY97:AY99"/>
    <mergeCell ref="AZ97:AZ99"/>
    <mergeCell ref="BA97:BA99"/>
    <mergeCell ref="BB97:BB99"/>
    <mergeCell ref="P100:P101"/>
    <mergeCell ref="Q100:Q101"/>
    <mergeCell ref="Y100:Y101"/>
    <mergeCell ref="Z100:Z101"/>
    <mergeCell ref="AA100:AA101"/>
    <mergeCell ref="AB100:AB101"/>
    <mergeCell ref="BO97:BO99"/>
    <mergeCell ref="G100:G101"/>
    <mergeCell ref="H100:H101"/>
    <mergeCell ref="I100:I101"/>
    <mergeCell ref="J100:J101"/>
    <mergeCell ref="K100:K101"/>
    <mergeCell ref="L100:L101"/>
    <mergeCell ref="M100:M101"/>
    <mergeCell ref="N100:N101"/>
    <mergeCell ref="O100:O101"/>
    <mergeCell ref="BI97:BI99"/>
    <mergeCell ref="BJ97:BJ99"/>
    <mergeCell ref="BK97:BK99"/>
    <mergeCell ref="BL97:BL99"/>
    <mergeCell ref="BM97:BM99"/>
    <mergeCell ref="BN97:BN99"/>
    <mergeCell ref="BC97:BC99"/>
    <mergeCell ref="BD97:BD99"/>
    <mergeCell ref="AI100:AI101"/>
    <mergeCell ref="AJ100:AJ101"/>
    <mergeCell ref="AK100:AK101"/>
    <mergeCell ref="AL100:AL101"/>
    <mergeCell ref="AM100:AM101"/>
    <mergeCell ref="AN100:AN101"/>
    <mergeCell ref="AC100:AC101"/>
    <mergeCell ref="AD100:AD101"/>
    <mergeCell ref="AE100:AE101"/>
    <mergeCell ref="AF100:AF101"/>
    <mergeCell ref="AG100:AG101"/>
    <mergeCell ref="AH100:AH101"/>
    <mergeCell ref="AW100:AW101"/>
    <mergeCell ref="AX100:AX101"/>
    <mergeCell ref="AY100:AY101"/>
    <mergeCell ref="AZ100:AZ101"/>
    <mergeCell ref="AO100:AO101"/>
    <mergeCell ref="AP100:AP101"/>
    <mergeCell ref="AQ100:AQ101"/>
    <mergeCell ref="AR100:AR101"/>
    <mergeCell ref="AS100:AS101"/>
    <mergeCell ref="AT100:AT101"/>
    <mergeCell ref="BM100:BM101"/>
    <mergeCell ref="BN100:BN101"/>
    <mergeCell ref="BO100:BO101"/>
    <mergeCell ref="G102:G104"/>
    <mergeCell ref="H102:H104"/>
    <mergeCell ref="I102:I104"/>
    <mergeCell ref="J102:J104"/>
    <mergeCell ref="K102:K104"/>
    <mergeCell ref="L102:L104"/>
    <mergeCell ref="M102:M104"/>
    <mergeCell ref="BG100:BG101"/>
    <mergeCell ref="BH100:BH101"/>
    <mergeCell ref="BI100:BI101"/>
    <mergeCell ref="BJ100:BJ101"/>
    <mergeCell ref="BK100:BK101"/>
    <mergeCell ref="BL100:BL101"/>
    <mergeCell ref="BA100:BA101"/>
    <mergeCell ref="BB100:BB101"/>
    <mergeCell ref="BC100:BC101"/>
    <mergeCell ref="BD100:BD101"/>
    <mergeCell ref="BE100:BE101"/>
    <mergeCell ref="BF100:BF101"/>
    <mergeCell ref="AU100:AU101"/>
    <mergeCell ref="AV100:AV101"/>
    <mergeCell ref="Z102:Z104"/>
    <mergeCell ref="AA102:AA104"/>
    <mergeCell ref="AB102:AB104"/>
    <mergeCell ref="AC102:AC104"/>
    <mergeCell ref="AD102:AD104"/>
    <mergeCell ref="AE102:AE104"/>
    <mergeCell ref="N102:N104"/>
    <mergeCell ref="O102:O104"/>
    <mergeCell ref="P102:P104"/>
    <mergeCell ref="Q102:Q104"/>
    <mergeCell ref="R102:R103"/>
    <mergeCell ref="Y102:Y104"/>
    <mergeCell ref="AO102:AO104"/>
    <mergeCell ref="AP102:AP104"/>
    <mergeCell ref="AQ102:AQ104"/>
    <mergeCell ref="AF102:AF104"/>
    <mergeCell ref="AG102:AG104"/>
    <mergeCell ref="AH102:AH104"/>
    <mergeCell ref="AI102:AI104"/>
    <mergeCell ref="AJ102:AJ104"/>
    <mergeCell ref="AK102:AK104"/>
    <mergeCell ref="BM102:BM104"/>
    <mergeCell ref="BN102:BN104"/>
    <mergeCell ref="BO102:BO104"/>
    <mergeCell ref="BD102:BD104"/>
    <mergeCell ref="BE102:BE104"/>
    <mergeCell ref="BF102:BF104"/>
    <mergeCell ref="BG102:BG104"/>
    <mergeCell ref="BH102:BH104"/>
    <mergeCell ref="BI102:BI104"/>
    <mergeCell ref="A106:A110"/>
    <mergeCell ref="B106:C110"/>
    <mergeCell ref="D106:D110"/>
    <mergeCell ref="E107:F110"/>
    <mergeCell ref="G107:G110"/>
    <mergeCell ref="H107:H110"/>
    <mergeCell ref="BJ102:BJ104"/>
    <mergeCell ref="BK102:BK104"/>
    <mergeCell ref="BL102:BL104"/>
    <mergeCell ref="AX102:AX104"/>
    <mergeCell ref="AY102:AY104"/>
    <mergeCell ref="AZ102:AZ104"/>
    <mergeCell ref="BA102:BA104"/>
    <mergeCell ref="BB102:BB104"/>
    <mergeCell ref="BC102:BC104"/>
    <mergeCell ref="AR102:AR104"/>
    <mergeCell ref="AS102:AS104"/>
    <mergeCell ref="AT102:AT104"/>
    <mergeCell ref="AU102:AU104"/>
    <mergeCell ref="AV102:AV104"/>
    <mergeCell ref="AW102:AW104"/>
    <mergeCell ref="AL102:AL104"/>
    <mergeCell ref="AM102:AM104"/>
    <mergeCell ref="AN102:AN104"/>
    <mergeCell ref="O107:O110"/>
    <mergeCell ref="P107:P110"/>
    <mergeCell ref="Q107:Q110"/>
    <mergeCell ref="R107:R110"/>
    <mergeCell ref="Y107:Y110"/>
    <mergeCell ref="Z107:Z110"/>
    <mergeCell ref="I107:I110"/>
    <mergeCell ref="J107:J110"/>
    <mergeCell ref="K107:K110"/>
    <mergeCell ref="L107:L110"/>
    <mergeCell ref="M107:M110"/>
    <mergeCell ref="N107:N110"/>
    <mergeCell ref="AG107:AG110"/>
    <mergeCell ref="AH107:AH110"/>
    <mergeCell ref="AI107:AI110"/>
    <mergeCell ref="AJ107:AJ110"/>
    <mergeCell ref="AK107:AK110"/>
    <mergeCell ref="AL107:AL110"/>
    <mergeCell ref="AA107:AA110"/>
    <mergeCell ref="AB107:AB110"/>
    <mergeCell ref="AC107:AC110"/>
    <mergeCell ref="AD107:AD110"/>
    <mergeCell ref="AE107:AE110"/>
    <mergeCell ref="AF107:AF110"/>
    <mergeCell ref="AS107:AS110"/>
    <mergeCell ref="AT107:AT110"/>
    <mergeCell ref="AU107:AU110"/>
    <mergeCell ref="AV107:AV110"/>
    <mergeCell ref="AW107:AW110"/>
    <mergeCell ref="AX107:AX110"/>
    <mergeCell ref="AM107:AM110"/>
    <mergeCell ref="AN107:AN110"/>
    <mergeCell ref="AO107:AO110"/>
    <mergeCell ref="AP107:AP110"/>
    <mergeCell ref="AQ107:AQ110"/>
    <mergeCell ref="AR107:AR110"/>
    <mergeCell ref="BE107:BE110"/>
    <mergeCell ref="BF107:BF110"/>
    <mergeCell ref="BG107:BG110"/>
    <mergeCell ref="BH107:BH110"/>
    <mergeCell ref="BI107:BI110"/>
    <mergeCell ref="BJ107:BJ110"/>
    <mergeCell ref="AY107:AY110"/>
    <mergeCell ref="AZ107:AZ110"/>
    <mergeCell ref="BA107:BA110"/>
    <mergeCell ref="BB107:BB110"/>
    <mergeCell ref="BC107:BC110"/>
    <mergeCell ref="BD107:BD110"/>
    <mergeCell ref="BK107:BK108"/>
    <mergeCell ref="BL107:BL108"/>
    <mergeCell ref="BM107:BM108"/>
    <mergeCell ref="BN107:BN108"/>
    <mergeCell ref="BO107:BO110"/>
    <mergeCell ref="BK109:BK110"/>
    <mergeCell ref="BL109:BL110"/>
    <mergeCell ref="BM109:BM110"/>
    <mergeCell ref="BN109:BN110"/>
    <mergeCell ref="I113:I119"/>
    <mergeCell ref="J113:J119"/>
    <mergeCell ref="K113:K119"/>
    <mergeCell ref="L113:L119"/>
    <mergeCell ref="M113:M119"/>
    <mergeCell ref="N113:N119"/>
    <mergeCell ref="A112:A119"/>
    <mergeCell ref="B112:C119"/>
    <mergeCell ref="D112:D119"/>
    <mergeCell ref="E113:F119"/>
    <mergeCell ref="G113:G119"/>
    <mergeCell ref="H113:H119"/>
    <mergeCell ref="AA113:AA119"/>
    <mergeCell ref="AB113:AB119"/>
    <mergeCell ref="AC113:AC119"/>
    <mergeCell ref="AD113:AD119"/>
    <mergeCell ref="AE113:AE119"/>
    <mergeCell ref="AF113:AF119"/>
    <mergeCell ref="O113:O119"/>
    <mergeCell ref="P113:P119"/>
    <mergeCell ref="Q113:Q119"/>
    <mergeCell ref="R113:R114"/>
    <mergeCell ref="Y113:Y119"/>
    <mergeCell ref="Z113:Z119"/>
    <mergeCell ref="AM113:AM119"/>
    <mergeCell ref="AN113:AN119"/>
    <mergeCell ref="AO113:AO119"/>
    <mergeCell ref="AP113:AP119"/>
    <mergeCell ref="AQ113:AQ119"/>
    <mergeCell ref="AR113:AR119"/>
    <mergeCell ref="AG113:AG119"/>
    <mergeCell ref="AH113:AH119"/>
    <mergeCell ref="AI113:AI119"/>
    <mergeCell ref="AJ113:AJ119"/>
    <mergeCell ref="AK113:AK119"/>
    <mergeCell ref="AL113:AL119"/>
    <mergeCell ref="BK113:BK119"/>
    <mergeCell ref="BL113:BL119"/>
    <mergeCell ref="BM113:BM119"/>
    <mergeCell ref="BN113:BN119"/>
    <mergeCell ref="BO113:BO119"/>
    <mergeCell ref="R115:R119"/>
    <mergeCell ref="BE113:BE119"/>
    <mergeCell ref="BF113:BF119"/>
    <mergeCell ref="BG113:BG119"/>
    <mergeCell ref="BH113:BH119"/>
    <mergeCell ref="BI113:BI119"/>
    <mergeCell ref="BJ113:BJ119"/>
    <mergeCell ref="AY113:AY119"/>
    <mergeCell ref="AZ113:AZ119"/>
    <mergeCell ref="BA113:BA119"/>
    <mergeCell ref="BB113:BB119"/>
    <mergeCell ref="BC113:BC119"/>
    <mergeCell ref="BD113:BD119"/>
    <mergeCell ref="AS113:AS119"/>
    <mergeCell ref="AT113:AT119"/>
    <mergeCell ref="AU113:AU119"/>
    <mergeCell ref="AV113:AV119"/>
    <mergeCell ref="AW113:AW119"/>
    <mergeCell ref="AX113:AX119"/>
    <mergeCell ref="C121:D133"/>
    <mergeCell ref="G122:G128"/>
    <mergeCell ref="H122:H128"/>
    <mergeCell ref="I122:I128"/>
    <mergeCell ref="J122:J128"/>
    <mergeCell ref="K122:K128"/>
    <mergeCell ref="G132:G133"/>
    <mergeCell ref="H132:H133"/>
    <mergeCell ref="I132:I133"/>
    <mergeCell ref="J132:J133"/>
    <mergeCell ref="R122:R129"/>
    <mergeCell ref="Y122:Y133"/>
    <mergeCell ref="Z122:Z133"/>
    <mergeCell ref="AA122:AA133"/>
    <mergeCell ref="AB122:AB133"/>
    <mergeCell ref="AC122:AC133"/>
    <mergeCell ref="L122:L128"/>
    <mergeCell ref="M122:M133"/>
    <mergeCell ref="N122:N133"/>
    <mergeCell ref="O122:O128"/>
    <mergeCell ref="P122:P133"/>
    <mergeCell ref="Q122:Q133"/>
    <mergeCell ref="AJ122:AJ133"/>
    <mergeCell ref="AK122:AK133"/>
    <mergeCell ref="AL122:AL133"/>
    <mergeCell ref="AM122:AM133"/>
    <mergeCell ref="AN122:AN133"/>
    <mergeCell ref="AO122:AO133"/>
    <mergeCell ref="AD122:AD133"/>
    <mergeCell ref="AE122:AE133"/>
    <mergeCell ref="AF122:AF133"/>
    <mergeCell ref="AG122:AG133"/>
    <mergeCell ref="AH122:AH133"/>
    <mergeCell ref="AI122:AI133"/>
    <mergeCell ref="BH122:BH133"/>
    <mergeCell ref="AV122:AV133"/>
    <mergeCell ref="AW122:AW133"/>
    <mergeCell ref="AX122:AX133"/>
    <mergeCell ref="AY122:AY133"/>
    <mergeCell ref="AZ122:AZ133"/>
    <mergeCell ref="BA122:BA133"/>
    <mergeCell ref="AP122:AP133"/>
    <mergeCell ref="AQ122:AQ133"/>
    <mergeCell ref="AR122:AR133"/>
    <mergeCell ref="AS122:AS133"/>
    <mergeCell ref="AT122:AT133"/>
    <mergeCell ref="AU122:AU133"/>
    <mergeCell ref="K132:K133"/>
    <mergeCell ref="O132:O133"/>
    <mergeCell ref="S132:S133"/>
    <mergeCell ref="BO122:BO133"/>
    <mergeCell ref="G130:G131"/>
    <mergeCell ref="H130:H131"/>
    <mergeCell ref="I130:I131"/>
    <mergeCell ref="J130:J131"/>
    <mergeCell ref="K130:K131"/>
    <mergeCell ref="L130:L133"/>
    <mergeCell ref="O130:O131"/>
    <mergeCell ref="R130:R133"/>
    <mergeCell ref="S130:S131"/>
    <mergeCell ref="BI122:BI133"/>
    <mergeCell ref="BJ122:BJ133"/>
    <mergeCell ref="BK122:BK133"/>
    <mergeCell ref="BL122:BL133"/>
    <mergeCell ref="BM122:BM133"/>
    <mergeCell ref="BN122:BN133"/>
    <mergeCell ref="BC122:BC133"/>
    <mergeCell ref="BD122:BD133"/>
    <mergeCell ref="BE122:BE133"/>
    <mergeCell ref="BF122:BF133"/>
    <mergeCell ref="BG122:BG133"/>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30"/>
  <sheetViews>
    <sheetView showGridLines="0" topLeftCell="A4" zoomScale="70" zoomScaleNormal="70" workbookViewId="0">
      <selection activeCell="L19" sqref="L19:L22"/>
    </sheetView>
  </sheetViews>
  <sheetFormatPr baseColWidth="10" defaultColWidth="11.42578125" defaultRowHeight="14.25" x14ac:dyDescent="0.2"/>
  <cols>
    <col min="1" max="1" width="12.42578125" style="571" customWidth="1"/>
    <col min="2" max="2" width="8.42578125" style="571" customWidth="1"/>
    <col min="3" max="3" width="8" style="571" customWidth="1"/>
    <col min="4" max="4" width="11" style="571" customWidth="1"/>
    <col min="5" max="5" width="15.140625" style="571" customWidth="1"/>
    <col min="6" max="6" width="0.7109375" style="571" hidden="1" customWidth="1"/>
    <col min="7" max="7" width="10.5703125" style="571" customWidth="1"/>
    <col min="8" max="8" width="11.140625" style="571" customWidth="1"/>
    <col min="9" max="9" width="11.42578125" style="571" customWidth="1"/>
    <col min="10" max="10" width="12.42578125" style="571" customWidth="1"/>
    <col min="11" max="11" width="21.5703125" style="571" customWidth="1"/>
    <col min="12" max="12" width="14.85546875" style="571" customWidth="1"/>
    <col min="13" max="13" width="11.140625" style="571" customWidth="1"/>
    <col min="14" max="14" width="11.42578125" style="571" customWidth="1"/>
    <col min="15" max="15" width="34.28515625" style="571" customWidth="1"/>
    <col min="16" max="16" width="23.42578125" style="571" customWidth="1"/>
    <col min="17" max="17" width="15.28515625" style="571" customWidth="1"/>
    <col min="18" max="18" width="13.42578125" style="571" customWidth="1"/>
    <col min="19" max="19" width="22.85546875" style="2355" customWidth="1"/>
    <col min="20" max="20" width="18" style="571" customWidth="1"/>
    <col min="21" max="21" width="29.7109375" style="571" customWidth="1"/>
    <col min="22" max="22" width="48.85546875" style="571" customWidth="1"/>
    <col min="23" max="23" width="25.140625" style="571" customWidth="1"/>
    <col min="24" max="24" width="26.7109375" style="571" customWidth="1"/>
    <col min="25" max="25" width="25.5703125" style="571" customWidth="1"/>
    <col min="26" max="26" width="10.28515625" style="571" customWidth="1"/>
    <col min="27" max="27" width="18.140625" style="571" customWidth="1"/>
    <col min="28" max="28" width="10.28515625" style="571" customWidth="1"/>
    <col min="29" max="29" width="9.5703125" style="571" customWidth="1"/>
    <col min="30" max="30" width="9" style="571" customWidth="1"/>
    <col min="31" max="57" width="8.5703125" style="571" customWidth="1"/>
    <col min="58" max="58" width="11.140625" style="571" customWidth="1"/>
    <col min="59" max="59" width="17.42578125" style="571" customWidth="1"/>
    <col min="60" max="60" width="18.5703125" style="571" customWidth="1"/>
    <col min="61" max="61" width="21.28515625" style="571" customWidth="1"/>
    <col min="62" max="62" width="20.85546875" style="571" customWidth="1"/>
    <col min="63" max="63" width="18.7109375" style="571" customWidth="1"/>
    <col min="64" max="64" width="16.7109375" style="571" customWidth="1"/>
    <col min="65" max="65" width="21.85546875" style="571" customWidth="1"/>
    <col min="66" max="66" width="12" style="571" customWidth="1"/>
    <col min="67" max="67" width="12.28515625" style="571" customWidth="1"/>
    <col min="68" max="68" width="19.85546875" style="571" customWidth="1"/>
    <col min="69" max="69" width="14.85546875" style="571" customWidth="1"/>
    <col min="70" max="70" width="24.7109375" style="571" customWidth="1"/>
    <col min="71" max="81" width="14.85546875" style="571" customWidth="1"/>
    <col min="82" max="16384" width="11.42578125" style="571"/>
  </cols>
  <sheetData>
    <row r="1" spans="1:70" ht="15" customHeight="1" x14ac:dyDescent="0.25">
      <c r="A1" s="4565" t="s">
        <v>1952</v>
      </c>
      <c r="B1" s="4565"/>
      <c r="C1" s="4565"/>
      <c r="D1" s="4565"/>
      <c r="E1" s="4565"/>
      <c r="F1" s="4565"/>
      <c r="G1" s="4565"/>
      <c r="H1" s="4565"/>
      <c r="I1" s="4565"/>
      <c r="J1" s="4565"/>
      <c r="K1" s="4565"/>
      <c r="L1" s="4565"/>
      <c r="M1" s="4565"/>
      <c r="N1" s="4565"/>
      <c r="O1" s="4565"/>
      <c r="P1" s="4565"/>
      <c r="Q1" s="4565"/>
      <c r="R1" s="4565"/>
      <c r="S1" s="4565"/>
      <c r="T1" s="4565"/>
      <c r="U1" s="4565"/>
      <c r="V1" s="4565"/>
      <c r="W1" s="4565"/>
      <c r="X1" s="4565"/>
      <c r="Y1" s="4565"/>
      <c r="Z1" s="4565"/>
      <c r="AA1" s="4565"/>
      <c r="AB1" s="4565"/>
      <c r="AC1" s="4565"/>
      <c r="AD1" s="4565"/>
      <c r="AE1" s="4565"/>
      <c r="AF1" s="4565"/>
      <c r="AG1" s="4565"/>
      <c r="AH1" s="4565"/>
      <c r="AI1" s="4565"/>
      <c r="AJ1" s="4565"/>
      <c r="AK1" s="4565"/>
      <c r="AL1" s="4565"/>
      <c r="AM1" s="4565"/>
      <c r="AN1" s="4565"/>
      <c r="AO1" s="4565"/>
      <c r="AP1" s="4565"/>
      <c r="AQ1" s="4565"/>
      <c r="AR1" s="4565"/>
      <c r="AS1" s="4565"/>
      <c r="AT1" s="4565"/>
      <c r="AU1" s="4565"/>
      <c r="AV1" s="4565"/>
      <c r="AW1" s="4565"/>
      <c r="AX1" s="4565"/>
      <c r="AY1" s="4565"/>
      <c r="AZ1" s="4565"/>
      <c r="BA1" s="4565"/>
      <c r="BB1" s="4565"/>
      <c r="BC1" s="4565"/>
      <c r="BD1" s="4565"/>
      <c r="BE1" s="4565"/>
      <c r="BF1" s="4565"/>
      <c r="BG1" s="4565"/>
      <c r="BH1" s="4565"/>
      <c r="BI1" s="4565"/>
      <c r="BJ1" s="4565"/>
      <c r="BK1" s="4565"/>
      <c r="BL1" s="4565"/>
      <c r="BM1" s="2335"/>
      <c r="BQ1" s="923" t="s">
        <v>1</v>
      </c>
      <c r="BR1" s="923" t="s">
        <v>2</v>
      </c>
    </row>
    <row r="2" spans="1:70" ht="15" x14ac:dyDescent="0.25">
      <c r="A2" s="4565"/>
      <c r="B2" s="4565"/>
      <c r="C2" s="4565"/>
      <c r="D2" s="4565"/>
      <c r="E2" s="4565"/>
      <c r="F2" s="4565"/>
      <c r="G2" s="4565"/>
      <c r="H2" s="4565"/>
      <c r="I2" s="4565"/>
      <c r="J2" s="4565"/>
      <c r="K2" s="4565"/>
      <c r="L2" s="4565"/>
      <c r="M2" s="4565"/>
      <c r="N2" s="4565"/>
      <c r="O2" s="4565"/>
      <c r="P2" s="4565"/>
      <c r="Q2" s="4565"/>
      <c r="R2" s="4565"/>
      <c r="S2" s="4565"/>
      <c r="T2" s="4565"/>
      <c r="U2" s="4565"/>
      <c r="V2" s="4565"/>
      <c r="W2" s="4565"/>
      <c r="X2" s="4565"/>
      <c r="Y2" s="4565"/>
      <c r="Z2" s="4565"/>
      <c r="AA2" s="4565"/>
      <c r="AB2" s="4565"/>
      <c r="AC2" s="4565"/>
      <c r="AD2" s="4565"/>
      <c r="AE2" s="4565"/>
      <c r="AF2" s="4565"/>
      <c r="AG2" s="4565"/>
      <c r="AH2" s="4565"/>
      <c r="AI2" s="4565"/>
      <c r="AJ2" s="4565"/>
      <c r="AK2" s="4565"/>
      <c r="AL2" s="4565"/>
      <c r="AM2" s="4565"/>
      <c r="AN2" s="4565"/>
      <c r="AO2" s="4565"/>
      <c r="AP2" s="4565"/>
      <c r="AQ2" s="4565"/>
      <c r="AR2" s="4565"/>
      <c r="AS2" s="4565"/>
      <c r="AT2" s="4565"/>
      <c r="AU2" s="4565"/>
      <c r="AV2" s="4565"/>
      <c r="AW2" s="4565"/>
      <c r="AX2" s="4565"/>
      <c r="AY2" s="4565"/>
      <c r="AZ2" s="4565"/>
      <c r="BA2" s="4565"/>
      <c r="BB2" s="4565"/>
      <c r="BC2" s="4565"/>
      <c r="BD2" s="4565"/>
      <c r="BE2" s="4565"/>
      <c r="BF2" s="4565"/>
      <c r="BG2" s="4565"/>
      <c r="BH2" s="4565"/>
      <c r="BI2" s="4565"/>
      <c r="BJ2" s="4565"/>
      <c r="BK2" s="4565"/>
      <c r="BL2" s="4565"/>
      <c r="BM2" s="2335"/>
      <c r="BQ2" s="925" t="s">
        <v>3</v>
      </c>
      <c r="BR2" s="926">
        <v>7</v>
      </c>
    </row>
    <row r="3" spans="1:70" ht="15" x14ac:dyDescent="0.25">
      <c r="A3" s="4565"/>
      <c r="B3" s="4565"/>
      <c r="C3" s="4565"/>
      <c r="D3" s="4565"/>
      <c r="E3" s="4565"/>
      <c r="F3" s="4565"/>
      <c r="G3" s="4565"/>
      <c r="H3" s="4565"/>
      <c r="I3" s="4565"/>
      <c r="J3" s="4565"/>
      <c r="K3" s="4565"/>
      <c r="L3" s="4565"/>
      <c r="M3" s="4565"/>
      <c r="N3" s="4565"/>
      <c r="O3" s="4565"/>
      <c r="P3" s="4565"/>
      <c r="Q3" s="4565"/>
      <c r="R3" s="4565"/>
      <c r="S3" s="4565"/>
      <c r="T3" s="4565"/>
      <c r="U3" s="4565"/>
      <c r="V3" s="4565"/>
      <c r="W3" s="4565"/>
      <c r="X3" s="4565"/>
      <c r="Y3" s="4565"/>
      <c r="Z3" s="4565"/>
      <c r="AA3" s="4565"/>
      <c r="AB3" s="4565"/>
      <c r="AC3" s="4565"/>
      <c r="AD3" s="4565"/>
      <c r="AE3" s="4565"/>
      <c r="AF3" s="4565"/>
      <c r="AG3" s="4565"/>
      <c r="AH3" s="4565"/>
      <c r="AI3" s="4565"/>
      <c r="AJ3" s="4565"/>
      <c r="AK3" s="4565"/>
      <c r="AL3" s="4565"/>
      <c r="AM3" s="4565"/>
      <c r="AN3" s="4565"/>
      <c r="AO3" s="4565"/>
      <c r="AP3" s="4565"/>
      <c r="AQ3" s="4565"/>
      <c r="AR3" s="4565"/>
      <c r="AS3" s="4565"/>
      <c r="AT3" s="4565"/>
      <c r="AU3" s="4565"/>
      <c r="AV3" s="4565"/>
      <c r="AW3" s="4565"/>
      <c r="AX3" s="4565"/>
      <c r="AY3" s="4565"/>
      <c r="AZ3" s="4565"/>
      <c r="BA3" s="4565"/>
      <c r="BB3" s="4565"/>
      <c r="BC3" s="4565"/>
      <c r="BD3" s="4565"/>
      <c r="BE3" s="4565"/>
      <c r="BF3" s="4565"/>
      <c r="BG3" s="4565"/>
      <c r="BH3" s="4565"/>
      <c r="BI3" s="4565"/>
      <c r="BJ3" s="4565"/>
      <c r="BK3" s="4565"/>
      <c r="BL3" s="4565"/>
      <c r="BM3" s="2335"/>
      <c r="BQ3" s="923" t="s">
        <v>4</v>
      </c>
      <c r="BR3" s="927" t="s">
        <v>5</v>
      </c>
    </row>
    <row r="4" spans="1:70" s="1216" customFormat="1" ht="15" x14ac:dyDescent="0.2">
      <c r="A4" s="3125"/>
      <c r="B4" s="3125"/>
      <c r="C4" s="3125"/>
      <c r="D4" s="3125"/>
      <c r="E4" s="3125"/>
      <c r="F4" s="3125"/>
      <c r="G4" s="3125"/>
      <c r="H4" s="3125"/>
      <c r="I4" s="3125"/>
      <c r="J4" s="3125"/>
      <c r="K4" s="3125"/>
      <c r="L4" s="3125"/>
      <c r="M4" s="3125"/>
      <c r="N4" s="3125"/>
      <c r="O4" s="3125"/>
      <c r="P4" s="3125"/>
      <c r="Q4" s="3125"/>
      <c r="R4" s="3125"/>
      <c r="S4" s="3125"/>
      <c r="T4" s="3125"/>
      <c r="U4" s="3125"/>
      <c r="V4" s="3125"/>
      <c r="W4" s="3125"/>
      <c r="X4" s="3125"/>
      <c r="Y4" s="3125"/>
      <c r="Z4" s="3125"/>
      <c r="AA4" s="3125"/>
      <c r="AB4" s="3125"/>
      <c r="AC4" s="3125"/>
      <c r="AD4" s="3125"/>
      <c r="AE4" s="3125"/>
      <c r="AF4" s="3125"/>
      <c r="AG4" s="3125"/>
      <c r="AH4" s="3125"/>
      <c r="AI4" s="3125"/>
      <c r="AJ4" s="3125"/>
      <c r="AK4" s="3125"/>
      <c r="AL4" s="3125"/>
      <c r="AM4" s="3125"/>
      <c r="AN4" s="3125"/>
      <c r="AO4" s="3125"/>
      <c r="AP4" s="3125"/>
      <c r="AQ4" s="3125"/>
      <c r="AR4" s="3125"/>
      <c r="AS4" s="3125"/>
      <c r="AT4" s="3125"/>
      <c r="AU4" s="3125"/>
      <c r="AV4" s="3125"/>
      <c r="AW4" s="3125"/>
      <c r="AX4" s="3125"/>
      <c r="AY4" s="3125"/>
      <c r="AZ4" s="3125"/>
      <c r="BA4" s="3125"/>
      <c r="BB4" s="3125"/>
      <c r="BC4" s="3125"/>
      <c r="BD4" s="3125"/>
      <c r="BE4" s="3125"/>
      <c r="BF4" s="3125"/>
      <c r="BG4" s="3125"/>
      <c r="BH4" s="3125"/>
      <c r="BI4" s="3125"/>
      <c r="BJ4" s="3125"/>
      <c r="BK4" s="3125"/>
      <c r="BL4" s="3125"/>
      <c r="BM4" s="2336"/>
      <c r="BQ4" s="101" t="s">
        <v>6</v>
      </c>
      <c r="BR4" s="1215" t="s">
        <v>7</v>
      </c>
    </row>
    <row r="5" spans="1:70" ht="15" x14ac:dyDescent="0.2">
      <c r="A5" s="3879" t="s">
        <v>8</v>
      </c>
      <c r="B5" s="3879"/>
      <c r="C5" s="3879"/>
      <c r="D5" s="3879"/>
      <c r="E5" s="3879"/>
      <c r="F5" s="3879"/>
      <c r="G5" s="3879"/>
      <c r="H5" s="3879"/>
      <c r="I5" s="3879"/>
      <c r="J5" s="3879"/>
      <c r="K5" s="3879"/>
      <c r="L5" s="3879"/>
      <c r="M5" s="3879"/>
      <c r="N5" s="337"/>
      <c r="O5" s="337"/>
      <c r="P5" s="337"/>
      <c r="Q5" s="3879" t="s">
        <v>9</v>
      </c>
      <c r="R5" s="3879"/>
      <c r="S5" s="3879"/>
      <c r="T5" s="3879"/>
      <c r="U5" s="3879"/>
      <c r="V5" s="3879"/>
      <c r="W5" s="3879"/>
      <c r="X5" s="3879"/>
      <c r="Y5" s="3879"/>
      <c r="Z5" s="3879"/>
      <c r="AA5" s="3879"/>
      <c r="AB5" s="3879"/>
      <c r="AC5" s="3879"/>
      <c r="AD5" s="3879"/>
      <c r="AE5" s="3879"/>
      <c r="AF5" s="3879"/>
      <c r="AG5" s="3879"/>
      <c r="AH5" s="3879"/>
      <c r="AI5" s="3879"/>
      <c r="AJ5" s="3879"/>
      <c r="AK5" s="3879"/>
      <c r="AL5" s="3879"/>
      <c r="AM5" s="3879"/>
      <c r="AN5" s="3879"/>
      <c r="AO5" s="3879"/>
      <c r="AP5" s="3879"/>
      <c r="AQ5" s="3879"/>
      <c r="AR5" s="3879"/>
      <c r="AS5" s="3879"/>
      <c r="AT5" s="3879"/>
      <c r="AU5" s="3879"/>
      <c r="AV5" s="3879"/>
      <c r="AW5" s="3879"/>
      <c r="AX5" s="3879"/>
      <c r="AY5" s="3879"/>
      <c r="AZ5" s="3879"/>
      <c r="BA5" s="3879"/>
      <c r="BB5" s="3879"/>
      <c r="BC5" s="3879"/>
      <c r="BD5" s="3879"/>
      <c r="BE5" s="3879"/>
      <c r="BF5" s="3879"/>
      <c r="BG5" s="3879"/>
      <c r="BH5" s="3879"/>
      <c r="BI5" s="3879"/>
      <c r="BJ5" s="3879"/>
      <c r="BK5" s="3879"/>
      <c r="BL5" s="3879"/>
      <c r="BM5" s="3879"/>
      <c r="BN5" s="3879"/>
      <c r="BO5" s="3879"/>
      <c r="BP5" s="3879"/>
      <c r="BQ5" s="2337"/>
      <c r="BR5" s="2338"/>
    </row>
    <row r="6" spans="1:70" ht="15.75" thickBot="1" x14ac:dyDescent="0.25">
      <c r="A6" s="3879"/>
      <c r="B6" s="3879"/>
      <c r="C6" s="3879"/>
      <c r="D6" s="3879"/>
      <c r="E6" s="3879"/>
      <c r="F6" s="3879"/>
      <c r="G6" s="3879"/>
      <c r="H6" s="3879"/>
      <c r="I6" s="3879"/>
      <c r="J6" s="3879"/>
      <c r="K6" s="3879"/>
      <c r="L6" s="3879"/>
      <c r="M6" s="3879"/>
      <c r="N6" s="337"/>
      <c r="O6" s="337"/>
      <c r="P6" s="1217"/>
      <c r="Q6" s="3881"/>
      <c r="R6" s="3882"/>
      <c r="S6" s="3882"/>
      <c r="T6" s="3882"/>
      <c r="U6" s="3882"/>
      <c r="V6" s="3882"/>
      <c r="W6" s="3882"/>
      <c r="X6" s="3882"/>
      <c r="Y6" s="3883"/>
      <c r="Z6" s="1219"/>
      <c r="AA6" s="1219"/>
      <c r="AB6" s="1219"/>
      <c r="AC6" s="1219"/>
      <c r="AD6" s="1219"/>
      <c r="AE6" s="1219"/>
      <c r="AF6" s="1219"/>
      <c r="AG6" s="1219"/>
      <c r="AH6" s="1219"/>
      <c r="AI6" s="1219"/>
      <c r="AJ6" s="1219"/>
      <c r="AK6" s="1219"/>
      <c r="AL6" s="1219"/>
      <c r="AM6" s="1219"/>
      <c r="AN6" s="1219"/>
      <c r="AO6" s="1219"/>
      <c r="AP6" s="1219"/>
      <c r="AQ6" s="1219"/>
      <c r="AR6" s="1219"/>
      <c r="AS6" s="1219"/>
      <c r="AT6" s="1219"/>
      <c r="AU6" s="1219"/>
      <c r="AV6" s="1219"/>
      <c r="AW6" s="1219"/>
      <c r="AX6" s="1219"/>
      <c r="AY6" s="1219"/>
      <c r="AZ6" s="1219"/>
      <c r="BA6" s="1219"/>
      <c r="BB6" s="1219"/>
      <c r="BC6" s="1219"/>
      <c r="BD6" s="1219"/>
      <c r="BE6" s="1219"/>
      <c r="BF6" s="1219"/>
      <c r="BG6" s="1219"/>
      <c r="BH6" s="1219"/>
      <c r="BI6" s="1219"/>
      <c r="BJ6" s="1219"/>
      <c r="BK6" s="1219"/>
      <c r="BL6" s="3881"/>
      <c r="BM6" s="3882"/>
      <c r="BN6" s="3882"/>
      <c r="BO6" s="3882"/>
      <c r="BP6" s="3883"/>
      <c r="BQ6" s="2339"/>
      <c r="BR6" s="2340"/>
    </row>
    <row r="7" spans="1:70" s="1220" customFormat="1" ht="25.5" customHeight="1" x14ac:dyDescent="0.2">
      <c r="A7" s="3849" t="s">
        <v>10</v>
      </c>
      <c r="B7" s="3849" t="s">
        <v>11</v>
      </c>
      <c r="C7" s="3849"/>
      <c r="D7" s="3849" t="s">
        <v>10</v>
      </c>
      <c r="E7" s="3849" t="s">
        <v>12</v>
      </c>
      <c r="F7" s="3849"/>
      <c r="G7" s="3849" t="s">
        <v>10</v>
      </c>
      <c r="H7" s="3849" t="s">
        <v>13</v>
      </c>
      <c r="I7" s="3849"/>
      <c r="J7" s="3849" t="s">
        <v>10</v>
      </c>
      <c r="K7" s="3849" t="s">
        <v>14</v>
      </c>
      <c r="L7" s="3849" t="s">
        <v>15</v>
      </c>
      <c r="M7" s="3858" t="s">
        <v>16</v>
      </c>
      <c r="N7" s="3859"/>
      <c r="O7" s="3849" t="s">
        <v>17</v>
      </c>
      <c r="P7" s="3872" t="s">
        <v>18</v>
      </c>
      <c r="Q7" s="3849" t="s">
        <v>9</v>
      </c>
      <c r="R7" s="3849" t="s">
        <v>19</v>
      </c>
      <c r="S7" s="4575" t="s">
        <v>20</v>
      </c>
      <c r="T7" s="3849" t="s">
        <v>21</v>
      </c>
      <c r="U7" s="3849" t="s">
        <v>22</v>
      </c>
      <c r="V7" s="3849" t="s">
        <v>23</v>
      </c>
      <c r="W7" s="4571" t="s">
        <v>1953</v>
      </c>
      <c r="X7" s="4572"/>
      <c r="Y7" s="4573"/>
      <c r="Z7" s="3872" t="s">
        <v>10</v>
      </c>
      <c r="AA7" s="3849" t="s">
        <v>24</v>
      </c>
      <c r="AB7" s="3854" t="s">
        <v>25</v>
      </c>
      <c r="AC7" s="3855"/>
      <c r="AD7" s="3855"/>
      <c r="AE7" s="3856"/>
      <c r="AF7" s="3159" t="s">
        <v>26</v>
      </c>
      <c r="AG7" s="3160"/>
      <c r="AH7" s="3160"/>
      <c r="AI7" s="3160"/>
      <c r="AJ7" s="3160"/>
      <c r="AK7" s="3160"/>
      <c r="AL7" s="3160"/>
      <c r="AM7" s="3857"/>
      <c r="AN7" s="3887" t="s">
        <v>27</v>
      </c>
      <c r="AO7" s="3888"/>
      <c r="AP7" s="3888"/>
      <c r="AQ7" s="3888"/>
      <c r="AR7" s="3888"/>
      <c r="AS7" s="3888"/>
      <c r="AT7" s="3888"/>
      <c r="AU7" s="3888"/>
      <c r="AV7" s="3888"/>
      <c r="AW7" s="3888"/>
      <c r="AX7" s="3888"/>
      <c r="AY7" s="3889"/>
      <c r="AZ7" s="3159" t="s">
        <v>28</v>
      </c>
      <c r="BA7" s="3160"/>
      <c r="BB7" s="3160"/>
      <c r="BC7" s="3160"/>
      <c r="BD7" s="3160"/>
      <c r="BE7" s="3857"/>
      <c r="BF7" s="3904" t="s">
        <v>29</v>
      </c>
      <c r="BG7" s="3905"/>
      <c r="BH7" s="3890" t="s">
        <v>30</v>
      </c>
      <c r="BI7" s="3891"/>
      <c r="BJ7" s="3891"/>
      <c r="BK7" s="3891"/>
      <c r="BL7" s="3891"/>
      <c r="BM7" s="3892"/>
      <c r="BN7" s="3852" t="s">
        <v>31</v>
      </c>
      <c r="BO7" s="3175"/>
      <c r="BP7" s="3852" t="s">
        <v>32</v>
      </c>
      <c r="BQ7" s="3175"/>
      <c r="BR7" s="3897" t="s">
        <v>33</v>
      </c>
    </row>
    <row r="8" spans="1:70" s="1220" customFormat="1" ht="120.75" customHeight="1" x14ac:dyDescent="0.2">
      <c r="A8" s="3849"/>
      <c r="B8" s="3849"/>
      <c r="C8" s="3849"/>
      <c r="D8" s="3849"/>
      <c r="E8" s="3849"/>
      <c r="F8" s="3849"/>
      <c r="G8" s="3849"/>
      <c r="H8" s="3849"/>
      <c r="I8" s="3849"/>
      <c r="J8" s="3849"/>
      <c r="K8" s="3849"/>
      <c r="L8" s="3849"/>
      <c r="M8" s="3145"/>
      <c r="N8" s="3147"/>
      <c r="O8" s="3849"/>
      <c r="P8" s="3148"/>
      <c r="Q8" s="3849"/>
      <c r="R8" s="3849"/>
      <c r="S8" s="4575"/>
      <c r="T8" s="3849"/>
      <c r="U8" s="3849"/>
      <c r="V8" s="3849"/>
      <c r="W8" s="3140"/>
      <c r="X8" s="4574"/>
      <c r="Y8" s="3141"/>
      <c r="Z8" s="3148"/>
      <c r="AA8" s="3849"/>
      <c r="AB8" s="3853" t="s">
        <v>34</v>
      </c>
      <c r="AC8" s="3853"/>
      <c r="AD8" s="4566" t="s">
        <v>35</v>
      </c>
      <c r="AE8" s="4566"/>
      <c r="AF8" s="3853" t="s">
        <v>36</v>
      </c>
      <c r="AG8" s="3853"/>
      <c r="AH8" s="3853" t="s">
        <v>37</v>
      </c>
      <c r="AI8" s="3853"/>
      <c r="AJ8" s="3853" t="s">
        <v>131</v>
      </c>
      <c r="AK8" s="3853"/>
      <c r="AL8" s="3853" t="s">
        <v>39</v>
      </c>
      <c r="AM8" s="3853"/>
      <c r="AN8" s="3853" t="s">
        <v>40</v>
      </c>
      <c r="AO8" s="3853"/>
      <c r="AP8" s="3853" t="s">
        <v>41</v>
      </c>
      <c r="AQ8" s="3853"/>
      <c r="AR8" s="3853" t="s">
        <v>42</v>
      </c>
      <c r="AS8" s="3853"/>
      <c r="AT8" s="3853" t="s">
        <v>43</v>
      </c>
      <c r="AU8" s="3853"/>
      <c r="AV8" s="3853" t="s">
        <v>44</v>
      </c>
      <c r="AW8" s="3853"/>
      <c r="AX8" s="3853" t="s">
        <v>45</v>
      </c>
      <c r="AY8" s="3853"/>
      <c r="AZ8" s="3853" t="s">
        <v>46</v>
      </c>
      <c r="BA8" s="3853"/>
      <c r="BB8" s="3853" t="s">
        <v>47</v>
      </c>
      <c r="BC8" s="3853"/>
      <c r="BD8" s="3853" t="s">
        <v>48</v>
      </c>
      <c r="BE8" s="3853"/>
      <c r="BF8" s="3166"/>
      <c r="BG8" s="3167"/>
      <c r="BH8" s="3861" t="s">
        <v>49</v>
      </c>
      <c r="BI8" s="3625" t="s">
        <v>50</v>
      </c>
      <c r="BJ8" s="3861" t="s">
        <v>51</v>
      </c>
      <c r="BK8" s="3903" t="s">
        <v>52</v>
      </c>
      <c r="BL8" s="3861" t="s">
        <v>53</v>
      </c>
      <c r="BM8" s="3155" t="s">
        <v>54</v>
      </c>
      <c r="BN8" s="3173"/>
      <c r="BO8" s="3174"/>
      <c r="BP8" s="3173"/>
      <c r="BQ8" s="3174"/>
      <c r="BR8" s="3897"/>
    </row>
    <row r="9" spans="1:70" s="1221" customFormat="1" ht="15" x14ac:dyDescent="0.2">
      <c r="A9" s="3849"/>
      <c r="B9" s="3849"/>
      <c r="C9" s="3849"/>
      <c r="D9" s="3849"/>
      <c r="E9" s="3849"/>
      <c r="F9" s="3849"/>
      <c r="G9" s="3849"/>
      <c r="H9" s="3849"/>
      <c r="I9" s="3849"/>
      <c r="J9" s="3849"/>
      <c r="K9" s="3849"/>
      <c r="L9" s="3849"/>
      <c r="M9" s="118" t="s">
        <v>55</v>
      </c>
      <c r="N9" s="118" t="s">
        <v>56</v>
      </c>
      <c r="O9" s="3849"/>
      <c r="P9" s="3149"/>
      <c r="Q9" s="3849"/>
      <c r="R9" s="3849"/>
      <c r="S9" s="4575"/>
      <c r="T9" s="3849"/>
      <c r="U9" s="3849"/>
      <c r="V9" s="3849"/>
      <c r="W9" s="117" t="s">
        <v>57</v>
      </c>
      <c r="X9" s="117" t="s">
        <v>1954</v>
      </c>
      <c r="Y9" s="118" t="s">
        <v>59</v>
      </c>
      <c r="Z9" s="3149"/>
      <c r="AA9" s="3849"/>
      <c r="AB9" s="118" t="s">
        <v>55</v>
      </c>
      <c r="AC9" s="118" t="s">
        <v>56</v>
      </c>
      <c r="AD9" s="118" t="s">
        <v>55</v>
      </c>
      <c r="AE9" s="118" t="s">
        <v>56</v>
      </c>
      <c r="AF9" s="118" t="s">
        <v>55</v>
      </c>
      <c r="AG9" s="118" t="s">
        <v>56</v>
      </c>
      <c r="AH9" s="118" t="s">
        <v>55</v>
      </c>
      <c r="AI9" s="118" t="s">
        <v>56</v>
      </c>
      <c r="AJ9" s="118" t="s">
        <v>55</v>
      </c>
      <c r="AK9" s="118" t="s">
        <v>56</v>
      </c>
      <c r="AL9" s="118" t="s">
        <v>55</v>
      </c>
      <c r="AM9" s="118" t="s">
        <v>56</v>
      </c>
      <c r="AN9" s="118" t="s">
        <v>55</v>
      </c>
      <c r="AO9" s="118" t="s">
        <v>56</v>
      </c>
      <c r="AP9" s="118" t="s">
        <v>55</v>
      </c>
      <c r="AQ9" s="118" t="s">
        <v>56</v>
      </c>
      <c r="AR9" s="118" t="s">
        <v>55</v>
      </c>
      <c r="AS9" s="118" t="s">
        <v>56</v>
      </c>
      <c r="AT9" s="118" t="s">
        <v>55</v>
      </c>
      <c r="AU9" s="118" t="s">
        <v>56</v>
      </c>
      <c r="AV9" s="118" t="s">
        <v>55</v>
      </c>
      <c r="AW9" s="118" t="s">
        <v>56</v>
      </c>
      <c r="AX9" s="118" t="s">
        <v>55</v>
      </c>
      <c r="AY9" s="118" t="s">
        <v>56</v>
      </c>
      <c r="AZ9" s="118" t="s">
        <v>55</v>
      </c>
      <c r="BA9" s="118" t="s">
        <v>56</v>
      </c>
      <c r="BB9" s="118" t="s">
        <v>55</v>
      </c>
      <c r="BC9" s="118" t="s">
        <v>56</v>
      </c>
      <c r="BD9" s="118" t="s">
        <v>55</v>
      </c>
      <c r="BE9" s="118" t="s">
        <v>56</v>
      </c>
      <c r="BF9" s="118" t="s">
        <v>55</v>
      </c>
      <c r="BG9" s="118" t="s">
        <v>56</v>
      </c>
      <c r="BH9" s="3861"/>
      <c r="BI9" s="3625"/>
      <c r="BJ9" s="3861"/>
      <c r="BK9" s="3903"/>
      <c r="BL9" s="3861"/>
      <c r="BM9" s="3156"/>
      <c r="BN9" s="393" t="s">
        <v>55</v>
      </c>
      <c r="BO9" s="393" t="s">
        <v>56</v>
      </c>
      <c r="BP9" s="393" t="s">
        <v>55</v>
      </c>
      <c r="BQ9" s="393" t="s">
        <v>56</v>
      </c>
      <c r="BR9" s="3897"/>
    </row>
    <row r="10" spans="1:70" ht="15" hidden="1" x14ac:dyDescent="0.2">
      <c r="A10" s="3849"/>
      <c r="B10" s="3849"/>
      <c r="C10" s="3849"/>
      <c r="D10" s="3849"/>
      <c r="E10" s="3849"/>
      <c r="F10" s="3849"/>
      <c r="G10" s="3849"/>
      <c r="H10" s="3849"/>
      <c r="I10" s="3849"/>
      <c r="J10" s="3849"/>
      <c r="K10" s="3849"/>
      <c r="L10" s="3849"/>
      <c r="M10" s="1222"/>
      <c r="N10" s="1223"/>
      <c r="O10" s="3849"/>
      <c r="P10" s="117"/>
      <c r="Q10" s="3849"/>
      <c r="R10" s="3849"/>
      <c r="S10" s="4575"/>
      <c r="T10" s="3849"/>
      <c r="U10" s="3849"/>
      <c r="V10" s="3849"/>
      <c r="W10" s="117"/>
      <c r="X10" s="117"/>
      <c r="Y10" s="117"/>
      <c r="Z10" s="117"/>
      <c r="AA10" s="3849"/>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225"/>
      <c r="BI10" s="1225"/>
      <c r="BJ10" s="1225"/>
      <c r="BK10" s="1225"/>
      <c r="BL10" s="1225"/>
      <c r="BM10" s="1225"/>
      <c r="BN10" s="1226"/>
      <c r="BO10" s="1225"/>
      <c r="BP10" s="1226"/>
      <c r="BQ10" s="1225"/>
      <c r="BR10" s="3897"/>
    </row>
    <row r="11" spans="1:70" ht="15" hidden="1" x14ac:dyDescent="0.2">
      <c r="A11" s="3849"/>
      <c r="B11" s="3849"/>
      <c r="C11" s="3849"/>
      <c r="D11" s="3849"/>
      <c r="E11" s="3849"/>
      <c r="F11" s="3849"/>
      <c r="G11" s="3849"/>
      <c r="H11" s="3849"/>
      <c r="I11" s="3849"/>
      <c r="J11" s="3849"/>
      <c r="K11" s="3849"/>
      <c r="L11" s="3849"/>
      <c r="M11" s="1222"/>
      <c r="N11" s="1223"/>
      <c r="O11" s="3849"/>
      <c r="P11" s="117"/>
      <c r="Q11" s="3849"/>
      <c r="R11" s="3849"/>
      <c r="S11" s="4575"/>
      <c r="T11" s="3849"/>
      <c r="U11" s="3849"/>
      <c r="V11" s="3849"/>
      <c r="W11" s="117"/>
      <c r="X11" s="117"/>
      <c r="Y11" s="117"/>
      <c r="Z11" s="117"/>
      <c r="AA11" s="3849"/>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225"/>
      <c r="BI11" s="1225"/>
      <c r="BJ11" s="1225"/>
      <c r="BK11" s="1225"/>
      <c r="BL11" s="1225"/>
      <c r="BM11" s="1225"/>
      <c r="BN11" s="1226"/>
      <c r="BO11" s="1225"/>
      <c r="BP11" s="1226"/>
      <c r="BQ11" s="1225"/>
      <c r="BR11" s="3897"/>
    </row>
    <row r="12" spans="1:70" ht="15" hidden="1" x14ac:dyDescent="0.2">
      <c r="A12" s="3849"/>
      <c r="B12" s="3849"/>
      <c r="C12" s="3849"/>
      <c r="D12" s="3849"/>
      <c r="E12" s="3849"/>
      <c r="F12" s="3849"/>
      <c r="G12" s="3849"/>
      <c r="H12" s="3849"/>
      <c r="I12" s="3849"/>
      <c r="J12" s="3849"/>
      <c r="K12" s="3849"/>
      <c r="L12" s="3849"/>
      <c r="M12" s="1222"/>
      <c r="N12" s="1223"/>
      <c r="O12" s="3849"/>
      <c r="P12" s="117"/>
      <c r="Q12" s="3849"/>
      <c r="R12" s="3849"/>
      <c r="S12" s="4575"/>
      <c r="T12" s="3849"/>
      <c r="U12" s="3849"/>
      <c r="V12" s="3849"/>
      <c r="W12" s="117"/>
      <c r="X12" s="117"/>
      <c r="Y12" s="117"/>
      <c r="Z12" s="117"/>
      <c r="AA12" s="3849"/>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225"/>
      <c r="BI12" s="1225"/>
      <c r="BJ12" s="1225"/>
      <c r="BK12" s="1225"/>
      <c r="BL12" s="1225"/>
      <c r="BM12" s="1225"/>
      <c r="BN12" s="1226"/>
      <c r="BO12" s="1225"/>
      <c r="BP12" s="1226"/>
      <c r="BQ12" s="1225"/>
      <c r="BR12" s="3897"/>
    </row>
    <row r="13" spans="1:70" ht="15" hidden="1" x14ac:dyDescent="0.2">
      <c r="A13" s="3849"/>
      <c r="B13" s="3849"/>
      <c r="C13" s="3849"/>
      <c r="D13" s="3849"/>
      <c r="E13" s="3849"/>
      <c r="F13" s="3849"/>
      <c r="G13" s="3849"/>
      <c r="H13" s="3849"/>
      <c r="I13" s="3849"/>
      <c r="J13" s="3849"/>
      <c r="K13" s="3849"/>
      <c r="L13" s="3849"/>
      <c r="M13" s="1222"/>
      <c r="N13" s="1223"/>
      <c r="O13" s="3849"/>
      <c r="P13" s="117"/>
      <c r="Q13" s="3849"/>
      <c r="R13" s="3849"/>
      <c r="S13" s="4575"/>
      <c r="T13" s="3849"/>
      <c r="U13" s="3849"/>
      <c r="V13" s="3849"/>
      <c r="W13" s="117"/>
      <c r="X13" s="117"/>
      <c r="Y13" s="117"/>
      <c r="Z13" s="117"/>
      <c r="AA13" s="3849"/>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225"/>
      <c r="BI13" s="1225"/>
      <c r="BJ13" s="1225"/>
      <c r="BK13" s="1225"/>
      <c r="BL13" s="1225"/>
      <c r="BM13" s="1225"/>
      <c r="BN13" s="1226"/>
      <c r="BO13" s="1225"/>
      <c r="BP13" s="1226"/>
      <c r="BQ13" s="1225"/>
      <c r="BR13" s="3897"/>
    </row>
    <row r="14" spans="1:70" ht="15" hidden="1" x14ac:dyDescent="0.2">
      <c r="A14" s="3849"/>
      <c r="B14" s="3849"/>
      <c r="C14" s="3849"/>
      <c r="D14" s="3849"/>
      <c r="E14" s="3849"/>
      <c r="F14" s="3849"/>
      <c r="G14" s="3849"/>
      <c r="H14" s="3849"/>
      <c r="I14" s="3849"/>
      <c r="J14" s="3849"/>
      <c r="K14" s="3849"/>
      <c r="L14" s="3849"/>
      <c r="M14" s="1222"/>
      <c r="N14" s="1223"/>
      <c r="O14" s="3849"/>
      <c r="P14" s="117"/>
      <c r="Q14" s="3849"/>
      <c r="R14" s="3849"/>
      <c r="S14" s="4575"/>
      <c r="T14" s="3849"/>
      <c r="U14" s="3849"/>
      <c r="V14" s="3849"/>
      <c r="W14" s="117"/>
      <c r="X14" s="117"/>
      <c r="Y14" s="117"/>
      <c r="Z14" s="117"/>
      <c r="AA14" s="3849"/>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225"/>
      <c r="BI14" s="1225"/>
      <c r="BJ14" s="1225"/>
      <c r="BK14" s="1225"/>
      <c r="BL14" s="1225"/>
      <c r="BM14" s="1225"/>
      <c r="BN14" s="1226"/>
      <c r="BO14" s="1225"/>
      <c r="BP14" s="1226"/>
      <c r="BQ14" s="1225"/>
      <c r="BR14" s="3897"/>
    </row>
    <row r="15" spans="1:70" ht="15" x14ac:dyDescent="0.2">
      <c r="A15" s="3849"/>
      <c r="B15" s="3849"/>
      <c r="C15" s="3849"/>
      <c r="D15" s="3849"/>
      <c r="E15" s="3849"/>
      <c r="F15" s="3849"/>
      <c r="G15" s="3849"/>
      <c r="H15" s="3849"/>
      <c r="I15" s="3849"/>
      <c r="J15" s="3849"/>
      <c r="K15" s="3849"/>
      <c r="L15" s="3849"/>
      <c r="M15" s="1227"/>
      <c r="N15" s="1228"/>
      <c r="O15" s="3849"/>
      <c r="P15" s="117"/>
      <c r="Q15" s="3849"/>
      <c r="R15" s="3849"/>
      <c r="S15" s="4575"/>
      <c r="T15" s="3849"/>
      <c r="U15" s="3849"/>
      <c r="V15" s="3849"/>
      <c r="W15" s="117"/>
      <c r="X15" s="117"/>
      <c r="Y15" s="117"/>
      <c r="Z15" s="117"/>
      <c r="AA15" s="3849"/>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225"/>
      <c r="BI15" s="1225"/>
      <c r="BJ15" s="1225"/>
      <c r="BK15" s="1225"/>
      <c r="BL15" s="1225"/>
      <c r="BM15" s="1225"/>
      <c r="BN15" s="1226"/>
      <c r="BO15" s="1225"/>
      <c r="BP15" s="1226"/>
      <c r="BQ15" s="1225"/>
      <c r="BR15" s="3897"/>
    </row>
    <row r="16" spans="1:70" ht="15" x14ac:dyDescent="0.2">
      <c r="A16" s="1229">
        <v>5</v>
      </c>
      <c r="B16" s="4567" t="s">
        <v>1955</v>
      </c>
      <c r="C16" s="4568"/>
      <c r="D16" s="1231"/>
      <c r="E16" s="1231"/>
      <c r="F16" s="1232"/>
      <c r="G16" s="1232"/>
      <c r="H16" s="1232"/>
      <c r="I16" s="1232"/>
      <c r="J16" s="1232"/>
      <c r="K16" s="1232"/>
      <c r="L16" s="1232"/>
      <c r="M16" s="1232"/>
      <c r="N16" s="1232"/>
      <c r="O16" s="1232"/>
      <c r="P16" s="1232"/>
      <c r="Q16" s="1232"/>
      <c r="R16" s="1232"/>
      <c r="S16" s="2341"/>
      <c r="T16" s="1232"/>
      <c r="U16" s="1232"/>
      <c r="V16" s="1232"/>
      <c r="W16" s="1232"/>
      <c r="X16" s="1232"/>
      <c r="Y16" s="1232"/>
      <c r="Z16" s="1232"/>
      <c r="AA16" s="1232"/>
      <c r="AB16" s="1232"/>
      <c r="AC16" s="1232"/>
      <c r="AD16" s="1232"/>
      <c r="AE16" s="1232"/>
      <c r="AF16" s="1232"/>
      <c r="AG16" s="1232"/>
      <c r="AH16" s="1232"/>
      <c r="AI16" s="1232"/>
      <c r="AJ16" s="1232"/>
      <c r="AK16" s="1232"/>
      <c r="AL16" s="1232"/>
      <c r="AM16" s="1232"/>
      <c r="AN16" s="1232"/>
      <c r="AO16" s="1232"/>
      <c r="AP16" s="1232"/>
      <c r="AQ16" s="1232"/>
      <c r="AR16" s="1232"/>
      <c r="AS16" s="1232"/>
      <c r="AT16" s="1232"/>
      <c r="AU16" s="1232"/>
      <c r="AV16" s="1232"/>
      <c r="AW16" s="1232"/>
      <c r="AX16" s="1232"/>
      <c r="AY16" s="1232"/>
      <c r="AZ16" s="1232"/>
      <c r="BA16" s="1232"/>
      <c r="BB16" s="1232"/>
      <c r="BC16" s="1232"/>
      <c r="BD16" s="1232"/>
      <c r="BE16" s="1232"/>
      <c r="BF16" s="1232"/>
      <c r="BG16" s="1232"/>
      <c r="BH16" s="1232"/>
      <c r="BI16" s="1232"/>
      <c r="BJ16" s="1232"/>
      <c r="BK16" s="1232"/>
      <c r="BL16" s="1232"/>
      <c r="BM16" s="1232"/>
      <c r="BN16" s="1232"/>
      <c r="BO16" s="1232"/>
      <c r="BP16" s="1232"/>
      <c r="BQ16" s="1232"/>
      <c r="BR16" s="1233"/>
    </row>
    <row r="17" spans="1:70" ht="15" x14ac:dyDescent="0.2">
      <c r="A17" s="3202"/>
      <c r="B17" s="3249"/>
      <c r="C17" s="3249"/>
      <c r="D17" s="1234">
        <v>25</v>
      </c>
      <c r="E17" s="1055" t="s">
        <v>1664</v>
      </c>
      <c r="F17" s="1034"/>
      <c r="G17" s="1035"/>
      <c r="H17" s="1034"/>
      <c r="I17" s="1034"/>
      <c r="J17" s="1034"/>
      <c r="K17" s="1034"/>
      <c r="L17" s="1034"/>
      <c r="M17" s="1034"/>
      <c r="N17" s="1034"/>
      <c r="O17" s="1034"/>
      <c r="P17" s="1034"/>
      <c r="Q17" s="1034"/>
      <c r="R17" s="1034"/>
      <c r="S17" s="1037"/>
      <c r="T17" s="1034"/>
      <c r="U17" s="1034"/>
      <c r="V17" s="1034"/>
      <c r="W17" s="1034"/>
      <c r="X17" s="1034"/>
      <c r="Y17" s="1034"/>
      <c r="Z17" s="1034"/>
      <c r="AA17" s="1034"/>
      <c r="AB17" s="1034"/>
      <c r="AC17" s="1034"/>
      <c r="AD17" s="1034"/>
      <c r="AE17" s="1034"/>
      <c r="AF17" s="1034"/>
      <c r="AG17" s="1034"/>
      <c r="AH17" s="1034"/>
      <c r="AI17" s="1034"/>
      <c r="AJ17" s="1034"/>
      <c r="AK17" s="1034"/>
      <c r="AL17" s="1034"/>
      <c r="AM17" s="1034"/>
      <c r="AN17" s="1034"/>
      <c r="AO17" s="1034"/>
      <c r="AP17" s="1034"/>
      <c r="AQ17" s="1034"/>
      <c r="AR17" s="1034"/>
      <c r="AS17" s="1034"/>
      <c r="AT17" s="1034"/>
      <c r="AU17" s="1034"/>
      <c r="AV17" s="1034"/>
      <c r="AW17" s="1034"/>
      <c r="AX17" s="1034"/>
      <c r="AY17" s="1034"/>
      <c r="AZ17" s="1034"/>
      <c r="BA17" s="1034"/>
      <c r="BB17" s="1034"/>
      <c r="BC17" s="1034"/>
      <c r="BD17" s="1034"/>
      <c r="BE17" s="1034"/>
      <c r="BF17" s="1034"/>
      <c r="BG17" s="1034"/>
      <c r="BH17" s="1034"/>
      <c r="BI17" s="1034"/>
      <c r="BJ17" s="1034"/>
      <c r="BK17" s="1034"/>
      <c r="BL17" s="1034"/>
      <c r="BM17" s="1034"/>
      <c r="BN17" s="1034"/>
      <c r="BO17" s="1034"/>
      <c r="BP17" s="1034"/>
      <c r="BQ17" s="1034"/>
      <c r="BR17" s="1040"/>
    </row>
    <row r="18" spans="1:70" ht="15" x14ac:dyDescent="0.2">
      <c r="A18" s="3203"/>
      <c r="B18" s="3249"/>
      <c r="C18" s="3249"/>
      <c r="D18" s="3249"/>
      <c r="E18" s="3249"/>
      <c r="F18" s="3249"/>
      <c r="G18" s="1057">
        <v>83</v>
      </c>
      <c r="H18" s="1042" t="s">
        <v>1665</v>
      </c>
      <c r="I18" s="1043"/>
      <c r="J18" s="1044"/>
      <c r="K18" s="1044"/>
      <c r="L18" s="1044"/>
      <c r="M18" s="1044"/>
      <c r="N18" s="1044"/>
      <c r="O18" s="1044"/>
      <c r="P18" s="1044"/>
      <c r="Q18" s="1044"/>
      <c r="R18" s="1044"/>
      <c r="S18" s="1046"/>
      <c r="T18" s="1044"/>
      <c r="U18" s="1044"/>
      <c r="V18" s="1044"/>
      <c r="W18" s="1044"/>
      <c r="X18" s="1044"/>
      <c r="Y18" s="1044"/>
      <c r="Z18" s="1044"/>
      <c r="AA18" s="1044"/>
      <c r="AB18" s="1044"/>
      <c r="AC18" s="1044"/>
      <c r="AD18" s="1044"/>
      <c r="AE18" s="1044"/>
      <c r="AF18" s="1044"/>
      <c r="AG18" s="1044"/>
      <c r="AH18" s="1044"/>
      <c r="AI18" s="1044"/>
      <c r="AJ18" s="1044"/>
      <c r="AK18" s="1044"/>
      <c r="AL18" s="1044"/>
      <c r="AM18" s="1044"/>
      <c r="AN18" s="1044"/>
      <c r="AO18" s="1044"/>
      <c r="AP18" s="1044"/>
      <c r="AQ18" s="1044"/>
      <c r="AR18" s="1044"/>
      <c r="AS18" s="1044"/>
      <c r="AT18" s="1044"/>
      <c r="AU18" s="1044"/>
      <c r="AV18" s="1044"/>
      <c r="AW18" s="1044"/>
      <c r="AX18" s="1044"/>
      <c r="AY18" s="1044"/>
      <c r="AZ18" s="1044"/>
      <c r="BA18" s="1044"/>
      <c r="BB18" s="1044"/>
      <c r="BC18" s="1044"/>
      <c r="BD18" s="1044"/>
      <c r="BE18" s="1044"/>
      <c r="BF18" s="1044"/>
      <c r="BG18" s="1044"/>
      <c r="BH18" s="1044"/>
      <c r="BI18" s="1044"/>
      <c r="BJ18" s="1044"/>
      <c r="BK18" s="1044"/>
      <c r="BL18" s="1044"/>
      <c r="BM18" s="1044"/>
      <c r="BN18" s="1044"/>
      <c r="BO18" s="1044"/>
      <c r="BP18" s="1044"/>
      <c r="BQ18" s="1044"/>
      <c r="BR18" s="1043"/>
    </row>
    <row r="19" spans="1:70" ht="124.5" customHeight="1" x14ac:dyDescent="0.2">
      <c r="A19" s="3203"/>
      <c r="B19" s="3249"/>
      <c r="C19" s="3249"/>
      <c r="D19" s="3249"/>
      <c r="E19" s="3249"/>
      <c r="F19" s="3249"/>
      <c r="G19" s="3202"/>
      <c r="H19" s="3249"/>
      <c r="I19" s="3249"/>
      <c r="J19" s="3190">
        <v>243</v>
      </c>
      <c r="K19" s="3955" t="s">
        <v>1956</v>
      </c>
      <c r="L19" s="3955" t="s">
        <v>1957</v>
      </c>
      <c r="M19" s="3190">
        <v>6</v>
      </c>
      <c r="N19" s="3190">
        <v>0</v>
      </c>
      <c r="O19" s="3190" t="s">
        <v>1958</v>
      </c>
      <c r="P19" s="3190" t="s">
        <v>1959</v>
      </c>
      <c r="Q19" s="3955" t="s">
        <v>1960</v>
      </c>
      <c r="R19" s="3265">
        <v>1</v>
      </c>
      <c r="S19" s="3205">
        <v>71548128</v>
      </c>
      <c r="T19" s="4579" t="s">
        <v>1961</v>
      </c>
      <c r="U19" s="3954" t="s">
        <v>1962</v>
      </c>
      <c r="V19" s="166" t="s">
        <v>1963</v>
      </c>
      <c r="W19" s="1236">
        <v>17887032</v>
      </c>
      <c r="X19" s="1236">
        <v>16110000</v>
      </c>
      <c r="Y19" s="1236">
        <v>10740000</v>
      </c>
      <c r="Z19" s="4582">
        <v>20</v>
      </c>
      <c r="AA19" s="3190" t="s">
        <v>143</v>
      </c>
      <c r="AB19" s="3190">
        <v>292684</v>
      </c>
      <c r="AC19" s="3190">
        <v>292684</v>
      </c>
      <c r="AD19" s="3190">
        <v>282326</v>
      </c>
      <c r="AE19" s="3190">
        <v>282326</v>
      </c>
      <c r="AF19" s="3190">
        <v>135912</v>
      </c>
      <c r="AG19" s="3190">
        <v>135912</v>
      </c>
      <c r="AH19" s="3190">
        <v>45122</v>
      </c>
      <c r="AI19" s="3190">
        <v>45122</v>
      </c>
      <c r="AJ19" s="3190">
        <v>307101</v>
      </c>
      <c r="AK19" s="3190">
        <v>307101</v>
      </c>
      <c r="AL19" s="3190">
        <v>86875</v>
      </c>
      <c r="AM19" s="3190">
        <v>86875</v>
      </c>
      <c r="AN19" s="3190">
        <v>2145</v>
      </c>
      <c r="AO19" s="3190">
        <v>2145</v>
      </c>
      <c r="AP19" s="3190">
        <v>12718</v>
      </c>
      <c r="AQ19" s="3190">
        <v>12718</v>
      </c>
      <c r="AR19" s="3190">
        <v>26</v>
      </c>
      <c r="AS19" s="3190">
        <v>26</v>
      </c>
      <c r="AT19" s="3190">
        <v>37</v>
      </c>
      <c r="AU19" s="3190">
        <v>37</v>
      </c>
      <c r="AV19" s="3190"/>
      <c r="AW19" s="3190"/>
      <c r="AX19" s="3190"/>
      <c r="AY19" s="3190"/>
      <c r="AZ19" s="3190">
        <v>43029</v>
      </c>
      <c r="BA19" s="3190">
        <v>43029</v>
      </c>
      <c r="BB19" s="3190">
        <v>16982</v>
      </c>
      <c r="BC19" s="3190">
        <v>16982</v>
      </c>
      <c r="BD19" s="3190">
        <v>60013</v>
      </c>
      <c r="BE19" s="3190">
        <v>60013</v>
      </c>
      <c r="BF19" s="3190">
        <f>+AB19+AD19</f>
        <v>575010</v>
      </c>
      <c r="BG19" s="3190">
        <f>+AC19+AE19</f>
        <v>575010</v>
      </c>
      <c r="BH19" s="3190">
        <v>3</v>
      </c>
      <c r="BI19" s="4593">
        <v>64440000</v>
      </c>
      <c r="BJ19" s="4593">
        <v>10740000</v>
      </c>
      <c r="BK19" s="4592">
        <v>0.1666</v>
      </c>
      <c r="BL19" s="3190" t="s">
        <v>71</v>
      </c>
      <c r="BM19" s="3955" t="s">
        <v>1964</v>
      </c>
      <c r="BN19" s="4585">
        <v>43497</v>
      </c>
      <c r="BO19" s="4585">
        <v>43517</v>
      </c>
      <c r="BP19" s="4585">
        <v>43676</v>
      </c>
      <c r="BQ19" s="4585">
        <v>43697</v>
      </c>
      <c r="BR19" s="4587" t="s">
        <v>1965</v>
      </c>
    </row>
    <row r="20" spans="1:70" ht="76.5" customHeight="1" x14ac:dyDescent="0.2">
      <c r="A20" s="3203"/>
      <c r="B20" s="3202"/>
      <c r="C20" s="3202"/>
      <c r="D20" s="3202"/>
      <c r="E20" s="3202"/>
      <c r="F20" s="3249"/>
      <c r="G20" s="3203"/>
      <c r="H20" s="3249"/>
      <c r="I20" s="3249"/>
      <c r="J20" s="3191"/>
      <c r="K20" s="3963"/>
      <c r="L20" s="3963"/>
      <c r="M20" s="3191"/>
      <c r="N20" s="3191"/>
      <c r="O20" s="3191"/>
      <c r="P20" s="3191"/>
      <c r="Q20" s="3963"/>
      <c r="R20" s="3493"/>
      <c r="S20" s="3206"/>
      <c r="T20" s="4580"/>
      <c r="U20" s="3954"/>
      <c r="V20" s="166" t="s">
        <v>1966</v>
      </c>
      <c r="W20" s="1236">
        <v>17887032</v>
      </c>
      <c r="X20" s="1236">
        <v>16110000</v>
      </c>
      <c r="Y20" s="2342"/>
      <c r="Z20" s="4583"/>
      <c r="AA20" s="3191"/>
      <c r="AB20" s="3191"/>
      <c r="AC20" s="3191"/>
      <c r="AD20" s="3191"/>
      <c r="AE20" s="3191"/>
      <c r="AF20" s="3191"/>
      <c r="AG20" s="3191"/>
      <c r="AH20" s="3191"/>
      <c r="AI20" s="3191"/>
      <c r="AJ20" s="3191"/>
      <c r="AK20" s="3191"/>
      <c r="AL20" s="3191"/>
      <c r="AM20" s="3191"/>
      <c r="AN20" s="3191"/>
      <c r="AO20" s="3191"/>
      <c r="AP20" s="3191"/>
      <c r="AQ20" s="3191"/>
      <c r="AR20" s="3191"/>
      <c r="AS20" s="3191"/>
      <c r="AT20" s="3191"/>
      <c r="AU20" s="3191"/>
      <c r="AV20" s="3191"/>
      <c r="AW20" s="3191"/>
      <c r="AX20" s="3191"/>
      <c r="AY20" s="3191"/>
      <c r="AZ20" s="3191"/>
      <c r="BA20" s="3191"/>
      <c r="BB20" s="3191"/>
      <c r="BC20" s="3191"/>
      <c r="BD20" s="3191"/>
      <c r="BE20" s="3191"/>
      <c r="BF20" s="3191"/>
      <c r="BG20" s="3191"/>
      <c r="BH20" s="3191"/>
      <c r="BI20" s="4594"/>
      <c r="BJ20" s="4594"/>
      <c r="BK20" s="3191"/>
      <c r="BL20" s="3191"/>
      <c r="BM20" s="3963"/>
      <c r="BN20" s="4586"/>
      <c r="BO20" s="4586"/>
      <c r="BP20" s="4586"/>
      <c r="BQ20" s="4586"/>
      <c r="BR20" s="4588"/>
    </row>
    <row r="21" spans="1:70" ht="96" customHeight="1" x14ac:dyDescent="0.2">
      <c r="A21" s="3203"/>
      <c r="B21" s="3202"/>
      <c r="C21" s="3202"/>
      <c r="D21" s="3202"/>
      <c r="E21" s="3202"/>
      <c r="F21" s="3249"/>
      <c r="G21" s="3203"/>
      <c r="H21" s="3249"/>
      <c r="I21" s="3249"/>
      <c r="J21" s="3191"/>
      <c r="K21" s="3963"/>
      <c r="L21" s="3963"/>
      <c r="M21" s="3191"/>
      <c r="N21" s="3191"/>
      <c r="O21" s="3191"/>
      <c r="P21" s="3191"/>
      <c r="Q21" s="3963"/>
      <c r="R21" s="3493"/>
      <c r="S21" s="3206"/>
      <c r="T21" s="4580"/>
      <c r="U21" s="3954" t="s">
        <v>1967</v>
      </c>
      <c r="V21" s="166" t="s">
        <v>1968</v>
      </c>
      <c r="W21" s="1236">
        <v>17887032</v>
      </c>
      <c r="X21" s="1236">
        <v>16110000</v>
      </c>
      <c r="Y21" s="2342"/>
      <c r="Z21" s="4583"/>
      <c r="AA21" s="3191"/>
      <c r="AB21" s="3191"/>
      <c r="AC21" s="3191"/>
      <c r="AD21" s="3191"/>
      <c r="AE21" s="3191"/>
      <c r="AF21" s="3191"/>
      <c r="AG21" s="3191"/>
      <c r="AH21" s="3191"/>
      <c r="AI21" s="3191"/>
      <c r="AJ21" s="3191"/>
      <c r="AK21" s="3191"/>
      <c r="AL21" s="3191"/>
      <c r="AM21" s="3191"/>
      <c r="AN21" s="3191"/>
      <c r="AO21" s="3191"/>
      <c r="AP21" s="3191"/>
      <c r="AQ21" s="3191"/>
      <c r="AR21" s="3191"/>
      <c r="AS21" s="3191"/>
      <c r="AT21" s="3191"/>
      <c r="AU21" s="3191"/>
      <c r="AV21" s="3191"/>
      <c r="AW21" s="3191"/>
      <c r="AX21" s="3191"/>
      <c r="AY21" s="3191"/>
      <c r="AZ21" s="3191"/>
      <c r="BA21" s="3191"/>
      <c r="BB21" s="3191"/>
      <c r="BC21" s="3191"/>
      <c r="BD21" s="3191"/>
      <c r="BE21" s="3191"/>
      <c r="BF21" s="3191"/>
      <c r="BG21" s="3191"/>
      <c r="BH21" s="3191"/>
      <c r="BI21" s="4594"/>
      <c r="BJ21" s="4594"/>
      <c r="BK21" s="3191"/>
      <c r="BL21" s="3191"/>
      <c r="BM21" s="3963"/>
      <c r="BN21" s="4586"/>
      <c r="BO21" s="4586"/>
      <c r="BP21" s="4586"/>
      <c r="BQ21" s="4586"/>
      <c r="BR21" s="4588"/>
    </row>
    <row r="22" spans="1:70" ht="84.75" customHeight="1" thickBot="1" x14ac:dyDescent="0.25">
      <c r="A22" s="3203"/>
      <c r="B22" s="3202"/>
      <c r="C22" s="3202"/>
      <c r="D22" s="3202"/>
      <c r="E22" s="3202"/>
      <c r="F22" s="3249"/>
      <c r="G22" s="4569"/>
      <c r="H22" s="3249"/>
      <c r="I22" s="3249"/>
      <c r="J22" s="4570"/>
      <c r="K22" s="4576"/>
      <c r="L22" s="4576"/>
      <c r="M22" s="4570"/>
      <c r="N22" s="4570"/>
      <c r="O22" s="4570"/>
      <c r="P22" s="4570"/>
      <c r="Q22" s="4576"/>
      <c r="R22" s="4577"/>
      <c r="S22" s="4578"/>
      <c r="T22" s="4581"/>
      <c r="U22" s="3955"/>
      <c r="V22" s="166" t="s">
        <v>1969</v>
      </c>
      <c r="W22" s="1236">
        <v>17887032</v>
      </c>
      <c r="X22" s="1236">
        <v>16110000</v>
      </c>
      <c r="Y22" s="2342"/>
      <c r="Z22" s="4584"/>
      <c r="AA22" s="4570"/>
      <c r="AB22" s="4570"/>
      <c r="AC22" s="4570"/>
      <c r="AD22" s="4570"/>
      <c r="AE22" s="4570"/>
      <c r="AF22" s="4570"/>
      <c r="AG22" s="4570"/>
      <c r="AH22" s="4570"/>
      <c r="AI22" s="4570"/>
      <c r="AJ22" s="4570"/>
      <c r="AK22" s="4570"/>
      <c r="AL22" s="4570"/>
      <c r="AM22" s="4570"/>
      <c r="AN22" s="4570"/>
      <c r="AO22" s="4570"/>
      <c r="AP22" s="4570"/>
      <c r="AQ22" s="4570"/>
      <c r="AR22" s="4570"/>
      <c r="AS22" s="4570"/>
      <c r="AT22" s="4570"/>
      <c r="AU22" s="4570"/>
      <c r="AV22" s="4570"/>
      <c r="AW22" s="4570"/>
      <c r="AX22" s="4570"/>
      <c r="AY22" s="4570"/>
      <c r="AZ22" s="4570"/>
      <c r="BA22" s="4570"/>
      <c r="BB22" s="4570"/>
      <c r="BC22" s="4570"/>
      <c r="BD22" s="4570"/>
      <c r="BE22" s="4570"/>
      <c r="BF22" s="4570"/>
      <c r="BG22" s="4570"/>
      <c r="BH22" s="3191"/>
      <c r="BI22" s="4594"/>
      <c r="BJ22" s="4594"/>
      <c r="BK22" s="3191"/>
      <c r="BL22" s="3191"/>
      <c r="BM22" s="3963"/>
      <c r="BN22" s="4586"/>
      <c r="BO22" s="4586"/>
      <c r="BP22" s="4586"/>
      <c r="BQ22" s="4586"/>
      <c r="BR22" s="4588"/>
    </row>
    <row r="23" spans="1:70" s="1243" customFormat="1" ht="15.75" customHeight="1" thickBot="1" x14ac:dyDescent="0.3">
      <c r="A23" s="1240"/>
      <c r="B23" s="1241"/>
      <c r="C23" s="1241"/>
      <c r="D23" s="1241"/>
      <c r="E23" s="1242"/>
      <c r="G23" s="4589" t="s">
        <v>334</v>
      </c>
      <c r="H23" s="4590"/>
      <c r="I23" s="4590"/>
      <c r="J23" s="4590"/>
      <c r="K23" s="4590"/>
      <c r="L23" s="4590"/>
      <c r="M23" s="4590"/>
      <c r="N23" s="4590"/>
      <c r="O23" s="4590"/>
      <c r="P23" s="4590"/>
      <c r="Q23" s="4590"/>
      <c r="R23" s="4591"/>
      <c r="S23" s="2343">
        <v>71548128</v>
      </c>
      <c r="T23" s="1240"/>
      <c r="U23" s="2344"/>
      <c r="V23" s="2345"/>
      <c r="W23" s="2343">
        <f>SUM(W19:W22)</f>
        <v>71548128</v>
      </c>
      <c r="X23" s="2343">
        <f>SUM(X19:X22)</f>
        <v>64440000</v>
      </c>
      <c r="Y23" s="2343">
        <f>SUM(Y19:Y22)</f>
        <v>10740000</v>
      </c>
      <c r="Z23" s="2346"/>
      <c r="AA23" s="2347"/>
      <c r="AB23" s="2347"/>
      <c r="AC23" s="2347"/>
      <c r="AD23" s="2347"/>
      <c r="AE23" s="2347"/>
      <c r="AF23" s="2347"/>
      <c r="AG23" s="2347"/>
      <c r="AH23" s="2347"/>
      <c r="AI23" s="2347"/>
      <c r="AJ23" s="2347"/>
      <c r="AK23" s="2347"/>
      <c r="AL23" s="2347"/>
      <c r="AM23" s="2347"/>
      <c r="AN23" s="2347"/>
      <c r="AO23" s="2347"/>
      <c r="AP23" s="2347"/>
      <c r="AQ23" s="2347"/>
      <c r="AR23" s="2347"/>
      <c r="AS23" s="2347"/>
      <c r="AT23" s="2347"/>
      <c r="AU23" s="2347"/>
      <c r="AV23" s="2347"/>
      <c r="AW23" s="2347"/>
      <c r="AX23" s="2347"/>
      <c r="AY23" s="2347"/>
      <c r="AZ23" s="2347"/>
      <c r="BA23" s="2347"/>
      <c r="BB23" s="2347"/>
      <c r="BC23" s="2347"/>
      <c r="BD23" s="2347"/>
      <c r="BE23" s="2347"/>
      <c r="BF23" s="2347"/>
      <c r="BG23" s="2347"/>
      <c r="BH23" s="2348">
        <v>3</v>
      </c>
      <c r="BI23" s="2349">
        <v>64440000</v>
      </c>
      <c r="BJ23" s="2349">
        <v>10740000</v>
      </c>
      <c r="BK23" s="2350">
        <v>0.1666</v>
      </c>
      <c r="BL23" s="2351"/>
      <c r="BM23" s="2351"/>
      <c r="BN23" s="2352"/>
      <c r="BO23" s="2352"/>
      <c r="BP23" s="2353"/>
      <c r="BQ23" s="2353"/>
      <c r="BR23" s="2354"/>
    </row>
    <row r="24" spans="1:70" ht="14.25" customHeight="1" x14ac:dyDescent="0.2"/>
    <row r="25" spans="1:70" ht="15" customHeight="1" x14ac:dyDescent="0.25">
      <c r="W25" s="1256"/>
      <c r="X25" s="1257"/>
    </row>
    <row r="26" spans="1:70" ht="15" customHeight="1" x14ac:dyDescent="0.2">
      <c r="W26" s="1255"/>
    </row>
    <row r="29" spans="1:70" ht="15" x14ac:dyDescent="0.25">
      <c r="M29" s="1258"/>
      <c r="N29" s="1258"/>
      <c r="O29" s="1259"/>
      <c r="P29" s="1259"/>
    </row>
    <row r="30" spans="1:70" ht="15" x14ac:dyDescent="0.25">
      <c r="M30" s="1260" t="s">
        <v>1088</v>
      </c>
      <c r="N30" s="1260"/>
      <c r="O30" s="1260"/>
    </row>
  </sheetData>
  <sheetProtection password="F3F4" sheet="1" objects="1" scenarios="1"/>
  <mergeCells count="122">
    <mergeCell ref="BQ19:BQ22"/>
    <mergeCell ref="BR19:BR22"/>
    <mergeCell ref="U21:U22"/>
    <mergeCell ref="G23:R23"/>
    <mergeCell ref="BK19:BK22"/>
    <mergeCell ref="BL19:BL22"/>
    <mergeCell ref="BM19:BM22"/>
    <mergeCell ref="BN19:BN22"/>
    <mergeCell ref="BO19:BO22"/>
    <mergeCell ref="BP19:BP22"/>
    <mergeCell ref="BE19:BE22"/>
    <mergeCell ref="BF19:BF22"/>
    <mergeCell ref="BG19:BG22"/>
    <mergeCell ref="BH19:BH22"/>
    <mergeCell ref="BI19:BI22"/>
    <mergeCell ref="BJ19:BJ22"/>
    <mergeCell ref="AY19:AY22"/>
    <mergeCell ref="AZ19:AZ22"/>
    <mergeCell ref="BA19:BA22"/>
    <mergeCell ref="BB19:BB22"/>
    <mergeCell ref="BC19:BC22"/>
    <mergeCell ref="BD19:BD22"/>
    <mergeCell ref="AS19:AS22"/>
    <mergeCell ref="AT19:AT22"/>
    <mergeCell ref="AV19:AV22"/>
    <mergeCell ref="AW19:AW22"/>
    <mergeCell ref="AX19:AX22"/>
    <mergeCell ref="AM19:AM22"/>
    <mergeCell ref="AN19:AN22"/>
    <mergeCell ref="AO19:AO22"/>
    <mergeCell ref="AP19:AP22"/>
    <mergeCell ref="AQ19:AQ22"/>
    <mergeCell ref="AR19:AR22"/>
    <mergeCell ref="AK19:AK22"/>
    <mergeCell ref="AL19:AL22"/>
    <mergeCell ref="AA19:AA22"/>
    <mergeCell ref="AB19:AB22"/>
    <mergeCell ref="AC19:AC22"/>
    <mergeCell ref="AD19:AD22"/>
    <mergeCell ref="AE19:AE22"/>
    <mergeCell ref="AF19:AF22"/>
    <mergeCell ref="AU19:AU22"/>
    <mergeCell ref="L19:L22"/>
    <mergeCell ref="M19:M22"/>
    <mergeCell ref="N19:N22"/>
    <mergeCell ref="O19:O22"/>
    <mergeCell ref="P19:P22"/>
    <mergeCell ref="AG19:AG22"/>
    <mergeCell ref="AH19:AH22"/>
    <mergeCell ref="AI19:AI22"/>
    <mergeCell ref="AJ19:AJ22"/>
    <mergeCell ref="B16:C16"/>
    <mergeCell ref="A17:A22"/>
    <mergeCell ref="B17:C22"/>
    <mergeCell ref="D18:D22"/>
    <mergeCell ref="E18:F22"/>
    <mergeCell ref="G19:G22"/>
    <mergeCell ref="H19:I22"/>
    <mergeCell ref="J19:J22"/>
    <mergeCell ref="BB8:BC8"/>
    <mergeCell ref="V7:V15"/>
    <mergeCell ref="W7:Y8"/>
    <mergeCell ref="Z7:Z9"/>
    <mergeCell ref="AA7:AA15"/>
    <mergeCell ref="P7:P9"/>
    <mergeCell ref="Q7:Q15"/>
    <mergeCell ref="R7:R15"/>
    <mergeCell ref="S7:S15"/>
    <mergeCell ref="Q19:Q22"/>
    <mergeCell ref="R19:R22"/>
    <mergeCell ref="S19:S22"/>
    <mergeCell ref="T19:T22"/>
    <mergeCell ref="U19:U20"/>
    <mergeCell ref="Z19:Z22"/>
    <mergeCell ref="K19:K22"/>
    <mergeCell ref="BR7:BR15"/>
    <mergeCell ref="AB8:AC8"/>
    <mergeCell ref="AD8:AE8"/>
    <mergeCell ref="AF8:AG8"/>
    <mergeCell ref="AH8:AI8"/>
    <mergeCell ref="AJ8:AK8"/>
    <mergeCell ref="AL8:AM8"/>
    <mergeCell ref="AN8:AO8"/>
    <mergeCell ref="AP8:AQ8"/>
    <mergeCell ref="AR8:AS8"/>
    <mergeCell ref="AN7:AY7"/>
    <mergeCell ref="AZ7:BE7"/>
    <mergeCell ref="BF7:BG8"/>
    <mergeCell ref="BH7:BM7"/>
    <mergeCell ref="BN7:BO8"/>
    <mergeCell ref="BP7:BQ8"/>
    <mergeCell ref="AT8:AU8"/>
    <mergeCell ref="AV8:AW8"/>
    <mergeCell ref="AX8:AY8"/>
    <mergeCell ref="AZ8:BA8"/>
    <mergeCell ref="AB7:AE7"/>
    <mergeCell ref="AF7:AM7"/>
    <mergeCell ref="BL8:BL9"/>
    <mergeCell ref="BM8:BM9"/>
    <mergeCell ref="T7:T15"/>
    <mergeCell ref="U7:U15"/>
    <mergeCell ref="H7:I15"/>
    <mergeCell ref="J7:J15"/>
    <mergeCell ref="K7:K15"/>
    <mergeCell ref="L7:L15"/>
    <mergeCell ref="M7:N8"/>
    <mergeCell ref="O7:O15"/>
    <mergeCell ref="A1:BL4"/>
    <mergeCell ref="A5:M6"/>
    <mergeCell ref="Q5:BP5"/>
    <mergeCell ref="Q6:Y6"/>
    <mergeCell ref="BL6:BP6"/>
    <mergeCell ref="A7:A15"/>
    <mergeCell ref="B7:C15"/>
    <mergeCell ref="D7:D15"/>
    <mergeCell ref="E7:F15"/>
    <mergeCell ref="G7:G15"/>
    <mergeCell ref="BD8:BE8"/>
    <mergeCell ref="BH8:BH9"/>
    <mergeCell ref="BI8:BI9"/>
    <mergeCell ref="BJ8:BJ9"/>
    <mergeCell ref="BK8:BK9"/>
  </mergeCells>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99"/>
  <sheetViews>
    <sheetView showGridLines="0" zoomScale="60" zoomScaleNormal="60" workbookViewId="0">
      <selection sqref="A1:BP4"/>
    </sheetView>
  </sheetViews>
  <sheetFormatPr baseColWidth="10" defaultColWidth="11.42578125" defaultRowHeight="14.25" x14ac:dyDescent="0.2"/>
  <cols>
    <col min="1" max="1" width="16" style="571" customWidth="1"/>
    <col min="2" max="2" width="4.7109375" style="571" customWidth="1"/>
    <col min="3" max="3" width="18.140625" style="571" customWidth="1"/>
    <col min="4" max="4" width="17.28515625" style="571" customWidth="1"/>
    <col min="5" max="5" width="19.140625" style="571" customWidth="1"/>
    <col min="6" max="6" width="11.42578125" style="571" hidden="1" customWidth="1"/>
    <col min="7" max="7" width="17.140625" style="571" customWidth="1"/>
    <col min="8" max="8" width="6.42578125" style="571" customWidth="1"/>
    <col min="9" max="9" width="19.85546875" style="571" customWidth="1"/>
    <col min="10" max="10" width="15.7109375" style="571" customWidth="1"/>
    <col min="11" max="11" width="37" style="571" customWidth="1"/>
    <col min="12" max="12" width="22.7109375" style="571" customWidth="1"/>
    <col min="13" max="14" width="20.42578125" style="571" customWidth="1"/>
    <col min="15" max="15" width="41.140625" style="571" customWidth="1"/>
    <col min="16" max="16" width="24.42578125" style="571" customWidth="1"/>
    <col min="17" max="17" width="27.85546875" style="571" customWidth="1"/>
    <col min="18" max="18" width="22" style="571" customWidth="1"/>
    <col min="19" max="19" width="27.7109375" style="571" customWidth="1"/>
    <col min="20" max="20" width="24.42578125" style="571" customWidth="1"/>
    <col min="21" max="21" width="32.5703125" style="2572" customWidth="1"/>
    <col min="22" max="22" width="64.28515625" style="571" customWidth="1"/>
    <col min="23" max="23" width="29.85546875" style="571" bestFit="1" customWidth="1"/>
    <col min="24" max="24" width="28.85546875" style="571" customWidth="1"/>
    <col min="25" max="25" width="28.42578125" style="571" customWidth="1"/>
    <col min="26" max="26" width="18.7109375" style="571" customWidth="1"/>
    <col min="27" max="27" width="35.140625" style="572" customWidth="1"/>
    <col min="28" max="59" width="12.140625" style="571" customWidth="1"/>
    <col min="60" max="60" width="16.5703125" style="571" customWidth="1"/>
    <col min="61" max="61" width="26.7109375" style="571" customWidth="1"/>
    <col min="62" max="62" width="29.5703125" style="571" customWidth="1"/>
    <col min="63" max="63" width="17.5703125" style="571" customWidth="1"/>
    <col min="64" max="64" width="18.28515625" style="571" customWidth="1"/>
    <col min="65" max="65" width="18.7109375" style="571" customWidth="1"/>
    <col min="66" max="69" width="17" style="571" customWidth="1"/>
    <col min="70" max="70" width="22.42578125" style="571" customWidth="1"/>
    <col min="71" max="83" width="14.85546875" style="571" customWidth="1"/>
    <col min="84" max="16384" width="11.42578125" style="571"/>
  </cols>
  <sheetData>
    <row r="1" spans="1:70" ht="15" customHeight="1" x14ac:dyDescent="0.25">
      <c r="A1" s="4565" t="s">
        <v>1970</v>
      </c>
      <c r="B1" s="4565"/>
      <c r="C1" s="4565"/>
      <c r="D1" s="4565"/>
      <c r="E1" s="4565"/>
      <c r="F1" s="4565"/>
      <c r="G1" s="4565"/>
      <c r="H1" s="4565"/>
      <c r="I1" s="4565"/>
      <c r="J1" s="4565"/>
      <c r="K1" s="4565"/>
      <c r="L1" s="4565"/>
      <c r="M1" s="4565"/>
      <c r="N1" s="4565"/>
      <c r="O1" s="4565"/>
      <c r="P1" s="4565"/>
      <c r="Q1" s="4565"/>
      <c r="R1" s="4565"/>
      <c r="S1" s="4565"/>
      <c r="T1" s="4565"/>
      <c r="U1" s="4565"/>
      <c r="V1" s="4565"/>
      <c r="W1" s="4565"/>
      <c r="X1" s="4565"/>
      <c r="Y1" s="4565"/>
      <c r="Z1" s="4565"/>
      <c r="AA1" s="4565"/>
      <c r="AB1" s="4565"/>
      <c r="AC1" s="4565"/>
      <c r="AD1" s="4565"/>
      <c r="AE1" s="4565"/>
      <c r="AF1" s="4565"/>
      <c r="AG1" s="4565"/>
      <c r="AH1" s="4565"/>
      <c r="AI1" s="4565"/>
      <c r="AJ1" s="4565"/>
      <c r="AK1" s="4565"/>
      <c r="AL1" s="4565"/>
      <c r="AM1" s="4565"/>
      <c r="AN1" s="4565"/>
      <c r="AO1" s="4565"/>
      <c r="AP1" s="4565"/>
      <c r="AQ1" s="4565"/>
      <c r="AR1" s="4565"/>
      <c r="AS1" s="4565"/>
      <c r="AT1" s="4565"/>
      <c r="AU1" s="4565"/>
      <c r="AV1" s="4565"/>
      <c r="AW1" s="4565"/>
      <c r="AX1" s="4565"/>
      <c r="AY1" s="4565"/>
      <c r="AZ1" s="4565"/>
      <c r="BA1" s="4565"/>
      <c r="BB1" s="4565"/>
      <c r="BC1" s="4565"/>
      <c r="BD1" s="4565"/>
      <c r="BE1" s="4565"/>
      <c r="BF1" s="4565"/>
      <c r="BG1" s="4565"/>
      <c r="BH1" s="4565"/>
      <c r="BI1" s="4565"/>
      <c r="BJ1" s="4565"/>
      <c r="BK1" s="4565"/>
      <c r="BL1" s="4565"/>
      <c r="BM1" s="4565"/>
      <c r="BN1" s="4565"/>
      <c r="BO1" s="4565"/>
      <c r="BP1" s="4595"/>
      <c r="BQ1" s="923" t="s">
        <v>1</v>
      </c>
      <c r="BR1" s="923" t="s">
        <v>2</v>
      </c>
    </row>
    <row r="2" spans="1:70" ht="15" x14ac:dyDescent="0.25">
      <c r="A2" s="4565"/>
      <c r="B2" s="4565"/>
      <c r="C2" s="4565"/>
      <c r="D2" s="4565"/>
      <c r="E2" s="4565"/>
      <c r="F2" s="4565"/>
      <c r="G2" s="4565"/>
      <c r="H2" s="4565"/>
      <c r="I2" s="4565"/>
      <c r="J2" s="4565"/>
      <c r="K2" s="4565"/>
      <c r="L2" s="4565"/>
      <c r="M2" s="4565"/>
      <c r="N2" s="4565"/>
      <c r="O2" s="4565"/>
      <c r="P2" s="4565"/>
      <c r="Q2" s="4565"/>
      <c r="R2" s="4565"/>
      <c r="S2" s="4565"/>
      <c r="T2" s="4565"/>
      <c r="U2" s="4565"/>
      <c r="V2" s="4565"/>
      <c r="W2" s="4565"/>
      <c r="X2" s="4565"/>
      <c r="Y2" s="4565"/>
      <c r="Z2" s="4565"/>
      <c r="AA2" s="4565"/>
      <c r="AB2" s="4565"/>
      <c r="AC2" s="4565"/>
      <c r="AD2" s="4565"/>
      <c r="AE2" s="4565"/>
      <c r="AF2" s="4565"/>
      <c r="AG2" s="4565"/>
      <c r="AH2" s="4565"/>
      <c r="AI2" s="4565"/>
      <c r="AJ2" s="4565"/>
      <c r="AK2" s="4565"/>
      <c r="AL2" s="4565"/>
      <c r="AM2" s="4565"/>
      <c r="AN2" s="4565"/>
      <c r="AO2" s="4565"/>
      <c r="AP2" s="4565"/>
      <c r="AQ2" s="4565"/>
      <c r="AR2" s="4565"/>
      <c r="AS2" s="4565"/>
      <c r="AT2" s="4565"/>
      <c r="AU2" s="4565"/>
      <c r="AV2" s="4565"/>
      <c r="AW2" s="4565"/>
      <c r="AX2" s="4565"/>
      <c r="AY2" s="4565"/>
      <c r="AZ2" s="4565"/>
      <c r="BA2" s="4565"/>
      <c r="BB2" s="4565"/>
      <c r="BC2" s="4565"/>
      <c r="BD2" s="4565"/>
      <c r="BE2" s="4565"/>
      <c r="BF2" s="4565"/>
      <c r="BG2" s="4565"/>
      <c r="BH2" s="4565"/>
      <c r="BI2" s="4565"/>
      <c r="BJ2" s="4565"/>
      <c r="BK2" s="4565"/>
      <c r="BL2" s="4565"/>
      <c r="BM2" s="4565"/>
      <c r="BN2" s="4565"/>
      <c r="BO2" s="4565"/>
      <c r="BP2" s="4595"/>
      <c r="BQ2" s="925" t="s">
        <v>3</v>
      </c>
      <c r="BR2" s="926">
        <v>6</v>
      </c>
    </row>
    <row r="3" spans="1:70" ht="15" x14ac:dyDescent="0.25">
      <c r="A3" s="4565"/>
      <c r="B3" s="4565"/>
      <c r="C3" s="4565"/>
      <c r="D3" s="4565"/>
      <c r="E3" s="4565"/>
      <c r="F3" s="4565"/>
      <c r="G3" s="4565"/>
      <c r="H3" s="4565"/>
      <c r="I3" s="4565"/>
      <c r="J3" s="4565"/>
      <c r="K3" s="4565"/>
      <c r="L3" s="4565"/>
      <c r="M3" s="4565"/>
      <c r="N3" s="4565"/>
      <c r="O3" s="4565"/>
      <c r="P3" s="4565"/>
      <c r="Q3" s="4565"/>
      <c r="R3" s="4565"/>
      <c r="S3" s="4565"/>
      <c r="T3" s="4565"/>
      <c r="U3" s="4565"/>
      <c r="V3" s="4565"/>
      <c r="W3" s="4565"/>
      <c r="X3" s="4565"/>
      <c r="Y3" s="4565"/>
      <c r="Z3" s="4565"/>
      <c r="AA3" s="4565"/>
      <c r="AB3" s="4565"/>
      <c r="AC3" s="4565"/>
      <c r="AD3" s="4565"/>
      <c r="AE3" s="4565"/>
      <c r="AF3" s="4565"/>
      <c r="AG3" s="4565"/>
      <c r="AH3" s="4565"/>
      <c r="AI3" s="4565"/>
      <c r="AJ3" s="4565"/>
      <c r="AK3" s="4565"/>
      <c r="AL3" s="4565"/>
      <c r="AM3" s="4565"/>
      <c r="AN3" s="4565"/>
      <c r="AO3" s="4565"/>
      <c r="AP3" s="4565"/>
      <c r="AQ3" s="4565"/>
      <c r="AR3" s="4565"/>
      <c r="AS3" s="4565"/>
      <c r="AT3" s="4565"/>
      <c r="AU3" s="4565"/>
      <c r="AV3" s="4565"/>
      <c r="AW3" s="4565"/>
      <c r="AX3" s="4565"/>
      <c r="AY3" s="4565"/>
      <c r="AZ3" s="4565"/>
      <c r="BA3" s="4565"/>
      <c r="BB3" s="4565"/>
      <c r="BC3" s="4565"/>
      <c r="BD3" s="4565"/>
      <c r="BE3" s="4565"/>
      <c r="BF3" s="4565"/>
      <c r="BG3" s="4565"/>
      <c r="BH3" s="4565"/>
      <c r="BI3" s="4565"/>
      <c r="BJ3" s="4565"/>
      <c r="BK3" s="4565"/>
      <c r="BL3" s="4565"/>
      <c r="BM3" s="4565"/>
      <c r="BN3" s="4565"/>
      <c r="BO3" s="4565"/>
      <c r="BP3" s="4595"/>
      <c r="BQ3" s="923" t="s">
        <v>4</v>
      </c>
      <c r="BR3" s="927" t="s">
        <v>5</v>
      </c>
    </row>
    <row r="4" spans="1:70" s="1216" customFormat="1" ht="15" x14ac:dyDescent="0.2">
      <c r="A4" s="3125"/>
      <c r="B4" s="3125"/>
      <c r="C4" s="3125"/>
      <c r="D4" s="3125"/>
      <c r="E4" s="3125"/>
      <c r="F4" s="3125"/>
      <c r="G4" s="3125"/>
      <c r="H4" s="3125"/>
      <c r="I4" s="3125"/>
      <c r="J4" s="3125"/>
      <c r="K4" s="3125"/>
      <c r="L4" s="3125"/>
      <c r="M4" s="3125"/>
      <c r="N4" s="3125"/>
      <c r="O4" s="3125"/>
      <c r="P4" s="3125"/>
      <c r="Q4" s="3125"/>
      <c r="R4" s="3125"/>
      <c r="S4" s="3125"/>
      <c r="T4" s="3125"/>
      <c r="U4" s="3125"/>
      <c r="V4" s="3125"/>
      <c r="W4" s="3125"/>
      <c r="X4" s="3125"/>
      <c r="Y4" s="3125"/>
      <c r="Z4" s="3125"/>
      <c r="AA4" s="3125"/>
      <c r="AB4" s="3125"/>
      <c r="AC4" s="3125"/>
      <c r="AD4" s="3125"/>
      <c r="AE4" s="3125"/>
      <c r="AF4" s="3125"/>
      <c r="AG4" s="3125"/>
      <c r="AH4" s="3125"/>
      <c r="AI4" s="3125"/>
      <c r="AJ4" s="3125"/>
      <c r="AK4" s="3125"/>
      <c r="AL4" s="3125"/>
      <c r="AM4" s="3125"/>
      <c r="AN4" s="3125"/>
      <c r="AO4" s="3125"/>
      <c r="AP4" s="3125"/>
      <c r="AQ4" s="3125"/>
      <c r="AR4" s="3125"/>
      <c r="AS4" s="3125"/>
      <c r="AT4" s="3125"/>
      <c r="AU4" s="3125"/>
      <c r="AV4" s="3125"/>
      <c r="AW4" s="3125"/>
      <c r="AX4" s="3125"/>
      <c r="AY4" s="3125"/>
      <c r="AZ4" s="3125"/>
      <c r="BA4" s="3125"/>
      <c r="BB4" s="3125"/>
      <c r="BC4" s="3125"/>
      <c r="BD4" s="3125"/>
      <c r="BE4" s="3125"/>
      <c r="BF4" s="3125"/>
      <c r="BG4" s="3125"/>
      <c r="BH4" s="3125"/>
      <c r="BI4" s="3125"/>
      <c r="BJ4" s="3125"/>
      <c r="BK4" s="3125"/>
      <c r="BL4" s="3125"/>
      <c r="BM4" s="3125"/>
      <c r="BN4" s="3125"/>
      <c r="BO4" s="3125"/>
      <c r="BP4" s="3126"/>
      <c r="BQ4" s="101" t="s">
        <v>6</v>
      </c>
      <c r="BR4" s="1215" t="s">
        <v>7</v>
      </c>
    </row>
    <row r="5" spans="1:70" ht="15" x14ac:dyDescent="0.2">
      <c r="A5" s="3879" t="s">
        <v>8</v>
      </c>
      <c r="B5" s="3879"/>
      <c r="C5" s="3879"/>
      <c r="D5" s="3879"/>
      <c r="E5" s="3879"/>
      <c r="F5" s="3879"/>
      <c r="G5" s="3879"/>
      <c r="H5" s="3879"/>
      <c r="I5" s="3879"/>
      <c r="J5" s="3879"/>
      <c r="K5" s="3879"/>
      <c r="L5" s="3879"/>
      <c r="M5" s="3879"/>
      <c r="N5" s="202"/>
      <c r="O5" s="337"/>
      <c r="P5" s="337"/>
      <c r="Q5" s="3879" t="s">
        <v>9</v>
      </c>
      <c r="R5" s="3879"/>
      <c r="S5" s="3879"/>
      <c r="T5" s="3879"/>
      <c r="U5" s="3879"/>
      <c r="V5" s="3879"/>
      <c r="W5" s="3879"/>
      <c r="X5" s="3879"/>
      <c r="Y5" s="3879"/>
      <c r="Z5" s="3879"/>
      <c r="AA5" s="3879"/>
      <c r="AB5" s="3879"/>
      <c r="AC5" s="3879"/>
      <c r="AD5" s="3879"/>
      <c r="AE5" s="3879"/>
      <c r="AF5" s="3879"/>
      <c r="AG5" s="3879"/>
      <c r="AH5" s="3879"/>
      <c r="AI5" s="3879"/>
      <c r="AJ5" s="3879"/>
      <c r="AK5" s="3879"/>
      <c r="AL5" s="3879"/>
      <c r="AM5" s="3879"/>
      <c r="AN5" s="3879"/>
      <c r="AO5" s="3879"/>
      <c r="AP5" s="3879"/>
      <c r="AQ5" s="3879"/>
      <c r="AR5" s="3879"/>
      <c r="AS5" s="3879"/>
      <c r="AT5" s="3879"/>
      <c r="AU5" s="3879"/>
      <c r="AV5" s="3879"/>
      <c r="AW5" s="3879"/>
      <c r="AX5" s="3879"/>
      <c r="AY5" s="3879"/>
      <c r="AZ5" s="3879"/>
      <c r="BA5" s="3879"/>
      <c r="BB5" s="3879"/>
      <c r="BC5" s="3879"/>
      <c r="BD5" s="3879"/>
      <c r="BE5" s="3879"/>
      <c r="BF5" s="3879"/>
      <c r="BG5" s="3879"/>
      <c r="BH5" s="3879"/>
      <c r="BI5" s="3879"/>
      <c r="BJ5" s="3879"/>
      <c r="BK5" s="3879"/>
      <c r="BL5" s="3879"/>
      <c r="BM5" s="3879"/>
      <c r="BN5" s="3879"/>
      <c r="BO5" s="3879"/>
      <c r="BP5" s="3879"/>
      <c r="BQ5" s="3879"/>
      <c r="BR5" s="3879"/>
    </row>
    <row r="6" spans="1:70" ht="15.75" thickBot="1" x14ac:dyDescent="0.25">
      <c r="A6" s="3879"/>
      <c r="B6" s="3879"/>
      <c r="C6" s="3879"/>
      <c r="D6" s="3879"/>
      <c r="E6" s="3879"/>
      <c r="F6" s="3879"/>
      <c r="G6" s="3879"/>
      <c r="H6" s="3879"/>
      <c r="I6" s="3879"/>
      <c r="J6" s="3879"/>
      <c r="K6" s="3879"/>
      <c r="L6" s="3879"/>
      <c r="M6" s="3879"/>
      <c r="N6" s="202"/>
      <c r="O6" s="337"/>
      <c r="P6" s="1217"/>
      <c r="Q6" s="3881"/>
      <c r="R6" s="3882"/>
      <c r="S6" s="3882"/>
      <c r="T6" s="3882"/>
      <c r="U6" s="3882"/>
      <c r="V6" s="3882"/>
      <c r="W6" s="3882"/>
      <c r="X6" s="3882"/>
      <c r="Y6" s="3882"/>
      <c r="Z6" s="3882"/>
      <c r="AA6" s="3883"/>
      <c r="AB6" s="1219"/>
      <c r="AC6" s="1219"/>
      <c r="AD6" s="1219"/>
      <c r="AE6" s="1219"/>
      <c r="AF6" s="1219"/>
      <c r="AG6" s="1219"/>
      <c r="AH6" s="1219"/>
      <c r="AI6" s="1219"/>
      <c r="AJ6" s="1219"/>
      <c r="AK6" s="1219"/>
      <c r="AL6" s="1219"/>
      <c r="AM6" s="1219"/>
      <c r="AN6" s="1219"/>
      <c r="AO6" s="1219"/>
      <c r="AP6" s="1219"/>
      <c r="AQ6" s="1219"/>
      <c r="AR6" s="1219"/>
      <c r="AS6" s="1219"/>
      <c r="AT6" s="1219"/>
      <c r="AU6" s="1219"/>
      <c r="AV6" s="1219"/>
      <c r="AW6" s="1219"/>
      <c r="AX6" s="1219"/>
      <c r="AY6" s="1219"/>
      <c r="AZ6" s="1219"/>
      <c r="BA6" s="1219"/>
      <c r="BB6" s="1219"/>
      <c r="BC6" s="1219"/>
      <c r="BD6" s="1219"/>
      <c r="BE6" s="1219"/>
      <c r="BF6" s="1219"/>
      <c r="BG6" s="1219"/>
      <c r="BH6" s="1219"/>
      <c r="BI6" s="1219"/>
      <c r="BJ6" s="1219"/>
      <c r="BK6" s="1219"/>
      <c r="BL6" s="1219"/>
      <c r="BM6" s="1219"/>
      <c r="BN6" s="3881"/>
      <c r="BO6" s="3882"/>
      <c r="BP6" s="3882"/>
      <c r="BQ6" s="3882"/>
      <c r="BR6" s="3883"/>
    </row>
    <row r="7" spans="1:70" s="1220" customFormat="1" ht="12" customHeight="1" x14ac:dyDescent="0.2">
      <c r="A7" s="3849" t="s">
        <v>10</v>
      </c>
      <c r="B7" s="3849" t="s">
        <v>11</v>
      </c>
      <c r="C7" s="3849"/>
      <c r="D7" s="3849" t="s">
        <v>10</v>
      </c>
      <c r="E7" s="3849" t="s">
        <v>12</v>
      </c>
      <c r="F7" s="3849"/>
      <c r="G7" s="3849" t="s">
        <v>10</v>
      </c>
      <c r="H7" s="3849" t="s">
        <v>13</v>
      </c>
      <c r="I7" s="3849"/>
      <c r="J7" s="3849" t="s">
        <v>10</v>
      </c>
      <c r="K7" s="3849" t="s">
        <v>14</v>
      </c>
      <c r="L7" s="3849" t="s">
        <v>15</v>
      </c>
      <c r="M7" s="3858" t="s">
        <v>16</v>
      </c>
      <c r="N7" s="3859"/>
      <c r="O7" s="3849" t="s">
        <v>17</v>
      </c>
      <c r="P7" s="3872" t="s">
        <v>18</v>
      </c>
      <c r="Q7" s="3849" t="s">
        <v>9</v>
      </c>
      <c r="R7" s="3849" t="s">
        <v>19</v>
      </c>
      <c r="S7" s="3849" t="s">
        <v>20</v>
      </c>
      <c r="T7" s="3849" t="s">
        <v>21</v>
      </c>
      <c r="U7" s="3925" t="s">
        <v>22</v>
      </c>
      <c r="V7" s="4596" t="s">
        <v>23</v>
      </c>
      <c r="W7" s="3858" t="s">
        <v>20</v>
      </c>
      <c r="X7" s="4597"/>
      <c r="Y7" s="3859"/>
      <c r="Z7" s="3872" t="s">
        <v>10</v>
      </c>
      <c r="AA7" s="3849" t="s">
        <v>24</v>
      </c>
      <c r="AB7" s="3854" t="s">
        <v>25</v>
      </c>
      <c r="AC7" s="3855"/>
      <c r="AD7" s="3855"/>
      <c r="AE7" s="3856"/>
      <c r="AF7" s="3159" t="s">
        <v>26</v>
      </c>
      <c r="AG7" s="3160"/>
      <c r="AH7" s="3160"/>
      <c r="AI7" s="3160"/>
      <c r="AJ7" s="3160"/>
      <c r="AK7" s="3160"/>
      <c r="AL7" s="3160"/>
      <c r="AM7" s="3857"/>
      <c r="AN7" s="3887" t="s">
        <v>27</v>
      </c>
      <c r="AO7" s="3888"/>
      <c r="AP7" s="3888"/>
      <c r="AQ7" s="3888"/>
      <c r="AR7" s="3888"/>
      <c r="AS7" s="3888"/>
      <c r="AT7" s="3888"/>
      <c r="AU7" s="3888"/>
      <c r="AV7" s="3888"/>
      <c r="AW7" s="3888"/>
      <c r="AX7" s="3888"/>
      <c r="AY7" s="3889"/>
      <c r="AZ7" s="3159" t="s">
        <v>28</v>
      </c>
      <c r="BA7" s="3160"/>
      <c r="BB7" s="3160"/>
      <c r="BC7" s="3160"/>
      <c r="BD7" s="3160"/>
      <c r="BE7" s="3857"/>
      <c r="BF7" s="3159" t="s">
        <v>29</v>
      </c>
      <c r="BG7" s="3857"/>
      <c r="BH7" s="3890" t="s">
        <v>30</v>
      </c>
      <c r="BI7" s="3891"/>
      <c r="BJ7" s="3891"/>
      <c r="BK7" s="3891"/>
      <c r="BL7" s="3891"/>
      <c r="BM7" s="3892"/>
      <c r="BN7" s="3852" t="s">
        <v>31</v>
      </c>
      <c r="BO7" s="3175"/>
      <c r="BP7" s="3852" t="s">
        <v>32</v>
      </c>
      <c r="BQ7" s="3175"/>
      <c r="BR7" s="3897" t="s">
        <v>33</v>
      </c>
    </row>
    <row r="8" spans="1:70" s="1220" customFormat="1" ht="95.25" customHeight="1" x14ac:dyDescent="0.2">
      <c r="A8" s="3849"/>
      <c r="B8" s="3849"/>
      <c r="C8" s="3849"/>
      <c r="D8" s="3849"/>
      <c r="E8" s="3849"/>
      <c r="F8" s="3849"/>
      <c r="G8" s="3849"/>
      <c r="H8" s="3849"/>
      <c r="I8" s="3849"/>
      <c r="J8" s="3849"/>
      <c r="K8" s="3849"/>
      <c r="L8" s="3849"/>
      <c r="M8" s="3145"/>
      <c r="N8" s="3147"/>
      <c r="O8" s="3849"/>
      <c r="P8" s="3148"/>
      <c r="Q8" s="3849"/>
      <c r="R8" s="3849"/>
      <c r="S8" s="3849"/>
      <c r="T8" s="3849"/>
      <c r="U8" s="3925"/>
      <c r="V8" s="3136"/>
      <c r="W8" s="3142"/>
      <c r="X8" s="4598"/>
      <c r="Y8" s="3144"/>
      <c r="Z8" s="3148"/>
      <c r="AA8" s="3849"/>
      <c r="AB8" s="3853" t="s">
        <v>34</v>
      </c>
      <c r="AC8" s="3853"/>
      <c r="AD8" s="4566" t="s">
        <v>35</v>
      </c>
      <c r="AE8" s="4566"/>
      <c r="AF8" s="3853" t="s">
        <v>36</v>
      </c>
      <c r="AG8" s="3853"/>
      <c r="AH8" s="3853" t="s">
        <v>37</v>
      </c>
      <c r="AI8" s="3853"/>
      <c r="AJ8" s="3853" t="s">
        <v>131</v>
      </c>
      <c r="AK8" s="3853"/>
      <c r="AL8" s="3853" t="s">
        <v>39</v>
      </c>
      <c r="AM8" s="3853"/>
      <c r="AN8" s="3853" t="s">
        <v>40</v>
      </c>
      <c r="AO8" s="3853"/>
      <c r="AP8" s="3853" t="s">
        <v>41</v>
      </c>
      <c r="AQ8" s="3853"/>
      <c r="AR8" s="3853" t="s">
        <v>42</v>
      </c>
      <c r="AS8" s="3853"/>
      <c r="AT8" s="3853" t="s">
        <v>43</v>
      </c>
      <c r="AU8" s="3853"/>
      <c r="AV8" s="3853" t="s">
        <v>44</v>
      </c>
      <c r="AW8" s="3853"/>
      <c r="AX8" s="3853" t="s">
        <v>45</v>
      </c>
      <c r="AY8" s="3853"/>
      <c r="AZ8" s="3853" t="s">
        <v>46</v>
      </c>
      <c r="BA8" s="3853"/>
      <c r="BB8" s="3853" t="s">
        <v>47</v>
      </c>
      <c r="BC8" s="3853"/>
      <c r="BD8" s="3853" t="s">
        <v>48</v>
      </c>
      <c r="BE8" s="3853"/>
      <c r="BF8" s="3853" t="s">
        <v>29</v>
      </c>
      <c r="BG8" s="3853"/>
      <c r="BH8" s="3861" t="s">
        <v>49</v>
      </c>
      <c r="BI8" s="3625" t="s">
        <v>50</v>
      </c>
      <c r="BJ8" s="3861" t="s">
        <v>51</v>
      </c>
      <c r="BK8" s="3903" t="s">
        <v>52</v>
      </c>
      <c r="BL8" s="3861" t="s">
        <v>53</v>
      </c>
      <c r="BM8" s="3155" t="s">
        <v>54</v>
      </c>
      <c r="BN8" s="3173"/>
      <c r="BO8" s="3174"/>
      <c r="BP8" s="3173"/>
      <c r="BQ8" s="3174"/>
      <c r="BR8" s="3897"/>
    </row>
    <row r="9" spans="1:70" s="1221" customFormat="1" ht="33" customHeight="1" x14ac:dyDescent="0.2">
      <c r="A9" s="3849"/>
      <c r="B9" s="3849"/>
      <c r="C9" s="3849"/>
      <c r="D9" s="3849"/>
      <c r="E9" s="3849"/>
      <c r="F9" s="3849"/>
      <c r="G9" s="3849"/>
      <c r="H9" s="3849"/>
      <c r="I9" s="3849"/>
      <c r="J9" s="3849"/>
      <c r="K9" s="3849"/>
      <c r="L9" s="3849"/>
      <c r="M9" s="118" t="s">
        <v>55</v>
      </c>
      <c r="N9" s="118" t="s">
        <v>56</v>
      </c>
      <c r="O9" s="3849"/>
      <c r="P9" s="3149"/>
      <c r="Q9" s="3849"/>
      <c r="R9" s="3849"/>
      <c r="S9" s="3849"/>
      <c r="T9" s="3849"/>
      <c r="U9" s="3925"/>
      <c r="V9" s="3136"/>
      <c r="W9" s="118" t="s">
        <v>57</v>
      </c>
      <c r="X9" s="118" t="s">
        <v>58</v>
      </c>
      <c r="Y9" s="118" t="s">
        <v>59</v>
      </c>
      <c r="Z9" s="3149"/>
      <c r="AA9" s="3849"/>
      <c r="AB9" s="118" t="s">
        <v>55</v>
      </c>
      <c r="AC9" s="118" t="s">
        <v>56</v>
      </c>
      <c r="AD9" s="118" t="s">
        <v>55</v>
      </c>
      <c r="AE9" s="118" t="s">
        <v>56</v>
      </c>
      <c r="AF9" s="118" t="s">
        <v>55</v>
      </c>
      <c r="AG9" s="118" t="s">
        <v>56</v>
      </c>
      <c r="AH9" s="118" t="s">
        <v>55</v>
      </c>
      <c r="AI9" s="118" t="s">
        <v>56</v>
      </c>
      <c r="AJ9" s="118" t="s">
        <v>55</v>
      </c>
      <c r="AK9" s="118" t="s">
        <v>56</v>
      </c>
      <c r="AL9" s="118" t="s">
        <v>55</v>
      </c>
      <c r="AM9" s="118" t="s">
        <v>56</v>
      </c>
      <c r="AN9" s="118" t="s">
        <v>55</v>
      </c>
      <c r="AO9" s="118" t="s">
        <v>56</v>
      </c>
      <c r="AP9" s="118" t="s">
        <v>55</v>
      </c>
      <c r="AQ9" s="118" t="s">
        <v>56</v>
      </c>
      <c r="AR9" s="118" t="s">
        <v>55</v>
      </c>
      <c r="AS9" s="118" t="s">
        <v>56</v>
      </c>
      <c r="AT9" s="118" t="s">
        <v>55</v>
      </c>
      <c r="AU9" s="118" t="s">
        <v>56</v>
      </c>
      <c r="AV9" s="118" t="s">
        <v>55</v>
      </c>
      <c r="AW9" s="118" t="s">
        <v>56</v>
      </c>
      <c r="AX9" s="118" t="s">
        <v>55</v>
      </c>
      <c r="AY9" s="118" t="s">
        <v>56</v>
      </c>
      <c r="AZ9" s="118" t="s">
        <v>55</v>
      </c>
      <c r="BA9" s="118" t="s">
        <v>56</v>
      </c>
      <c r="BB9" s="118" t="s">
        <v>55</v>
      </c>
      <c r="BC9" s="118" t="s">
        <v>56</v>
      </c>
      <c r="BD9" s="118" t="s">
        <v>55</v>
      </c>
      <c r="BE9" s="118" t="s">
        <v>56</v>
      </c>
      <c r="BF9" s="118" t="s">
        <v>55</v>
      </c>
      <c r="BG9" s="118" t="s">
        <v>56</v>
      </c>
      <c r="BH9" s="3861"/>
      <c r="BI9" s="3625"/>
      <c r="BJ9" s="3861"/>
      <c r="BK9" s="3903"/>
      <c r="BL9" s="3861"/>
      <c r="BM9" s="3156"/>
      <c r="BN9" s="393" t="s">
        <v>55</v>
      </c>
      <c r="BO9" s="393" t="s">
        <v>56</v>
      </c>
      <c r="BP9" s="393" t="s">
        <v>55</v>
      </c>
      <c r="BQ9" s="393" t="s">
        <v>56</v>
      </c>
      <c r="BR9" s="3897"/>
    </row>
    <row r="10" spans="1:70" s="2367" customFormat="1" ht="15.75" x14ac:dyDescent="0.2">
      <c r="A10" s="2356">
        <v>3</v>
      </c>
      <c r="B10" s="2357" t="s">
        <v>1971</v>
      </c>
      <c r="C10" s="2357"/>
      <c r="D10" s="2357"/>
      <c r="E10" s="2357"/>
      <c r="F10" s="2357"/>
      <c r="G10" s="2357"/>
      <c r="H10" s="2357"/>
      <c r="I10" s="2357"/>
      <c r="J10" s="2357"/>
      <c r="K10" s="2358"/>
      <c r="L10" s="2357"/>
      <c r="M10" s="2359"/>
      <c r="N10" s="2360"/>
      <c r="O10" s="2361"/>
      <c r="P10" s="2357"/>
      <c r="Q10" s="2358"/>
      <c r="R10" s="2357"/>
      <c r="S10" s="2361"/>
      <c r="T10" s="2357"/>
      <c r="U10" s="2358"/>
      <c r="V10" s="2358"/>
      <c r="W10" s="2359"/>
      <c r="X10" s="2359"/>
      <c r="Y10" s="2359"/>
      <c r="Z10" s="2361"/>
      <c r="AA10" s="2361"/>
      <c r="AB10" s="2362"/>
      <c r="AC10" s="2363"/>
      <c r="AD10" s="2362"/>
      <c r="AE10" s="2363"/>
      <c r="AF10" s="2363"/>
      <c r="AG10" s="2363"/>
      <c r="AH10" s="2362"/>
      <c r="AI10" s="2363"/>
      <c r="AJ10" s="2362"/>
      <c r="AK10" s="2363"/>
      <c r="AL10" s="2362"/>
      <c r="AM10" s="2363"/>
      <c r="AN10" s="2362"/>
      <c r="AO10" s="2363"/>
      <c r="AP10" s="2364"/>
      <c r="AQ10" s="2363"/>
      <c r="AR10" s="2362"/>
      <c r="AS10" s="2363"/>
      <c r="AT10" s="2363"/>
      <c r="AU10" s="2363"/>
      <c r="AV10" s="2362"/>
      <c r="AW10" s="2363"/>
      <c r="AX10" s="2362"/>
      <c r="AY10" s="2363"/>
      <c r="AZ10" s="2363"/>
      <c r="BA10" s="2363"/>
      <c r="BB10" s="2363"/>
      <c r="BC10" s="2363"/>
      <c r="BD10" s="2363"/>
      <c r="BE10" s="2363"/>
      <c r="BF10" s="2363"/>
      <c r="BG10" s="2363"/>
      <c r="BH10" s="2365"/>
      <c r="BI10" s="2365"/>
      <c r="BJ10" s="2365"/>
      <c r="BK10" s="2365"/>
      <c r="BL10" s="2363"/>
      <c r="BM10" s="2363"/>
      <c r="BN10" s="2357"/>
      <c r="BO10" s="2357"/>
      <c r="BP10" s="2357"/>
      <c r="BQ10" s="2357"/>
      <c r="BR10" s="2366"/>
    </row>
    <row r="11" spans="1:70" ht="15.75" x14ac:dyDescent="0.2">
      <c r="A11" s="1018"/>
      <c r="B11" s="2368"/>
      <c r="C11" s="1026"/>
      <c r="D11" s="2369">
        <v>11</v>
      </c>
      <c r="E11" s="2370" t="s">
        <v>309</v>
      </c>
      <c r="F11" s="2370"/>
      <c r="G11" s="2371"/>
      <c r="H11" s="1034"/>
      <c r="I11" s="1034"/>
      <c r="J11" s="1034"/>
      <c r="K11" s="1034"/>
      <c r="L11" s="1034"/>
      <c r="M11" s="1056"/>
      <c r="N11" s="1056"/>
      <c r="O11" s="1034"/>
      <c r="P11" s="1034"/>
      <c r="Q11" s="1034"/>
      <c r="R11" s="1034"/>
      <c r="S11" s="1034"/>
      <c r="T11" s="1034"/>
      <c r="U11" s="1063"/>
      <c r="V11" s="1034"/>
      <c r="W11" s="1034"/>
      <c r="X11" s="1034"/>
      <c r="Y11" s="1034"/>
      <c r="Z11" s="1034"/>
      <c r="AA11" s="1039"/>
      <c r="AB11" s="1034"/>
      <c r="AC11" s="1034"/>
      <c r="AD11" s="1034"/>
      <c r="AE11" s="1034"/>
      <c r="AF11" s="1034"/>
      <c r="AG11" s="1034"/>
      <c r="AH11" s="1034"/>
      <c r="AI11" s="1034"/>
      <c r="AJ11" s="1034"/>
      <c r="AK11" s="1034"/>
      <c r="AL11" s="1034"/>
      <c r="AM11" s="1034"/>
      <c r="AN11" s="1034"/>
      <c r="AO11" s="1034"/>
      <c r="AP11" s="1034"/>
      <c r="AQ11" s="1034"/>
      <c r="AR11" s="1034"/>
      <c r="AS11" s="1034"/>
      <c r="AT11" s="1034"/>
      <c r="AU11" s="1034"/>
      <c r="AV11" s="1034"/>
      <c r="AW11" s="1034"/>
      <c r="AX11" s="1034"/>
      <c r="AY11" s="1034"/>
      <c r="AZ11" s="1034"/>
      <c r="BA11" s="1034"/>
      <c r="BB11" s="1034"/>
      <c r="BC11" s="1034"/>
      <c r="BD11" s="1034"/>
      <c r="BE11" s="1034"/>
      <c r="BF11" s="1034"/>
      <c r="BG11" s="1034"/>
      <c r="BH11" s="1034"/>
      <c r="BI11" s="1034"/>
      <c r="BJ11" s="1034"/>
      <c r="BK11" s="1034"/>
      <c r="BL11" s="1034"/>
      <c r="BM11" s="1034"/>
      <c r="BN11" s="1034"/>
      <c r="BO11" s="1034"/>
      <c r="BP11" s="1034"/>
      <c r="BQ11" s="1034"/>
      <c r="BR11" s="1040"/>
    </row>
    <row r="12" spans="1:70" ht="15.75" x14ac:dyDescent="0.2">
      <c r="A12" s="1020"/>
      <c r="B12" s="2372"/>
      <c r="C12" s="1019"/>
      <c r="D12" s="2368"/>
      <c r="E12" s="1026"/>
      <c r="F12" s="2373"/>
      <c r="G12" s="2374">
        <v>35</v>
      </c>
      <c r="H12" s="2375" t="s">
        <v>1972</v>
      </c>
      <c r="I12" s="1043"/>
      <c r="J12" s="1044"/>
      <c r="K12" s="1044"/>
      <c r="L12" s="1044"/>
      <c r="M12" s="1058"/>
      <c r="N12" s="1058"/>
      <c r="O12" s="1044"/>
      <c r="P12" s="1044"/>
      <c r="Q12" s="1044"/>
      <c r="R12" s="1044"/>
      <c r="S12" s="1044"/>
      <c r="T12" s="1044"/>
      <c r="U12" s="2376"/>
      <c r="V12" s="1044"/>
      <c r="W12" s="1044"/>
      <c r="X12" s="1044"/>
      <c r="Y12" s="1044"/>
      <c r="Z12" s="1044"/>
      <c r="AA12" s="1048"/>
      <c r="AB12" s="1044"/>
      <c r="AC12" s="1044"/>
      <c r="AD12" s="1044"/>
      <c r="AE12" s="1044"/>
      <c r="AF12" s="1044"/>
      <c r="AG12" s="1044"/>
      <c r="AH12" s="1044"/>
      <c r="AI12" s="1044"/>
      <c r="AJ12" s="1044"/>
      <c r="AK12" s="1044"/>
      <c r="AL12" s="1044"/>
      <c r="AM12" s="1044"/>
      <c r="AN12" s="1044"/>
      <c r="AO12" s="1044"/>
      <c r="AP12" s="1044"/>
      <c r="AQ12" s="1044"/>
      <c r="AR12" s="1044"/>
      <c r="AS12" s="1044"/>
      <c r="AT12" s="1044"/>
      <c r="AU12" s="1044"/>
      <c r="AV12" s="1044"/>
      <c r="AW12" s="1044"/>
      <c r="AX12" s="1044"/>
      <c r="AY12" s="1044"/>
      <c r="AZ12" s="1044"/>
      <c r="BA12" s="1044"/>
      <c r="BB12" s="1044"/>
      <c r="BC12" s="1044"/>
      <c r="BD12" s="1044"/>
      <c r="BE12" s="1044"/>
      <c r="BF12" s="1044"/>
      <c r="BG12" s="1044"/>
      <c r="BH12" s="1044"/>
      <c r="BI12" s="1044"/>
      <c r="BJ12" s="1044"/>
      <c r="BK12" s="1044"/>
      <c r="BL12" s="1044"/>
      <c r="BM12" s="1044"/>
      <c r="BN12" s="1044"/>
      <c r="BO12" s="1044"/>
      <c r="BP12" s="1044"/>
      <c r="BQ12" s="1044"/>
      <c r="BR12" s="1043"/>
    </row>
    <row r="13" spans="1:70" ht="69" customHeight="1" x14ac:dyDescent="0.2">
      <c r="A13" s="2377"/>
      <c r="B13" s="2378"/>
      <c r="C13" s="2379"/>
      <c r="D13" s="2380"/>
      <c r="E13" s="2380"/>
      <c r="F13" s="2379"/>
      <c r="G13" s="2381"/>
      <c r="H13" s="2382"/>
      <c r="I13" s="2383"/>
      <c r="J13" s="4599">
        <v>127</v>
      </c>
      <c r="K13" s="4602" t="s">
        <v>1973</v>
      </c>
      <c r="L13" s="4605" t="s">
        <v>1974</v>
      </c>
      <c r="M13" s="3190">
        <v>1</v>
      </c>
      <c r="N13" s="3190">
        <v>0.3</v>
      </c>
      <c r="O13" s="4605" t="s">
        <v>1975</v>
      </c>
      <c r="P13" s="4605" t="s">
        <v>1976</v>
      </c>
      <c r="Q13" s="4602" t="s">
        <v>1977</v>
      </c>
      <c r="R13" s="4611">
        <f>+(W13+W14+W15+W16+W17+W18+W19)/$S$13</f>
        <v>0.22222222222222221</v>
      </c>
      <c r="S13" s="4614">
        <v>126000000</v>
      </c>
      <c r="T13" s="4617" t="s">
        <v>1978</v>
      </c>
      <c r="U13" s="4602" t="s">
        <v>1979</v>
      </c>
      <c r="V13" s="2384" t="s">
        <v>1980</v>
      </c>
      <c r="W13" s="992">
        <v>4000000</v>
      </c>
      <c r="X13" s="1050">
        <v>4000000</v>
      </c>
      <c r="Y13" s="1050">
        <v>1073000</v>
      </c>
      <c r="Z13" s="2385">
        <v>61</v>
      </c>
      <c r="AA13" s="2386" t="s">
        <v>1981</v>
      </c>
      <c r="AB13" s="4608" t="str">
        <f>+'[3]SGTO PLAN DE ACCION'!AB13:AB29</f>
        <v>N/A</v>
      </c>
      <c r="AC13" s="4608" t="str">
        <f>+'[3]SGTO PLAN DE ACCION'!AC13:AC29</f>
        <v>N/A</v>
      </c>
      <c r="AD13" s="4608" t="str">
        <f>+'[3]SGTO PLAN DE ACCION'!AD13:AD29</f>
        <v>N/A</v>
      </c>
      <c r="AE13" s="4608" t="str">
        <f>+'[3]SGTO PLAN DE ACCION'!AE13:AE29</f>
        <v>N/A</v>
      </c>
      <c r="AF13" s="4608">
        <f>+'[3]SGTO PLAN DE ACCION'!AF13:AF29</f>
        <v>64149</v>
      </c>
      <c r="AG13" s="4608">
        <f>+'[3]SGTO PLAN DE ACCION'!AG13:AG29</f>
        <v>41055.360000000001</v>
      </c>
      <c r="AH13" s="4608" t="str">
        <f>+'[3]SGTO PLAN DE ACCION'!AH13:AH29</f>
        <v>N/A</v>
      </c>
      <c r="AI13" s="4608" t="str">
        <f>+'[3]SGTO PLAN DE ACCION'!AI13:AI29</f>
        <v>N/A</v>
      </c>
      <c r="AJ13" s="4608" t="str">
        <f>+'[3]SGTO PLAN DE ACCION'!AJ13:AJ29</f>
        <v>N/A</v>
      </c>
      <c r="AK13" s="4608" t="str">
        <f>+'[3]SGTO PLAN DE ACCION'!AK13:AK29</f>
        <v>N/A</v>
      </c>
      <c r="AL13" s="4608" t="str">
        <f>+'[3]SGTO PLAN DE ACCION'!AL13:AL29</f>
        <v>N/A</v>
      </c>
      <c r="AM13" s="4608" t="str">
        <f>+'[3]SGTO PLAN DE ACCION'!AM13:AM29</f>
        <v>N/A</v>
      </c>
      <c r="AN13" s="4608" t="str">
        <f>+'[3]SGTO PLAN DE ACCION'!AN13:AN29</f>
        <v>N/A</v>
      </c>
      <c r="AO13" s="4608" t="str">
        <f>+'[3]SGTO PLAN DE ACCION'!AO13:AO29</f>
        <v>N/A</v>
      </c>
      <c r="AP13" s="4608" t="str">
        <f>+'[3]SGTO PLAN DE ACCION'!AP13:AP29</f>
        <v>N/A</v>
      </c>
      <c r="AQ13" s="4608" t="str">
        <f>+'[3]SGTO PLAN DE ACCION'!AQ13:AQ29</f>
        <v>N/A</v>
      </c>
      <c r="AR13" s="4608" t="str">
        <f>+'[3]SGTO PLAN DE ACCION'!AR13:AR29</f>
        <v>N/A</v>
      </c>
      <c r="AS13" s="4608" t="str">
        <f>+'[3]SGTO PLAN DE ACCION'!AS13:AS29</f>
        <v>N/A</v>
      </c>
      <c r="AT13" s="4608" t="str">
        <f>+'[3]SGTO PLAN DE ACCION'!AT13:AT29</f>
        <v>N/A</v>
      </c>
      <c r="AU13" s="4608" t="str">
        <f>+'[3]SGTO PLAN DE ACCION'!AU13:AU29</f>
        <v>N/A</v>
      </c>
      <c r="AV13" s="4608" t="str">
        <f>+'[3]SGTO PLAN DE ACCION'!AV13:AV29</f>
        <v>N/A</v>
      </c>
      <c r="AW13" s="4608" t="str">
        <f>+'[3]SGTO PLAN DE ACCION'!AW13:AW29</f>
        <v>N/A</v>
      </c>
      <c r="AX13" s="4608" t="str">
        <f>+'[3]SGTO PLAN DE ACCION'!AX13:AX29</f>
        <v>N/A</v>
      </c>
      <c r="AY13" s="4608" t="str">
        <f>+'[3]SGTO PLAN DE ACCION'!AY13:AY29</f>
        <v>N/A</v>
      </c>
      <c r="AZ13" s="4608" t="str">
        <f>+'[3]SGTO PLAN DE ACCION'!AZ13:AZ29</f>
        <v>N/A</v>
      </c>
      <c r="BA13" s="4608" t="str">
        <f>+'[3]SGTO PLAN DE ACCION'!BA13:BA29</f>
        <v>N/A</v>
      </c>
      <c r="BB13" s="4608" t="str">
        <f>+'[3]SGTO PLAN DE ACCION'!BB13:BB29</f>
        <v>N/A</v>
      </c>
      <c r="BC13" s="4608" t="str">
        <f>+'[3]SGTO PLAN DE ACCION'!BC13:BC29</f>
        <v>N/A</v>
      </c>
      <c r="BD13" s="4608" t="str">
        <f>+'[3]SGTO PLAN DE ACCION'!BD13:BD29</f>
        <v>N/A</v>
      </c>
      <c r="BE13" s="4608" t="str">
        <f>+'[3]SGTO PLAN DE ACCION'!BE13:BE29</f>
        <v>N/A</v>
      </c>
      <c r="BF13" s="4608" t="str">
        <f>+'[3]SGTO PLAN DE ACCION'!BF13:BF29</f>
        <v>N/A</v>
      </c>
      <c r="BG13" s="4608" t="str">
        <f>+'[3]SGTO PLAN DE ACCION'!BG13:BG29</f>
        <v>N/A</v>
      </c>
      <c r="BH13" s="3190">
        <v>10</v>
      </c>
      <c r="BI13" s="3205">
        <f>SUM(X13:X31)</f>
        <v>105670000</v>
      </c>
      <c r="BJ13" s="3205">
        <f>SUM(Y13:Y31)</f>
        <v>19014000</v>
      </c>
      <c r="BK13" s="3199">
        <f>+BJ13/BI13</f>
        <v>0.17993754140247942</v>
      </c>
      <c r="BL13" s="3190">
        <v>61</v>
      </c>
      <c r="BM13" s="4620" t="s">
        <v>1982</v>
      </c>
      <c r="BN13" s="4623">
        <v>43466</v>
      </c>
      <c r="BO13" s="4623">
        <v>43467</v>
      </c>
      <c r="BP13" s="4623">
        <v>43830</v>
      </c>
      <c r="BQ13" s="4623">
        <v>43830</v>
      </c>
      <c r="BR13" s="4620" t="s">
        <v>1983</v>
      </c>
    </row>
    <row r="14" spans="1:70" ht="90" customHeight="1" x14ac:dyDescent="0.2">
      <c r="A14" s="2377"/>
      <c r="B14" s="2378"/>
      <c r="C14" s="2379"/>
      <c r="D14" s="2380"/>
      <c r="E14" s="2380"/>
      <c r="F14" s="2379"/>
      <c r="G14" s="2377"/>
      <c r="H14" s="2380"/>
      <c r="I14" s="2379"/>
      <c r="J14" s="4600"/>
      <c r="K14" s="4603"/>
      <c r="L14" s="4606"/>
      <c r="M14" s="3191"/>
      <c r="N14" s="3191"/>
      <c r="O14" s="4606"/>
      <c r="P14" s="4606"/>
      <c r="Q14" s="4603"/>
      <c r="R14" s="4612"/>
      <c r="S14" s="4615"/>
      <c r="T14" s="4618"/>
      <c r="U14" s="4603"/>
      <c r="V14" s="2384" t="s">
        <v>1984</v>
      </c>
      <c r="W14" s="992">
        <v>4000000</v>
      </c>
      <c r="X14" s="1050">
        <v>4000000</v>
      </c>
      <c r="Y14" s="1050">
        <v>1073000</v>
      </c>
      <c r="Z14" s="2385">
        <v>61</v>
      </c>
      <c r="AA14" s="2386" t="s">
        <v>1981</v>
      </c>
      <c r="AB14" s="4609"/>
      <c r="AC14" s="4609"/>
      <c r="AD14" s="4609"/>
      <c r="AE14" s="4609"/>
      <c r="AF14" s="4609"/>
      <c r="AG14" s="4609"/>
      <c r="AH14" s="4609"/>
      <c r="AI14" s="4609"/>
      <c r="AJ14" s="4609"/>
      <c r="AK14" s="4609"/>
      <c r="AL14" s="4609"/>
      <c r="AM14" s="4609"/>
      <c r="AN14" s="4609"/>
      <c r="AO14" s="4609"/>
      <c r="AP14" s="4609"/>
      <c r="AQ14" s="4609"/>
      <c r="AR14" s="4609"/>
      <c r="AS14" s="4609"/>
      <c r="AT14" s="4609"/>
      <c r="AU14" s="4609"/>
      <c r="AV14" s="4609"/>
      <c r="AW14" s="4609"/>
      <c r="AX14" s="4609"/>
      <c r="AY14" s="4609"/>
      <c r="AZ14" s="4609"/>
      <c r="BA14" s="4609"/>
      <c r="BB14" s="4609"/>
      <c r="BC14" s="4609"/>
      <c r="BD14" s="4609"/>
      <c r="BE14" s="4609"/>
      <c r="BF14" s="4609"/>
      <c r="BG14" s="4609"/>
      <c r="BH14" s="3191"/>
      <c r="BI14" s="3206"/>
      <c r="BJ14" s="3206"/>
      <c r="BK14" s="3200"/>
      <c r="BL14" s="3191"/>
      <c r="BM14" s="4621"/>
      <c r="BN14" s="4624"/>
      <c r="BO14" s="4624"/>
      <c r="BP14" s="4624"/>
      <c r="BQ14" s="4624"/>
      <c r="BR14" s="4621"/>
    </row>
    <row r="15" spans="1:70" ht="47.25" customHeight="1" x14ac:dyDescent="0.2">
      <c r="A15" s="2377"/>
      <c r="B15" s="2378"/>
      <c r="C15" s="2379"/>
      <c r="D15" s="2380"/>
      <c r="E15" s="2380"/>
      <c r="F15" s="2379"/>
      <c r="G15" s="2377"/>
      <c r="H15" s="2380"/>
      <c r="I15" s="2379"/>
      <c r="J15" s="4600"/>
      <c r="K15" s="4603"/>
      <c r="L15" s="4606"/>
      <c r="M15" s="3191"/>
      <c r="N15" s="3191"/>
      <c r="O15" s="4606"/>
      <c r="P15" s="4606"/>
      <c r="Q15" s="4603"/>
      <c r="R15" s="4612"/>
      <c r="S15" s="4615"/>
      <c r="T15" s="4618"/>
      <c r="U15" s="4603"/>
      <c r="V15" s="2384" t="s">
        <v>1985</v>
      </c>
      <c r="W15" s="992">
        <v>4000000</v>
      </c>
      <c r="X15" s="1050">
        <v>4000000</v>
      </c>
      <c r="Y15" s="1050">
        <v>1073000</v>
      </c>
      <c r="Z15" s="2385">
        <v>61</v>
      </c>
      <c r="AA15" s="2386" t="s">
        <v>1981</v>
      </c>
      <c r="AB15" s="4609"/>
      <c r="AC15" s="4609"/>
      <c r="AD15" s="4609"/>
      <c r="AE15" s="4609"/>
      <c r="AF15" s="4609"/>
      <c r="AG15" s="4609"/>
      <c r="AH15" s="4609"/>
      <c r="AI15" s="4609"/>
      <c r="AJ15" s="4609"/>
      <c r="AK15" s="4609"/>
      <c r="AL15" s="4609"/>
      <c r="AM15" s="4609"/>
      <c r="AN15" s="4609"/>
      <c r="AO15" s="4609"/>
      <c r="AP15" s="4609"/>
      <c r="AQ15" s="4609"/>
      <c r="AR15" s="4609"/>
      <c r="AS15" s="4609"/>
      <c r="AT15" s="4609"/>
      <c r="AU15" s="4609"/>
      <c r="AV15" s="4609"/>
      <c r="AW15" s="4609"/>
      <c r="AX15" s="4609"/>
      <c r="AY15" s="4609"/>
      <c r="AZ15" s="4609"/>
      <c r="BA15" s="4609"/>
      <c r="BB15" s="4609"/>
      <c r="BC15" s="4609"/>
      <c r="BD15" s="4609"/>
      <c r="BE15" s="4609"/>
      <c r="BF15" s="4609"/>
      <c r="BG15" s="4609"/>
      <c r="BH15" s="3191"/>
      <c r="BI15" s="3206"/>
      <c r="BJ15" s="3206"/>
      <c r="BK15" s="3200"/>
      <c r="BL15" s="3191"/>
      <c r="BM15" s="4621"/>
      <c r="BN15" s="4624"/>
      <c r="BO15" s="4624"/>
      <c r="BP15" s="4624"/>
      <c r="BQ15" s="4624"/>
      <c r="BR15" s="4621"/>
    </row>
    <row r="16" spans="1:70" ht="62.25" customHeight="1" x14ac:dyDescent="0.2">
      <c r="A16" s="2377"/>
      <c r="B16" s="2378"/>
      <c r="C16" s="2379"/>
      <c r="D16" s="2380"/>
      <c r="E16" s="2380"/>
      <c r="F16" s="2379"/>
      <c r="G16" s="2377"/>
      <c r="H16" s="2380"/>
      <c r="I16" s="2379"/>
      <c r="J16" s="4600"/>
      <c r="K16" s="4603"/>
      <c r="L16" s="4606"/>
      <c r="M16" s="3191"/>
      <c r="N16" s="3191"/>
      <c r="O16" s="4606"/>
      <c r="P16" s="4606"/>
      <c r="Q16" s="4603"/>
      <c r="R16" s="4612"/>
      <c r="S16" s="4615"/>
      <c r="T16" s="4618"/>
      <c r="U16" s="4603"/>
      <c r="V16" s="2384" t="s">
        <v>1986</v>
      </c>
      <c r="W16" s="992">
        <v>1000000</v>
      </c>
      <c r="X16" s="1052">
        <v>1000000</v>
      </c>
      <c r="Y16" s="1052">
        <v>600000</v>
      </c>
      <c r="Z16" s="2385">
        <v>61</v>
      </c>
      <c r="AA16" s="2386" t="s">
        <v>1981</v>
      </c>
      <c r="AB16" s="4609"/>
      <c r="AC16" s="4609"/>
      <c r="AD16" s="4609"/>
      <c r="AE16" s="4609"/>
      <c r="AF16" s="4609"/>
      <c r="AG16" s="4609"/>
      <c r="AH16" s="4609"/>
      <c r="AI16" s="4609"/>
      <c r="AJ16" s="4609"/>
      <c r="AK16" s="4609"/>
      <c r="AL16" s="4609"/>
      <c r="AM16" s="4609"/>
      <c r="AN16" s="4609"/>
      <c r="AO16" s="4609"/>
      <c r="AP16" s="4609"/>
      <c r="AQ16" s="4609"/>
      <c r="AR16" s="4609"/>
      <c r="AS16" s="4609"/>
      <c r="AT16" s="4609"/>
      <c r="AU16" s="4609"/>
      <c r="AV16" s="4609"/>
      <c r="AW16" s="4609"/>
      <c r="AX16" s="4609"/>
      <c r="AY16" s="4609"/>
      <c r="AZ16" s="4609"/>
      <c r="BA16" s="4609"/>
      <c r="BB16" s="4609"/>
      <c r="BC16" s="4609"/>
      <c r="BD16" s="4609"/>
      <c r="BE16" s="4609"/>
      <c r="BF16" s="4609"/>
      <c r="BG16" s="4609"/>
      <c r="BH16" s="3191"/>
      <c r="BI16" s="3206"/>
      <c r="BJ16" s="3206"/>
      <c r="BK16" s="3200"/>
      <c r="BL16" s="3191"/>
      <c r="BM16" s="4621"/>
      <c r="BN16" s="4624"/>
      <c r="BO16" s="4624"/>
      <c r="BP16" s="4624"/>
      <c r="BQ16" s="4624"/>
      <c r="BR16" s="4621"/>
    </row>
    <row r="17" spans="1:70" ht="87.75" customHeight="1" x14ac:dyDescent="0.2">
      <c r="A17" s="2377"/>
      <c r="B17" s="2378"/>
      <c r="C17" s="2379"/>
      <c r="D17" s="2380"/>
      <c r="E17" s="2380"/>
      <c r="F17" s="2379"/>
      <c r="G17" s="2377"/>
      <c r="H17" s="2380"/>
      <c r="I17" s="2379"/>
      <c r="J17" s="4600"/>
      <c r="K17" s="4603"/>
      <c r="L17" s="4606"/>
      <c r="M17" s="3191"/>
      <c r="N17" s="3191"/>
      <c r="O17" s="4606"/>
      <c r="P17" s="4606"/>
      <c r="Q17" s="4603"/>
      <c r="R17" s="4612"/>
      <c r="S17" s="4615"/>
      <c r="T17" s="4618"/>
      <c r="U17" s="4603"/>
      <c r="V17" s="2384" t="s">
        <v>1987</v>
      </c>
      <c r="W17" s="992">
        <v>4000000</v>
      </c>
      <c r="X17" s="1052">
        <v>4000000</v>
      </c>
      <c r="Y17" s="1052">
        <v>1073000</v>
      </c>
      <c r="Z17" s="2385">
        <v>61</v>
      </c>
      <c r="AA17" s="2386" t="s">
        <v>1981</v>
      </c>
      <c r="AB17" s="4609"/>
      <c r="AC17" s="4609"/>
      <c r="AD17" s="4609"/>
      <c r="AE17" s="4609"/>
      <c r="AF17" s="4609"/>
      <c r="AG17" s="4609"/>
      <c r="AH17" s="4609"/>
      <c r="AI17" s="4609"/>
      <c r="AJ17" s="4609"/>
      <c r="AK17" s="4609"/>
      <c r="AL17" s="4609"/>
      <c r="AM17" s="4609"/>
      <c r="AN17" s="4609"/>
      <c r="AO17" s="4609"/>
      <c r="AP17" s="4609"/>
      <c r="AQ17" s="4609"/>
      <c r="AR17" s="4609"/>
      <c r="AS17" s="4609"/>
      <c r="AT17" s="4609"/>
      <c r="AU17" s="4609"/>
      <c r="AV17" s="4609"/>
      <c r="AW17" s="4609"/>
      <c r="AX17" s="4609"/>
      <c r="AY17" s="4609"/>
      <c r="AZ17" s="4609"/>
      <c r="BA17" s="4609"/>
      <c r="BB17" s="4609"/>
      <c r="BC17" s="4609"/>
      <c r="BD17" s="4609"/>
      <c r="BE17" s="4609"/>
      <c r="BF17" s="4609"/>
      <c r="BG17" s="4609"/>
      <c r="BH17" s="3191"/>
      <c r="BI17" s="3206"/>
      <c r="BJ17" s="3206"/>
      <c r="BK17" s="3200"/>
      <c r="BL17" s="3191"/>
      <c r="BM17" s="4621"/>
      <c r="BN17" s="4624"/>
      <c r="BO17" s="4624"/>
      <c r="BP17" s="4624"/>
      <c r="BQ17" s="4624"/>
      <c r="BR17" s="4621"/>
    </row>
    <row r="18" spans="1:70" ht="45" x14ac:dyDescent="0.2">
      <c r="A18" s="2377"/>
      <c r="B18" s="2378"/>
      <c r="C18" s="2379"/>
      <c r="D18" s="2380"/>
      <c r="E18" s="2380"/>
      <c r="F18" s="2379"/>
      <c r="G18" s="2377"/>
      <c r="H18" s="2380"/>
      <c r="I18" s="2379"/>
      <c r="J18" s="4600"/>
      <c r="K18" s="4603"/>
      <c r="L18" s="4606"/>
      <c r="M18" s="3191"/>
      <c r="N18" s="3191"/>
      <c r="O18" s="4606"/>
      <c r="P18" s="4606"/>
      <c r="Q18" s="4603"/>
      <c r="R18" s="4612"/>
      <c r="S18" s="4615"/>
      <c r="T18" s="4618"/>
      <c r="U18" s="4603"/>
      <c r="V18" s="2384" t="s">
        <v>1988</v>
      </c>
      <c r="W18" s="992">
        <v>7000000</v>
      </c>
      <c r="X18" s="1052">
        <v>7000000</v>
      </c>
      <c r="Y18" s="1052">
        <v>1073000</v>
      </c>
      <c r="Z18" s="2385">
        <v>61</v>
      </c>
      <c r="AA18" s="2386" t="s">
        <v>1981</v>
      </c>
      <c r="AB18" s="4609"/>
      <c r="AC18" s="4609"/>
      <c r="AD18" s="4609"/>
      <c r="AE18" s="4609"/>
      <c r="AF18" s="4609"/>
      <c r="AG18" s="4609"/>
      <c r="AH18" s="4609"/>
      <c r="AI18" s="4609"/>
      <c r="AJ18" s="4609"/>
      <c r="AK18" s="4609"/>
      <c r="AL18" s="4609"/>
      <c r="AM18" s="4609"/>
      <c r="AN18" s="4609"/>
      <c r="AO18" s="4609"/>
      <c r="AP18" s="4609"/>
      <c r="AQ18" s="4609"/>
      <c r="AR18" s="4609"/>
      <c r="AS18" s="4609"/>
      <c r="AT18" s="4609"/>
      <c r="AU18" s="4609"/>
      <c r="AV18" s="4609"/>
      <c r="AW18" s="4609"/>
      <c r="AX18" s="4609"/>
      <c r="AY18" s="4609"/>
      <c r="AZ18" s="4609"/>
      <c r="BA18" s="4609"/>
      <c r="BB18" s="4609"/>
      <c r="BC18" s="4609"/>
      <c r="BD18" s="4609"/>
      <c r="BE18" s="4609"/>
      <c r="BF18" s="4609"/>
      <c r="BG18" s="4609"/>
      <c r="BH18" s="3191"/>
      <c r="BI18" s="3206"/>
      <c r="BJ18" s="3206"/>
      <c r="BK18" s="3200"/>
      <c r="BL18" s="3191"/>
      <c r="BM18" s="4621"/>
      <c r="BN18" s="4624"/>
      <c r="BO18" s="4624"/>
      <c r="BP18" s="4624"/>
      <c r="BQ18" s="4624"/>
      <c r="BR18" s="4621"/>
    </row>
    <row r="19" spans="1:70" ht="45" x14ac:dyDescent="0.2">
      <c r="A19" s="2377"/>
      <c r="B19" s="2378"/>
      <c r="C19" s="2379"/>
      <c r="D19" s="2380"/>
      <c r="E19" s="2380"/>
      <c r="F19" s="2379"/>
      <c r="G19" s="2377"/>
      <c r="H19" s="2380"/>
      <c r="I19" s="2379"/>
      <c r="J19" s="4601"/>
      <c r="K19" s="4604"/>
      <c r="L19" s="4607"/>
      <c r="M19" s="3192"/>
      <c r="N19" s="3192"/>
      <c r="O19" s="4606"/>
      <c r="P19" s="4606"/>
      <c r="Q19" s="4603"/>
      <c r="R19" s="4613"/>
      <c r="S19" s="4615"/>
      <c r="T19" s="4618"/>
      <c r="U19" s="4604"/>
      <c r="V19" s="2384" t="s">
        <v>1989</v>
      </c>
      <c r="W19" s="992">
        <v>4000000</v>
      </c>
      <c r="X19" s="1052">
        <v>4000000</v>
      </c>
      <c r="Y19" s="1052">
        <v>1073000</v>
      </c>
      <c r="Z19" s="2385">
        <v>61</v>
      </c>
      <c r="AA19" s="2386" t="s">
        <v>1981</v>
      </c>
      <c r="AB19" s="4609"/>
      <c r="AC19" s="4609"/>
      <c r="AD19" s="4609"/>
      <c r="AE19" s="4609"/>
      <c r="AF19" s="4609"/>
      <c r="AG19" s="4609"/>
      <c r="AH19" s="4609"/>
      <c r="AI19" s="4609"/>
      <c r="AJ19" s="4609"/>
      <c r="AK19" s="4609"/>
      <c r="AL19" s="4609"/>
      <c r="AM19" s="4609"/>
      <c r="AN19" s="4609"/>
      <c r="AO19" s="4609"/>
      <c r="AP19" s="4609"/>
      <c r="AQ19" s="4609"/>
      <c r="AR19" s="4609"/>
      <c r="AS19" s="4609"/>
      <c r="AT19" s="4609"/>
      <c r="AU19" s="4609"/>
      <c r="AV19" s="4609"/>
      <c r="AW19" s="4609"/>
      <c r="AX19" s="4609"/>
      <c r="AY19" s="4609"/>
      <c r="AZ19" s="4609"/>
      <c r="BA19" s="4609"/>
      <c r="BB19" s="4609"/>
      <c r="BC19" s="4609"/>
      <c r="BD19" s="4609"/>
      <c r="BE19" s="4609"/>
      <c r="BF19" s="4609"/>
      <c r="BG19" s="4609"/>
      <c r="BH19" s="3191"/>
      <c r="BI19" s="3206"/>
      <c r="BJ19" s="3206"/>
      <c r="BK19" s="3200"/>
      <c r="BL19" s="3191"/>
      <c r="BM19" s="4621"/>
      <c r="BN19" s="4624"/>
      <c r="BO19" s="4624"/>
      <c r="BP19" s="4624"/>
      <c r="BQ19" s="4624"/>
      <c r="BR19" s="4621"/>
    </row>
    <row r="20" spans="1:70" ht="60" x14ac:dyDescent="0.2">
      <c r="A20" s="2377"/>
      <c r="B20" s="2378"/>
      <c r="C20" s="2379"/>
      <c r="D20" s="2380"/>
      <c r="E20" s="2380"/>
      <c r="F20" s="2379"/>
      <c r="G20" s="2377"/>
      <c r="H20" s="2380"/>
      <c r="I20" s="2379"/>
      <c r="J20" s="4599">
        <v>128</v>
      </c>
      <c r="K20" s="4602" t="s">
        <v>1990</v>
      </c>
      <c r="L20" s="4605" t="s">
        <v>1974</v>
      </c>
      <c r="M20" s="3190">
        <v>1</v>
      </c>
      <c r="N20" s="3190">
        <v>0.3</v>
      </c>
      <c r="O20" s="4606"/>
      <c r="P20" s="4606"/>
      <c r="Q20" s="4603"/>
      <c r="R20" s="4611">
        <f>+(W20+W21+W22+W23+W24)/S13</f>
        <v>0.22222222222222221</v>
      </c>
      <c r="S20" s="4615"/>
      <c r="T20" s="4618"/>
      <c r="U20" s="4602" t="s">
        <v>1991</v>
      </c>
      <c r="V20" s="2384" t="s">
        <v>1992</v>
      </c>
      <c r="W20" s="992">
        <v>5600000</v>
      </c>
      <c r="X20" s="1052">
        <v>4589000</v>
      </c>
      <c r="Y20" s="1052">
        <v>917800</v>
      </c>
      <c r="Z20" s="2385">
        <v>61</v>
      </c>
      <c r="AA20" s="2386" t="s">
        <v>1981</v>
      </c>
      <c r="AB20" s="4609"/>
      <c r="AC20" s="4609"/>
      <c r="AD20" s="4609"/>
      <c r="AE20" s="4609"/>
      <c r="AF20" s="4609"/>
      <c r="AG20" s="4609"/>
      <c r="AH20" s="4609"/>
      <c r="AI20" s="4609"/>
      <c r="AJ20" s="4609"/>
      <c r="AK20" s="4609"/>
      <c r="AL20" s="4609"/>
      <c r="AM20" s="4609"/>
      <c r="AN20" s="4609"/>
      <c r="AO20" s="4609"/>
      <c r="AP20" s="4609"/>
      <c r="AQ20" s="4609"/>
      <c r="AR20" s="4609"/>
      <c r="AS20" s="4609"/>
      <c r="AT20" s="4609"/>
      <c r="AU20" s="4609"/>
      <c r="AV20" s="4609"/>
      <c r="AW20" s="4609"/>
      <c r="AX20" s="4609"/>
      <c r="AY20" s="4609"/>
      <c r="AZ20" s="4609"/>
      <c r="BA20" s="4609"/>
      <c r="BB20" s="4609"/>
      <c r="BC20" s="4609"/>
      <c r="BD20" s="4609"/>
      <c r="BE20" s="4609"/>
      <c r="BF20" s="4609"/>
      <c r="BG20" s="4609"/>
      <c r="BH20" s="3191"/>
      <c r="BI20" s="3206"/>
      <c r="BJ20" s="3206"/>
      <c r="BK20" s="3200"/>
      <c r="BL20" s="3191"/>
      <c r="BM20" s="4621"/>
      <c r="BN20" s="4624"/>
      <c r="BO20" s="4624"/>
      <c r="BP20" s="4624"/>
      <c r="BQ20" s="4624"/>
      <c r="BR20" s="4621"/>
    </row>
    <row r="21" spans="1:70" ht="87.75" customHeight="1" x14ac:dyDescent="0.2">
      <c r="A21" s="2377"/>
      <c r="B21" s="2378"/>
      <c r="C21" s="2379"/>
      <c r="D21" s="2380"/>
      <c r="E21" s="2380"/>
      <c r="F21" s="2379"/>
      <c r="G21" s="2377"/>
      <c r="H21" s="2380"/>
      <c r="I21" s="2379"/>
      <c r="J21" s="4600"/>
      <c r="K21" s="4603"/>
      <c r="L21" s="4606"/>
      <c r="M21" s="3191"/>
      <c r="N21" s="3191"/>
      <c r="O21" s="4606"/>
      <c r="P21" s="4606"/>
      <c r="Q21" s="4603"/>
      <c r="R21" s="4612"/>
      <c r="S21" s="4615"/>
      <c r="T21" s="4618"/>
      <c r="U21" s="4603"/>
      <c r="V21" s="2384" t="s">
        <v>1993</v>
      </c>
      <c r="W21" s="992">
        <v>5600000</v>
      </c>
      <c r="X21" s="1052">
        <v>4589000</v>
      </c>
      <c r="Y21" s="1052">
        <v>917800</v>
      </c>
      <c r="Z21" s="2385">
        <v>61</v>
      </c>
      <c r="AA21" s="2386" t="s">
        <v>1981</v>
      </c>
      <c r="AB21" s="4609"/>
      <c r="AC21" s="4609"/>
      <c r="AD21" s="4609"/>
      <c r="AE21" s="4609"/>
      <c r="AF21" s="4609"/>
      <c r="AG21" s="4609"/>
      <c r="AH21" s="4609"/>
      <c r="AI21" s="4609"/>
      <c r="AJ21" s="4609"/>
      <c r="AK21" s="4609"/>
      <c r="AL21" s="4609"/>
      <c r="AM21" s="4609"/>
      <c r="AN21" s="4609"/>
      <c r="AO21" s="4609"/>
      <c r="AP21" s="4609"/>
      <c r="AQ21" s="4609"/>
      <c r="AR21" s="4609"/>
      <c r="AS21" s="4609"/>
      <c r="AT21" s="4609"/>
      <c r="AU21" s="4609"/>
      <c r="AV21" s="4609"/>
      <c r="AW21" s="4609"/>
      <c r="AX21" s="4609"/>
      <c r="AY21" s="4609"/>
      <c r="AZ21" s="4609"/>
      <c r="BA21" s="4609"/>
      <c r="BB21" s="4609"/>
      <c r="BC21" s="4609"/>
      <c r="BD21" s="4609"/>
      <c r="BE21" s="4609"/>
      <c r="BF21" s="4609"/>
      <c r="BG21" s="4609"/>
      <c r="BH21" s="3191"/>
      <c r="BI21" s="3206"/>
      <c r="BJ21" s="3206"/>
      <c r="BK21" s="3200"/>
      <c r="BL21" s="3191"/>
      <c r="BM21" s="4621"/>
      <c r="BN21" s="4624"/>
      <c r="BO21" s="4624"/>
      <c r="BP21" s="4624"/>
      <c r="BQ21" s="4624"/>
      <c r="BR21" s="4621"/>
    </row>
    <row r="22" spans="1:70" ht="69" customHeight="1" x14ac:dyDescent="0.2">
      <c r="A22" s="2377"/>
      <c r="B22" s="2378"/>
      <c r="C22" s="2379"/>
      <c r="D22" s="2380"/>
      <c r="E22" s="2380"/>
      <c r="F22" s="2379"/>
      <c r="G22" s="2377"/>
      <c r="H22" s="2380"/>
      <c r="I22" s="2379"/>
      <c r="J22" s="4600"/>
      <c r="K22" s="4603"/>
      <c r="L22" s="4606"/>
      <c r="M22" s="3191"/>
      <c r="N22" s="3191"/>
      <c r="O22" s="4606"/>
      <c r="P22" s="4606"/>
      <c r="Q22" s="4603"/>
      <c r="R22" s="4612"/>
      <c r="S22" s="4615"/>
      <c r="T22" s="4618"/>
      <c r="U22" s="4603"/>
      <c r="V22" s="2384" t="s">
        <v>1994</v>
      </c>
      <c r="W22" s="992">
        <v>5600000</v>
      </c>
      <c r="X22" s="1052">
        <v>4589000</v>
      </c>
      <c r="Y22" s="1052">
        <v>917800</v>
      </c>
      <c r="Z22" s="2385">
        <v>61</v>
      </c>
      <c r="AA22" s="2386" t="s">
        <v>1981</v>
      </c>
      <c r="AB22" s="4609"/>
      <c r="AC22" s="4609"/>
      <c r="AD22" s="4609"/>
      <c r="AE22" s="4609"/>
      <c r="AF22" s="4609"/>
      <c r="AG22" s="4609"/>
      <c r="AH22" s="4609"/>
      <c r="AI22" s="4609"/>
      <c r="AJ22" s="4609"/>
      <c r="AK22" s="4609"/>
      <c r="AL22" s="4609"/>
      <c r="AM22" s="4609"/>
      <c r="AN22" s="4609"/>
      <c r="AO22" s="4609"/>
      <c r="AP22" s="4609"/>
      <c r="AQ22" s="4609"/>
      <c r="AR22" s="4609"/>
      <c r="AS22" s="4609"/>
      <c r="AT22" s="4609"/>
      <c r="AU22" s="4609"/>
      <c r="AV22" s="4609"/>
      <c r="AW22" s="4609"/>
      <c r="AX22" s="4609"/>
      <c r="AY22" s="4609"/>
      <c r="AZ22" s="4609"/>
      <c r="BA22" s="4609"/>
      <c r="BB22" s="4609"/>
      <c r="BC22" s="4609"/>
      <c r="BD22" s="4609"/>
      <c r="BE22" s="4609"/>
      <c r="BF22" s="4609"/>
      <c r="BG22" s="4609"/>
      <c r="BH22" s="3191"/>
      <c r="BI22" s="3206"/>
      <c r="BJ22" s="3206"/>
      <c r="BK22" s="3200"/>
      <c r="BL22" s="3191"/>
      <c r="BM22" s="4621"/>
      <c r="BN22" s="4624"/>
      <c r="BO22" s="4624"/>
      <c r="BP22" s="4624"/>
      <c r="BQ22" s="4624"/>
      <c r="BR22" s="4621"/>
    </row>
    <row r="23" spans="1:70" ht="56.25" customHeight="1" x14ac:dyDescent="0.2">
      <c r="A23" s="2377"/>
      <c r="B23" s="2378"/>
      <c r="C23" s="2379"/>
      <c r="D23" s="2380"/>
      <c r="E23" s="2380"/>
      <c r="F23" s="2379"/>
      <c r="G23" s="2377"/>
      <c r="H23" s="2380"/>
      <c r="I23" s="2379"/>
      <c r="J23" s="4600"/>
      <c r="K23" s="4603"/>
      <c r="L23" s="4606"/>
      <c r="M23" s="3191"/>
      <c r="N23" s="3191"/>
      <c r="O23" s="4606"/>
      <c r="P23" s="4606"/>
      <c r="Q23" s="4603"/>
      <c r="R23" s="4612"/>
      <c r="S23" s="4615"/>
      <c r="T23" s="4618"/>
      <c r="U23" s="4603"/>
      <c r="V23" s="2384" t="s">
        <v>1995</v>
      </c>
      <c r="W23" s="992">
        <v>5600000</v>
      </c>
      <c r="X23" s="1052">
        <v>4589000</v>
      </c>
      <c r="Y23" s="1052">
        <v>917800</v>
      </c>
      <c r="Z23" s="2385">
        <v>61</v>
      </c>
      <c r="AA23" s="2386" t="s">
        <v>1981</v>
      </c>
      <c r="AB23" s="4609"/>
      <c r="AC23" s="4609"/>
      <c r="AD23" s="4609"/>
      <c r="AE23" s="4609"/>
      <c r="AF23" s="4609"/>
      <c r="AG23" s="4609"/>
      <c r="AH23" s="4609"/>
      <c r="AI23" s="4609"/>
      <c r="AJ23" s="4609"/>
      <c r="AK23" s="4609"/>
      <c r="AL23" s="4609"/>
      <c r="AM23" s="4609"/>
      <c r="AN23" s="4609"/>
      <c r="AO23" s="4609"/>
      <c r="AP23" s="4609"/>
      <c r="AQ23" s="4609"/>
      <c r="AR23" s="4609"/>
      <c r="AS23" s="4609"/>
      <c r="AT23" s="4609"/>
      <c r="AU23" s="4609"/>
      <c r="AV23" s="4609"/>
      <c r="AW23" s="4609"/>
      <c r="AX23" s="4609"/>
      <c r="AY23" s="4609"/>
      <c r="AZ23" s="4609"/>
      <c r="BA23" s="4609"/>
      <c r="BB23" s="4609"/>
      <c r="BC23" s="4609"/>
      <c r="BD23" s="4609"/>
      <c r="BE23" s="4609"/>
      <c r="BF23" s="4609"/>
      <c r="BG23" s="4609"/>
      <c r="BH23" s="3191"/>
      <c r="BI23" s="3206"/>
      <c r="BJ23" s="3206"/>
      <c r="BK23" s="3200"/>
      <c r="BL23" s="3191"/>
      <c r="BM23" s="4621"/>
      <c r="BN23" s="4624"/>
      <c r="BO23" s="4624"/>
      <c r="BP23" s="4624"/>
      <c r="BQ23" s="4624"/>
      <c r="BR23" s="4621"/>
    </row>
    <row r="24" spans="1:70" ht="69.75" customHeight="1" x14ac:dyDescent="0.2">
      <c r="A24" s="2377"/>
      <c r="B24" s="2378"/>
      <c r="C24" s="2379"/>
      <c r="D24" s="2380"/>
      <c r="E24" s="2380"/>
      <c r="F24" s="2379"/>
      <c r="G24" s="2377"/>
      <c r="H24" s="2380"/>
      <c r="I24" s="2379"/>
      <c r="J24" s="4600"/>
      <c r="K24" s="4603"/>
      <c r="L24" s="4606"/>
      <c r="M24" s="3192"/>
      <c r="N24" s="3192"/>
      <c r="O24" s="4606"/>
      <c r="P24" s="4606"/>
      <c r="Q24" s="4603"/>
      <c r="R24" s="4612"/>
      <c r="S24" s="4615"/>
      <c r="T24" s="4618"/>
      <c r="U24" s="4603"/>
      <c r="V24" s="2384" t="s">
        <v>1996</v>
      </c>
      <c r="W24" s="992">
        <v>5600000</v>
      </c>
      <c r="X24" s="1052">
        <v>4589000</v>
      </c>
      <c r="Y24" s="1052">
        <v>917800</v>
      </c>
      <c r="Z24" s="2385">
        <v>61</v>
      </c>
      <c r="AA24" s="2386" t="s">
        <v>1981</v>
      </c>
      <c r="AB24" s="4609"/>
      <c r="AC24" s="4609"/>
      <c r="AD24" s="4609"/>
      <c r="AE24" s="4609"/>
      <c r="AF24" s="4609"/>
      <c r="AG24" s="4609"/>
      <c r="AH24" s="4609"/>
      <c r="AI24" s="4609"/>
      <c r="AJ24" s="4609"/>
      <c r="AK24" s="4609"/>
      <c r="AL24" s="4609"/>
      <c r="AM24" s="4609"/>
      <c r="AN24" s="4609"/>
      <c r="AO24" s="4609"/>
      <c r="AP24" s="4609"/>
      <c r="AQ24" s="4609"/>
      <c r="AR24" s="4609"/>
      <c r="AS24" s="4609"/>
      <c r="AT24" s="4609"/>
      <c r="AU24" s="4609"/>
      <c r="AV24" s="4609"/>
      <c r="AW24" s="4609"/>
      <c r="AX24" s="4609"/>
      <c r="AY24" s="4609"/>
      <c r="AZ24" s="4609"/>
      <c r="BA24" s="4609"/>
      <c r="BB24" s="4609"/>
      <c r="BC24" s="4609"/>
      <c r="BD24" s="4609"/>
      <c r="BE24" s="4609"/>
      <c r="BF24" s="4609"/>
      <c r="BG24" s="4609"/>
      <c r="BH24" s="3191"/>
      <c r="BI24" s="3206"/>
      <c r="BJ24" s="3206"/>
      <c r="BK24" s="3200"/>
      <c r="BL24" s="3191"/>
      <c r="BM24" s="4621"/>
      <c r="BN24" s="4624"/>
      <c r="BO24" s="4624"/>
      <c r="BP24" s="4624"/>
      <c r="BQ24" s="4624"/>
      <c r="BR24" s="4621"/>
    </row>
    <row r="25" spans="1:70" ht="45" x14ac:dyDescent="0.2">
      <c r="A25" s="2377"/>
      <c r="B25" s="2378"/>
      <c r="C25" s="2379"/>
      <c r="D25" s="2380"/>
      <c r="E25" s="2380"/>
      <c r="F25" s="2379"/>
      <c r="G25" s="2377"/>
      <c r="H25" s="2380"/>
      <c r="I25" s="2379"/>
      <c r="J25" s="4631">
        <v>129</v>
      </c>
      <c r="K25" s="4602" t="s">
        <v>1997</v>
      </c>
      <c r="L25" s="4605" t="s">
        <v>1974</v>
      </c>
      <c r="M25" s="3190">
        <v>6</v>
      </c>
      <c r="N25" s="3190">
        <v>2</v>
      </c>
      <c r="O25" s="4606"/>
      <c r="P25" s="4606"/>
      <c r="Q25" s="4603"/>
      <c r="R25" s="4611">
        <f>+(W25+W26+W27+W28+W29+W30+W31)/S13</f>
        <v>0.55555555555555558</v>
      </c>
      <c r="S25" s="4615"/>
      <c r="T25" s="4618"/>
      <c r="U25" s="4602" t="s">
        <v>1998</v>
      </c>
      <c r="V25" s="2384" t="s">
        <v>1999</v>
      </c>
      <c r="W25" s="992">
        <v>6000000</v>
      </c>
      <c r="X25" s="1052">
        <v>7818000</v>
      </c>
      <c r="Y25" s="1052">
        <v>1056000</v>
      </c>
      <c r="Z25" s="2385">
        <v>61</v>
      </c>
      <c r="AA25" s="2386" t="s">
        <v>1981</v>
      </c>
      <c r="AB25" s="4609"/>
      <c r="AC25" s="4609"/>
      <c r="AD25" s="4609"/>
      <c r="AE25" s="4609"/>
      <c r="AF25" s="4609"/>
      <c r="AG25" s="4609"/>
      <c r="AH25" s="4609"/>
      <c r="AI25" s="4609"/>
      <c r="AJ25" s="4609"/>
      <c r="AK25" s="4609"/>
      <c r="AL25" s="4609"/>
      <c r="AM25" s="4609"/>
      <c r="AN25" s="4609"/>
      <c r="AO25" s="4609"/>
      <c r="AP25" s="4609"/>
      <c r="AQ25" s="4609"/>
      <c r="AR25" s="4609"/>
      <c r="AS25" s="4609"/>
      <c r="AT25" s="4609"/>
      <c r="AU25" s="4609"/>
      <c r="AV25" s="4609"/>
      <c r="AW25" s="4609"/>
      <c r="AX25" s="4609"/>
      <c r="AY25" s="4609"/>
      <c r="AZ25" s="4609"/>
      <c r="BA25" s="4609"/>
      <c r="BB25" s="4609"/>
      <c r="BC25" s="4609"/>
      <c r="BD25" s="4609"/>
      <c r="BE25" s="4609"/>
      <c r="BF25" s="4609"/>
      <c r="BG25" s="4609"/>
      <c r="BH25" s="3191"/>
      <c r="BI25" s="3206"/>
      <c r="BJ25" s="3206"/>
      <c r="BK25" s="3200"/>
      <c r="BL25" s="3191"/>
      <c r="BM25" s="4621"/>
      <c r="BN25" s="4624"/>
      <c r="BO25" s="4624"/>
      <c r="BP25" s="4624"/>
      <c r="BQ25" s="4624"/>
      <c r="BR25" s="4621"/>
    </row>
    <row r="26" spans="1:70" ht="45" x14ac:dyDescent="0.2">
      <c r="A26" s="2377"/>
      <c r="B26" s="2378"/>
      <c r="C26" s="2379"/>
      <c r="D26" s="2380"/>
      <c r="E26" s="2380"/>
      <c r="F26" s="2379"/>
      <c r="G26" s="2377"/>
      <c r="H26" s="2380"/>
      <c r="I26" s="2379"/>
      <c r="J26" s="4631"/>
      <c r="K26" s="4603"/>
      <c r="L26" s="4606"/>
      <c r="M26" s="3191"/>
      <c r="N26" s="3191"/>
      <c r="O26" s="4606"/>
      <c r="P26" s="4606"/>
      <c r="Q26" s="4603"/>
      <c r="R26" s="4612"/>
      <c r="S26" s="4615"/>
      <c r="T26" s="4618"/>
      <c r="U26" s="4603"/>
      <c r="V26" s="2384" t="s">
        <v>2000</v>
      </c>
      <c r="W26" s="992">
        <v>6000000</v>
      </c>
      <c r="X26" s="1052">
        <v>7818000</v>
      </c>
      <c r="Y26" s="1052">
        <v>1056000</v>
      </c>
      <c r="Z26" s="2385">
        <v>61</v>
      </c>
      <c r="AA26" s="2386" t="s">
        <v>1981</v>
      </c>
      <c r="AB26" s="4609"/>
      <c r="AC26" s="4609"/>
      <c r="AD26" s="4609"/>
      <c r="AE26" s="4609"/>
      <c r="AF26" s="4609"/>
      <c r="AG26" s="4609"/>
      <c r="AH26" s="4609"/>
      <c r="AI26" s="4609"/>
      <c r="AJ26" s="4609"/>
      <c r="AK26" s="4609"/>
      <c r="AL26" s="4609"/>
      <c r="AM26" s="4609"/>
      <c r="AN26" s="4609"/>
      <c r="AO26" s="4609"/>
      <c r="AP26" s="4609"/>
      <c r="AQ26" s="4609"/>
      <c r="AR26" s="4609"/>
      <c r="AS26" s="4609"/>
      <c r="AT26" s="4609"/>
      <c r="AU26" s="4609"/>
      <c r="AV26" s="4609"/>
      <c r="AW26" s="4609"/>
      <c r="AX26" s="4609"/>
      <c r="AY26" s="4609"/>
      <c r="AZ26" s="4609"/>
      <c r="BA26" s="4609"/>
      <c r="BB26" s="4609"/>
      <c r="BC26" s="4609"/>
      <c r="BD26" s="4609"/>
      <c r="BE26" s="4609"/>
      <c r="BF26" s="4609"/>
      <c r="BG26" s="4609"/>
      <c r="BH26" s="3191"/>
      <c r="BI26" s="3206"/>
      <c r="BJ26" s="3206"/>
      <c r="BK26" s="3200"/>
      <c r="BL26" s="3191"/>
      <c r="BM26" s="4621"/>
      <c r="BN26" s="4624"/>
      <c r="BO26" s="4624"/>
      <c r="BP26" s="4624"/>
      <c r="BQ26" s="4624"/>
      <c r="BR26" s="4621"/>
    </row>
    <row r="27" spans="1:70" ht="45" x14ac:dyDescent="0.2">
      <c r="A27" s="2377"/>
      <c r="B27" s="2378"/>
      <c r="C27" s="2379"/>
      <c r="D27" s="2380"/>
      <c r="E27" s="2380"/>
      <c r="F27" s="2379"/>
      <c r="G27" s="2377"/>
      <c r="H27" s="2380"/>
      <c r="I27" s="2379"/>
      <c r="J27" s="4631"/>
      <c r="K27" s="4603"/>
      <c r="L27" s="4606"/>
      <c r="M27" s="3191"/>
      <c r="N27" s="3191"/>
      <c r="O27" s="4606"/>
      <c r="P27" s="4606"/>
      <c r="Q27" s="4603"/>
      <c r="R27" s="4612"/>
      <c r="S27" s="4615"/>
      <c r="T27" s="4618"/>
      <c r="U27" s="4603"/>
      <c r="V27" s="2384" t="s">
        <v>2001</v>
      </c>
      <c r="W27" s="992">
        <v>6000000</v>
      </c>
      <c r="X27" s="1052">
        <v>7818000</v>
      </c>
      <c r="Y27" s="1052">
        <v>1055000</v>
      </c>
      <c r="Z27" s="2385">
        <v>61</v>
      </c>
      <c r="AA27" s="2386" t="s">
        <v>1981</v>
      </c>
      <c r="AB27" s="4609"/>
      <c r="AC27" s="4609"/>
      <c r="AD27" s="4609"/>
      <c r="AE27" s="4609"/>
      <c r="AF27" s="4609"/>
      <c r="AG27" s="4609"/>
      <c r="AH27" s="4609"/>
      <c r="AI27" s="4609"/>
      <c r="AJ27" s="4609"/>
      <c r="AK27" s="4609"/>
      <c r="AL27" s="4609"/>
      <c r="AM27" s="4609"/>
      <c r="AN27" s="4609"/>
      <c r="AO27" s="4609"/>
      <c r="AP27" s="4609"/>
      <c r="AQ27" s="4609"/>
      <c r="AR27" s="4609"/>
      <c r="AS27" s="4609"/>
      <c r="AT27" s="4609"/>
      <c r="AU27" s="4609"/>
      <c r="AV27" s="4609"/>
      <c r="AW27" s="4609"/>
      <c r="AX27" s="4609"/>
      <c r="AY27" s="4609"/>
      <c r="AZ27" s="4609"/>
      <c r="BA27" s="4609"/>
      <c r="BB27" s="4609"/>
      <c r="BC27" s="4609"/>
      <c r="BD27" s="4609"/>
      <c r="BE27" s="4609"/>
      <c r="BF27" s="4609"/>
      <c r="BG27" s="4609"/>
      <c r="BH27" s="3191"/>
      <c r="BI27" s="3206"/>
      <c r="BJ27" s="3206"/>
      <c r="BK27" s="3200"/>
      <c r="BL27" s="3191"/>
      <c r="BM27" s="4621"/>
      <c r="BN27" s="4624"/>
      <c r="BO27" s="4624"/>
      <c r="BP27" s="4624"/>
      <c r="BQ27" s="4624"/>
      <c r="BR27" s="4621"/>
    </row>
    <row r="28" spans="1:70" ht="45" x14ac:dyDescent="0.2">
      <c r="A28" s="2377"/>
      <c r="B28" s="2378"/>
      <c r="C28" s="2379"/>
      <c r="D28" s="2380"/>
      <c r="E28" s="2380"/>
      <c r="F28" s="2379"/>
      <c r="G28" s="2377"/>
      <c r="H28" s="2380"/>
      <c r="I28" s="2379"/>
      <c r="J28" s="4631"/>
      <c r="K28" s="4603"/>
      <c r="L28" s="4606"/>
      <c r="M28" s="3191"/>
      <c r="N28" s="3191"/>
      <c r="O28" s="4606"/>
      <c r="P28" s="4606"/>
      <c r="Q28" s="4603"/>
      <c r="R28" s="4612"/>
      <c r="S28" s="4615"/>
      <c r="T28" s="4618"/>
      <c r="U28" s="4603"/>
      <c r="V28" s="2384" t="s">
        <v>2002</v>
      </c>
      <c r="W28" s="992">
        <v>28000000</v>
      </c>
      <c r="X28" s="1052">
        <v>7818000</v>
      </c>
      <c r="Y28" s="1052">
        <v>1055000</v>
      </c>
      <c r="Z28" s="2385">
        <v>61</v>
      </c>
      <c r="AA28" s="2386" t="s">
        <v>1981</v>
      </c>
      <c r="AB28" s="4609"/>
      <c r="AC28" s="4609"/>
      <c r="AD28" s="4609"/>
      <c r="AE28" s="4609"/>
      <c r="AF28" s="4609"/>
      <c r="AG28" s="4609"/>
      <c r="AH28" s="4609"/>
      <c r="AI28" s="4609"/>
      <c r="AJ28" s="4609"/>
      <c r="AK28" s="4609"/>
      <c r="AL28" s="4609"/>
      <c r="AM28" s="4609"/>
      <c r="AN28" s="4609"/>
      <c r="AO28" s="4609"/>
      <c r="AP28" s="4609"/>
      <c r="AQ28" s="4609"/>
      <c r="AR28" s="4609"/>
      <c r="AS28" s="4609"/>
      <c r="AT28" s="4609"/>
      <c r="AU28" s="4609"/>
      <c r="AV28" s="4609"/>
      <c r="AW28" s="4609"/>
      <c r="AX28" s="4609"/>
      <c r="AY28" s="4609"/>
      <c r="AZ28" s="4609"/>
      <c r="BA28" s="4609"/>
      <c r="BB28" s="4609"/>
      <c r="BC28" s="4609"/>
      <c r="BD28" s="4609"/>
      <c r="BE28" s="4609"/>
      <c r="BF28" s="4609"/>
      <c r="BG28" s="4609"/>
      <c r="BH28" s="3191"/>
      <c r="BI28" s="3206"/>
      <c r="BJ28" s="3206"/>
      <c r="BK28" s="3200"/>
      <c r="BL28" s="3191"/>
      <c r="BM28" s="4621"/>
      <c r="BN28" s="4624"/>
      <c r="BO28" s="4624"/>
      <c r="BP28" s="4624"/>
      <c r="BQ28" s="4624"/>
      <c r="BR28" s="4621"/>
    </row>
    <row r="29" spans="1:70" ht="57.75" customHeight="1" x14ac:dyDescent="0.2">
      <c r="A29" s="2377"/>
      <c r="B29" s="2378"/>
      <c r="C29" s="2379"/>
      <c r="D29" s="2380"/>
      <c r="E29" s="2380"/>
      <c r="F29" s="2379"/>
      <c r="G29" s="2377"/>
      <c r="H29" s="2380"/>
      <c r="I29" s="2379"/>
      <c r="J29" s="4631"/>
      <c r="K29" s="4603"/>
      <c r="L29" s="4606"/>
      <c r="M29" s="3191"/>
      <c r="N29" s="3191"/>
      <c r="O29" s="4606"/>
      <c r="P29" s="4606"/>
      <c r="Q29" s="4603"/>
      <c r="R29" s="4612"/>
      <c r="S29" s="4615"/>
      <c r="T29" s="4618"/>
      <c r="U29" s="4603"/>
      <c r="V29" s="2384" t="s">
        <v>2003</v>
      </c>
      <c r="W29" s="992">
        <v>6000000</v>
      </c>
      <c r="X29" s="1052">
        <v>7818000</v>
      </c>
      <c r="Y29" s="1052">
        <v>1055000</v>
      </c>
      <c r="Z29" s="2385">
        <v>61</v>
      </c>
      <c r="AA29" s="2386" t="s">
        <v>1981</v>
      </c>
      <c r="AB29" s="4609"/>
      <c r="AC29" s="4609"/>
      <c r="AD29" s="4609"/>
      <c r="AE29" s="4609"/>
      <c r="AF29" s="4609"/>
      <c r="AG29" s="4609"/>
      <c r="AH29" s="4609"/>
      <c r="AI29" s="4609"/>
      <c r="AJ29" s="4609"/>
      <c r="AK29" s="4609"/>
      <c r="AL29" s="4609"/>
      <c r="AM29" s="4609"/>
      <c r="AN29" s="4609"/>
      <c r="AO29" s="4609"/>
      <c r="AP29" s="4609"/>
      <c r="AQ29" s="4609"/>
      <c r="AR29" s="4609"/>
      <c r="AS29" s="4609"/>
      <c r="AT29" s="4609"/>
      <c r="AU29" s="4609"/>
      <c r="AV29" s="4609"/>
      <c r="AW29" s="4609"/>
      <c r="AX29" s="4609"/>
      <c r="AY29" s="4609"/>
      <c r="AZ29" s="4609"/>
      <c r="BA29" s="4609"/>
      <c r="BB29" s="4609"/>
      <c r="BC29" s="4609"/>
      <c r="BD29" s="4609"/>
      <c r="BE29" s="4609"/>
      <c r="BF29" s="4609"/>
      <c r="BG29" s="4609"/>
      <c r="BH29" s="3191"/>
      <c r="BI29" s="3206"/>
      <c r="BJ29" s="3206"/>
      <c r="BK29" s="3200"/>
      <c r="BL29" s="3191"/>
      <c r="BM29" s="4621"/>
      <c r="BN29" s="4624"/>
      <c r="BO29" s="4624"/>
      <c r="BP29" s="4624"/>
      <c r="BQ29" s="4624"/>
      <c r="BR29" s="4621"/>
    </row>
    <row r="30" spans="1:70" ht="45" x14ac:dyDescent="0.2">
      <c r="A30" s="2377"/>
      <c r="B30" s="2378"/>
      <c r="C30" s="2379"/>
      <c r="D30" s="2380"/>
      <c r="E30" s="2380"/>
      <c r="F30" s="2379"/>
      <c r="G30" s="2377"/>
      <c r="H30" s="2380"/>
      <c r="I30" s="2379"/>
      <c r="J30" s="4631"/>
      <c r="K30" s="4603"/>
      <c r="L30" s="4606"/>
      <c r="M30" s="3191"/>
      <c r="N30" s="3191"/>
      <c r="O30" s="4606"/>
      <c r="P30" s="4606"/>
      <c r="Q30" s="4603"/>
      <c r="R30" s="4612"/>
      <c r="S30" s="4615"/>
      <c r="T30" s="4618"/>
      <c r="U30" s="4603"/>
      <c r="V30" s="2384" t="s">
        <v>2004</v>
      </c>
      <c r="W30" s="992">
        <v>6000000</v>
      </c>
      <c r="X30" s="1052">
        <v>7818000</v>
      </c>
      <c r="Y30" s="1052">
        <v>1055000</v>
      </c>
      <c r="Z30" s="2385">
        <v>61</v>
      </c>
      <c r="AA30" s="2386" t="s">
        <v>1981</v>
      </c>
      <c r="AB30" s="4609"/>
      <c r="AC30" s="4609"/>
      <c r="AD30" s="4609"/>
      <c r="AE30" s="4609"/>
      <c r="AF30" s="4609"/>
      <c r="AG30" s="4609"/>
      <c r="AH30" s="4609"/>
      <c r="AI30" s="4609"/>
      <c r="AJ30" s="4609"/>
      <c r="AK30" s="4609"/>
      <c r="AL30" s="4609"/>
      <c r="AM30" s="4609"/>
      <c r="AN30" s="4609"/>
      <c r="AO30" s="4609"/>
      <c r="AP30" s="4609"/>
      <c r="AQ30" s="4609"/>
      <c r="AR30" s="4609"/>
      <c r="AS30" s="4609"/>
      <c r="AT30" s="4609"/>
      <c r="AU30" s="4609"/>
      <c r="AV30" s="4609"/>
      <c r="AW30" s="4609"/>
      <c r="AX30" s="4609"/>
      <c r="AY30" s="4609"/>
      <c r="AZ30" s="4609"/>
      <c r="BA30" s="4609"/>
      <c r="BB30" s="4609"/>
      <c r="BC30" s="4609"/>
      <c r="BD30" s="4609"/>
      <c r="BE30" s="4609"/>
      <c r="BF30" s="4609"/>
      <c r="BG30" s="4609"/>
      <c r="BH30" s="3191"/>
      <c r="BI30" s="3206"/>
      <c r="BJ30" s="3206"/>
      <c r="BK30" s="3200"/>
      <c r="BL30" s="3191"/>
      <c r="BM30" s="4621"/>
      <c r="BN30" s="4624"/>
      <c r="BO30" s="4624"/>
      <c r="BP30" s="4624"/>
      <c r="BQ30" s="4624"/>
      <c r="BR30" s="4621"/>
    </row>
    <row r="31" spans="1:70" ht="33.75" customHeight="1" x14ac:dyDescent="0.2">
      <c r="A31" s="2377"/>
      <c r="B31" s="2378"/>
      <c r="C31" s="2379"/>
      <c r="D31" s="2387"/>
      <c r="E31" s="2387"/>
      <c r="F31" s="2388"/>
      <c r="G31" s="2389"/>
      <c r="H31" s="2387"/>
      <c r="I31" s="2388"/>
      <c r="J31" s="4631"/>
      <c r="K31" s="4604"/>
      <c r="L31" s="4607"/>
      <c r="M31" s="3192"/>
      <c r="N31" s="3192"/>
      <c r="O31" s="4607"/>
      <c r="P31" s="4607"/>
      <c r="Q31" s="4604"/>
      <c r="R31" s="4613"/>
      <c r="S31" s="4616"/>
      <c r="T31" s="4619"/>
      <c r="U31" s="4604"/>
      <c r="V31" s="2384" t="s">
        <v>2005</v>
      </c>
      <c r="W31" s="992">
        <v>12000000</v>
      </c>
      <c r="X31" s="1052">
        <v>7817000</v>
      </c>
      <c r="Y31" s="1052">
        <v>1055000</v>
      </c>
      <c r="Z31" s="2385">
        <v>61</v>
      </c>
      <c r="AA31" s="2386" t="s">
        <v>1981</v>
      </c>
      <c r="AB31" s="4610"/>
      <c r="AC31" s="4610"/>
      <c r="AD31" s="4610"/>
      <c r="AE31" s="4610"/>
      <c r="AF31" s="4610"/>
      <c r="AG31" s="4610"/>
      <c r="AH31" s="4610"/>
      <c r="AI31" s="4610"/>
      <c r="AJ31" s="4610"/>
      <c r="AK31" s="4610"/>
      <c r="AL31" s="4610"/>
      <c r="AM31" s="4610"/>
      <c r="AN31" s="4610"/>
      <c r="AO31" s="4610"/>
      <c r="AP31" s="4610"/>
      <c r="AQ31" s="4610"/>
      <c r="AR31" s="4610"/>
      <c r="AS31" s="4610"/>
      <c r="AT31" s="4610"/>
      <c r="AU31" s="4610"/>
      <c r="AV31" s="4610"/>
      <c r="AW31" s="4610"/>
      <c r="AX31" s="4610"/>
      <c r="AY31" s="4610"/>
      <c r="AZ31" s="4610"/>
      <c r="BA31" s="4610"/>
      <c r="BB31" s="4610"/>
      <c r="BC31" s="4610"/>
      <c r="BD31" s="4610"/>
      <c r="BE31" s="4610"/>
      <c r="BF31" s="4610"/>
      <c r="BG31" s="4610"/>
      <c r="BH31" s="3192"/>
      <c r="BI31" s="3207"/>
      <c r="BJ31" s="3207"/>
      <c r="BK31" s="3201"/>
      <c r="BL31" s="3192"/>
      <c r="BM31" s="4622"/>
      <c r="BN31" s="4625"/>
      <c r="BO31" s="4625"/>
      <c r="BP31" s="4625"/>
      <c r="BQ31" s="4625"/>
      <c r="BR31" s="4622"/>
    </row>
    <row r="32" spans="1:70" s="2367" customFormat="1" ht="36" customHeight="1" x14ac:dyDescent="0.2">
      <c r="A32" s="2390"/>
      <c r="B32" s="2391"/>
      <c r="C32" s="2392"/>
      <c r="D32" s="2393">
        <v>12</v>
      </c>
      <c r="E32" s="2394" t="s">
        <v>2006</v>
      </c>
      <c r="F32" s="2395"/>
      <c r="G32" s="2371"/>
      <c r="H32" s="2371"/>
      <c r="I32" s="2371"/>
      <c r="J32" s="2371"/>
      <c r="K32" s="2396"/>
      <c r="L32" s="2371"/>
      <c r="M32" s="2397"/>
      <c r="N32" s="2398"/>
      <c r="O32" s="2371"/>
      <c r="P32" s="2396"/>
      <c r="Q32" s="2371"/>
      <c r="R32" s="2399"/>
      <c r="S32" s="2371"/>
      <c r="T32" s="2396"/>
      <c r="U32" s="2396"/>
      <c r="V32" s="2400"/>
      <c r="W32" s="965"/>
      <c r="X32" s="965"/>
      <c r="Y32" s="965"/>
      <c r="Z32" s="2401"/>
      <c r="AA32" s="2401"/>
      <c r="AB32" s="2401"/>
      <c r="AC32" s="2401"/>
      <c r="AD32" s="2401"/>
      <c r="AE32" s="2401"/>
      <c r="AF32" s="2401"/>
      <c r="AG32" s="2401"/>
      <c r="AH32" s="2401"/>
      <c r="AI32" s="2401"/>
      <c r="AJ32" s="2401"/>
      <c r="AK32" s="2401"/>
      <c r="AL32" s="2401"/>
      <c r="AM32" s="2401"/>
      <c r="AN32" s="2401"/>
      <c r="AO32" s="2371"/>
      <c r="AP32" s="2371"/>
      <c r="AQ32" s="2371"/>
      <c r="AR32" s="2401"/>
      <c r="AS32" s="2401"/>
      <c r="AT32" s="2401"/>
      <c r="AU32" s="2401"/>
      <c r="AV32" s="2371"/>
      <c r="AW32" s="2401"/>
      <c r="AX32" s="2401"/>
      <c r="AY32" s="2401"/>
      <c r="AZ32" s="2401"/>
      <c r="BA32" s="2371"/>
      <c r="BB32" s="2401"/>
      <c r="BC32" s="2401"/>
      <c r="BD32" s="2401"/>
      <c r="BE32" s="2401"/>
      <c r="BF32" s="2371"/>
      <c r="BG32" s="2401"/>
      <c r="BH32" s="2401"/>
      <c r="BI32" s="965"/>
      <c r="BJ32" s="965"/>
      <c r="BK32" s="2371"/>
      <c r="BL32" s="2401"/>
      <c r="BM32" s="2401"/>
      <c r="BN32" s="2401"/>
      <c r="BO32" s="2401"/>
      <c r="BP32" s="2371"/>
      <c r="BQ32" s="2401"/>
      <c r="BR32" s="2401"/>
    </row>
    <row r="33" spans="1:70" s="2367" customFormat="1" ht="36" customHeight="1" x14ac:dyDescent="0.2">
      <c r="A33" s="2390"/>
      <c r="B33" s="2402"/>
      <c r="C33" s="2403"/>
      <c r="D33" s="2404"/>
      <c r="E33" s="2405"/>
      <c r="F33" s="2405"/>
      <c r="G33" s="2406">
        <v>36</v>
      </c>
      <c r="H33" s="2375" t="s">
        <v>2007</v>
      </c>
      <c r="I33" s="2375"/>
      <c r="J33" s="2375"/>
      <c r="K33" s="2407"/>
      <c r="L33" s="2375"/>
      <c r="M33" s="2408"/>
      <c r="N33" s="2409"/>
      <c r="O33" s="2375"/>
      <c r="P33" s="2407"/>
      <c r="Q33" s="2375"/>
      <c r="R33" s="2410"/>
      <c r="S33" s="2375"/>
      <c r="T33" s="2407"/>
      <c r="U33" s="2407"/>
      <c r="V33" s="2411"/>
      <c r="W33" s="2412"/>
      <c r="X33" s="2412"/>
      <c r="Y33" s="2412"/>
      <c r="Z33" s="2413"/>
      <c r="AA33" s="2413"/>
      <c r="AB33" s="2413"/>
      <c r="AC33" s="2413"/>
      <c r="AD33" s="2413"/>
      <c r="AE33" s="2413"/>
      <c r="AF33" s="2413"/>
      <c r="AG33" s="2413"/>
      <c r="AH33" s="2413"/>
      <c r="AI33" s="2413"/>
      <c r="AJ33" s="2413"/>
      <c r="AK33" s="2413"/>
      <c r="AL33" s="2413"/>
      <c r="AM33" s="2413"/>
      <c r="AN33" s="2413"/>
      <c r="AO33" s="2375"/>
      <c r="AP33" s="2375"/>
      <c r="AQ33" s="2375"/>
      <c r="AR33" s="2413"/>
      <c r="AS33" s="2413"/>
      <c r="AT33" s="2375"/>
      <c r="AU33" s="2375"/>
      <c r="AV33" s="2413"/>
      <c r="AW33" s="2413"/>
      <c r="AX33" s="2375"/>
      <c r="AY33" s="2375"/>
      <c r="AZ33" s="2413"/>
      <c r="BA33" s="2413"/>
      <c r="BB33" s="2375"/>
      <c r="BC33" s="2375"/>
      <c r="BD33" s="2413"/>
      <c r="BE33" s="2413"/>
      <c r="BF33" s="2375"/>
      <c r="BG33" s="2375"/>
      <c r="BH33" s="2413"/>
      <c r="BI33" s="2412"/>
      <c r="BJ33" s="2414"/>
      <c r="BK33" s="2375"/>
      <c r="BL33" s="2413"/>
      <c r="BM33" s="2413"/>
      <c r="BN33" s="2375"/>
      <c r="BO33" s="2375"/>
      <c r="BP33" s="2413"/>
      <c r="BQ33" s="2413"/>
      <c r="BR33" s="2375"/>
    </row>
    <row r="34" spans="1:70" ht="135" customHeight="1" x14ac:dyDescent="0.2">
      <c r="A34" s="1020"/>
      <c r="B34" s="2372"/>
      <c r="C34" s="1019"/>
      <c r="D34" s="2372"/>
      <c r="E34" s="1019"/>
      <c r="F34" s="2368"/>
      <c r="G34" s="2368"/>
      <c r="H34" s="2368"/>
      <c r="I34" s="1026"/>
      <c r="J34" s="2415">
        <v>130</v>
      </c>
      <c r="K34" s="2416" t="s">
        <v>2008</v>
      </c>
      <c r="L34" s="2417" t="s">
        <v>1974</v>
      </c>
      <c r="M34" s="1081">
        <v>1</v>
      </c>
      <c r="N34" s="1081">
        <v>0.2</v>
      </c>
      <c r="O34" s="4605" t="s">
        <v>2009</v>
      </c>
      <c r="P34" s="4605" t="s">
        <v>2010</v>
      </c>
      <c r="Q34" s="4602" t="s">
        <v>2011</v>
      </c>
      <c r="R34" s="2418">
        <f>+(W34)/S34</f>
        <v>0.31914893617021278</v>
      </c>
      <c r="S34" s="4614">
        <v>188000000</v>
      </c>
      <c r="T34" s="4602" t="s">
        <v>2012</v>
      </c>
      <c r="U34" s="2416" t="s">
        <v>2013</v>
      </c>
      <c r="V34" s="2384" t="s">
        <v>2014</v>
      </c>
      <c r="W34" s="992">
        <v>60000000</v>
      </c>
      <c r="X34" s="1052">
        <v>38580000</v>
      </c>
      <c r="Y34" s="1052">
        <v>4918000</v>
      </c>
      <c r="Z34" s="2385">
        <v>61</v>
      </c>
      <c r="AA34" s="2386" t="s">
        <v>1981</v>
      </c>
      <c r="AB34" s="4626">
        <v>292684</v>
      </c>
      <c r="AC34" s="4628">
        <f>SUM(AB34*0.64)</f>
        <v>187317.76000000001</v>
      </c>
      <c r="AD34" s="4626">
        <v>282326</v>
      </c>
      <c r="AE34" s="4628">
        <f>SUM(AD34*0.64)</f>
        <v>180688.64000000001</v>
      </c>
      <c r="AF34" s="4626">
        <v>135912</v>
      </c>
      <c r="AG34" s="4628">
        <f>SUM(AF34*0.64)</f>
        <v>86983.680000000008</v>
      </c>
      <c r="AH34" s="4626">
        <v>45122</v>
      </c>
      <c r="AI34" s="4628">
        <f>SUM(AH34*0.64)</f>
        <v>28878.080000000002</v>
      </c>
      <c r="AJ34" s="4626">
        <v>307101</v>
      </c>
      <c r="AK34" s="4628">
        <f>SUM(AJ34*0.64)</f>
        <v>196544.64000000001</v>
      </c>
      <c r="AL34" s="4626">
        <v>86875</v>
      </c>
      <c r="AM34" s="4628">
        <f>SUM(AL34*0.64)</f>
        <v>55600</v>
      </c>
      <c r="AN34" s="4626">
        <v>2145</v>
      </c>
      <c r="AO34" s="4628">
        <f>SUM(AN34*0.64)</f>
        <v>1372.8</v>
      </c>
      <c r="AP34" s="4626">
        <v>12718</v>
      </c>
      <c r="AQ34" s="4628">
        <f>SUM(AP34*0.64)</f>
        <v>8139.52</v>
      </c>
      <c r="AR34" s="4626">
        <v>26</v>
      </c>
      <c r="AS34" s="4628">
        <f>SUM(AR34*0.64)</f>
        <v>16.64</v>
      </c>
      <c r="AT34" s="4626">
        <v>37</v>
      </c>
      <c r="AU34" s="4628">
        <f>SUM(AT34*0.64)</f>
        <v>23.68</v>
      </c>
      <c r="AV34" s="4626">
        <v>16897</v>
      </c>
      <c r="AW34" s="4628">
        <f>SUM(AV34*0.64)</f>
        <v>10814.08</v>
      </c>
      <c r="AX34" s="4626" t="s">
        <v>2015</v>
      </c>
      <c r="AY34" s="4628" t="s">
        <v>2015</v>
      </c>
      <c r="AZ34" s="4626">
        <v>53164</v>
      </c>
      <c r="BA34" s="4628">
        <f>SUM(AZ34*0.64)</f>
        <v>34024.959999999999</v>
      </c>
      <c r="BB34" s="4626">
        <v>16982</v>
      </c>
      <c r="BC34" s="4628">
        <f>SUM(BB34*0.64)</f>
        <v>10868.48</v>
      </c>
      <c r="BD34" s="4626">
        <v>60013</v>
      </c>
      <c r="BE34" s="4628">
        <f>SUM(BD34*0.64)</f>
        <v>38408.32</v>
      </c>
      <c r="BF34" s="4626">
        <v>575010</v>
      </c>
      <c r="BG34" s="4628">
        <f>SUM(BF34*0.64)</f>
        <v>368006.40000000002</v>
      </c>
      <c r="BH34" s="4632">
        <v>8</v>
      </c>
      <c r="BI34" s="3205">
        <f>SUM(X34:X37)</f>
        <v>102285000</v>
      </c>
      <c r="BJ34" s="3205">
        <f>SUM(Y34:Y37)</f>
        <v>19122000</v>
      </c>
      <c r="BK34" s="3199">
        <f>+BJ34/BI34</f>
        <v>0.18694823287872123</v>
      </c>
      <c r="BL34" s="3190">
        <v>61</v>
      </c>
      <c r="BM34" s="3190" t="s">
        <v>1982</v>
      </c>
      <c r="BN34" s="4623">
        <v>43466</v>
      </c>
      <c r="BO34" s="4623">
        <v>43467</v>
      </c>
      <c r="BP34" s="4623">
        <v>43830</v>
      </c>
      <c r="BQ34" s="4623">
        <v>43830</v>
      </c>
      <c r="BR34" s="4623" t="s">
        <v>1983</v>
      </c>
    </row>
    <row r="35" spans="1:70" ht="45" x14ac:dyDescent="0.2">
      <c r="A35" s="1020"/>
      <c r="B35" s="2372"/>
      <c r="C35" s="1019"/>
      <c r="D35" s="2372"/>
      <c r="E35" s="1019"/>
      <c r="F35" s="2372"/>
      <c r="G35" s="2372"/>
      <c r="H35" s="2372"/>
      <c r="I35" s="1019"/>
      <c r="J35" s="4599">
        <v>131</v>
      </c>
      <c r="K35" s="4602" t="s">
        <v>2016</v>
      </c>
      <c r="L35" s="4605" t="s">
        <v>1974</v>
      </c>
      <c r="M35" s="3190">
        <v>5</v>
      </c>
      <c r="N35" s="3190">
        <v>1</v>
      </c>
      <c r="O35" s="4606"/>
      <c r="P35" s="4606"/>
      <c r="Q35" s="4603"/>
      <c r="R35" s="4611">
        <f>+(W35+W36+W37)/S34</f>
        <v>0.68085106382978722</v>
      </c>
      <c r="S35" s="4615"/>
      <c r="T35" s="4603"/>
      <c r="U35" s="4602" t="s">
        <v>2017</v>
      </c>
      <c r="V35" s="2384" t="s">
        <v>2018</v>
      </c>
      <c r="W35" s="992">
        <v>28000000</v>
      </c>
      <c r="X35" s="1052">
        <v>21235000</v>
      </c>
      <c r="Y35" s="1052">
        <v>4735000</v>
      </c>
      <c r="Z35" s="2385">
        <v>61</v>
      </c>
      <c r="AA35" s="2386" t="s">
        <v>1981</v>
      </c>
      <c r="AB35" s="4627"/>
      <c r="AC35" s="4629"/>
      <c r="AD35" s="4627"/>
      <c r="AE35" s="4629"/>
      <c r="AF35" s="4627"/>
      <c r="AG35" s="4629"/>
      <c r="AH35" s="4627"/>
      <c r="AI35" s="4629"/>
      <c r="AJ35" s="4627"/>
      <c r="AK35" s="4629"/>
      <c r="AL35" s="4627"/>
      <c r="AM35" s="4629"/>
      <c r="AN35" s="4627"/>
      <c r="AO35" s="4629"/>
      <c r="AP35" s="4627"/>
      <c r="AQ35" s="4629"/>
      <c r="AR35" s="4627"/>
      <c r="AS35" s="4629"/>
      <c r="AT35" s="4627"/>
      <c r="AU35" s="4629"/>
      <c r="AV35" s="4627"/>
      <c r="AW35" s="4629"/>
      <c r="AX35" s="4627"/>
      <c r="AY35" s="4629"/>
      <c r="AZ35" s="4627"/>
      <c r="BA35" s="4629"/>
      <c r="BB35" s="4627"/>
      <c r="BC35" s="4629"/>
      <c r="BD35" s="4627"/>
      <c r="BE35" s="4629"/>
      <c r="BF35" s="4627"/>
      <c r="BG35" s="4629"/>
      <c r="BH35" s="4633"/>
      <c r="BI35" s="3206"/>
      <c r="BJ35" s="3206"/>
      <c r="BK35" s="3200"/>
      <c r="BL35" s="3191"/>
      <c r="BM35" s="3191"/>
      <c r="BN35" s="4624"/>
      <c r="BO35" s="4624"/>
      <c r="BP35" s="4624"/>
      <c r="BQ35" s="4624"/>
      <c r="BR35" s="4624"/>
    </row>
    <row r="36" spans="1:70" ht="60" x14ac:dyDescent="0.2">
      <c r="A36" s="1020"/>
      <c r="B36" s="2372"/>
      <c r="C36" s="1019"/>
      <c r="D36" s="2372"/>
      <c r="E36" s="1019"/>
      <c r="F36" s="2372"/>
      <c r="G36" s="2372"/>
      <c r="H36" s="2372"/>
      <c r="I36" s="1019"/>
      <c r="J36" s="4600"/>
      <c r="K36" s="4603"/>
      <c r="L36" s="4606"/>
      <c r="M36" s="3191"/>
      <c r="N36" s="3191"/>
      <c r="O36" s="4606"/>
      <c r="P36" s="4606"/>
      <c r="Q36" s="4603"/>
      <c r="R36" s="4612"/>
      <c r="S36" s="4615"/>
      <c r="T36" s="4603"/>
      <c r="U36" s="4603"/>
      <c r="V36" s="2384" t="s">
        <v>2019</v>
      </c>
      <c r="W36" s="992">
        <v>40000000</v>
      </c>
      <c r="X36" s="1052">
        <v>21235000</v>
      </c>
      <c r="Y36" s="1052">
        <v>4735000</v>
      </c>
      <c r="Z36" s="2385">
        <v>61</v>
      </c>
      <c r="AA36" s="2386" t="s">
        <v>1981</v>
      </c>
      <c r="AB36" s="4627"/>
      <c r="AC36" s="4629"/>
      <c r="AD36" s="4627"/>
      <c r="AE36" s="4629"/>
      <c r="AF36" s="4627"/>
      <c r="AG36" s="4629"/>
      <c r="AH36" s="4627"/>
      <c r="AI36" s="4629"/>
      <c r="AJ36" s="4627"/>
      <c r="AK36" s="4629"/>
      <c r="AL36" s="4627"/>
      <c r="AM36" s="4629"/>
      <c r="AN36" s="4627"/>
      <c r="AO36" s="4629"/>
      <c r="AP36" s="4627"/>
      <c r="AQ36" s="4629"/>
      <c r="AR36" s="4627"/>
      <c r="AS36" s="4629"/>
      <c r="AT36" s="4627"/>
      <c r="AU36" s="4629"/>
      <c r="AV36" s="4627"/>
      <c r="AW36" s="4629"/>
      <c r="AX36" s="4627"/>
      <c r="AY36" s="4629"/>
      <c r="AZ36" s="4627"/>
      <c r="BA36" s="4629"/>
      <c r="BB36" s="4627"/>
      <c r="BC36" s="4629"/>
      <c r="BD36" s="4627"/>
      <c r="BE36" s="4629"/>
      <c r="BF36" s="4627"/>
      <c r="BG36" s="4629"/>
      <c r="BH36" s="4633"/>
      <c r="BI36" s="3206"/>
      <c r="BJ36" s="3206"/>
      <c r="BK36" s="3200"/>
      <c r="BL36" s="3191"/>
      <c r="BM36" s="3191"/>
      <c r="BN36" s="4624"/>
      <c r="BO36" s="4624"/>
      <c r="BP36" s="4624"/>
      <c r="BQ36" s="4624"/>
      <c r="BR36" s="4624"/>
    </row>
    <row r="37" spans="1:70" ht="60" x14ac:dyDescent="0.2">
      <c r="A37" s="1020"/>
      <c r="B37" s="2372"/>
      <c r="C37" s="1019"/>
      <c r="D37" s="2372"/>
      <c r="E37" s="1019"/>
      <c r="F37" s="2419"/>
      <c r="G37" s="2372"/>
      <c r="H37" s="2419"/>
      <c r="I37" s="2420"/>
      <c r="J37" s="4601"/>
      <c r="K37" s="4604"/>
      <c r="L37" s="4607"/>
      <c r="M37" s="3192"/>
      <c r="N37" s="3192"/>
      <c r="O37" s="4607"/>
      <c r="P37" s="4607"/>
      <c r="Q37" s="4604"/>
      <c r="R37" s="4613"/>
      <c r="S37" s="4616"/>
      <c r="T37" s="4604"/>
      <c r="U37" s="4604"/>
      <c r="V37" s="2384" t="s">
        <v>2020</v>
      </c>
      <c r="W37" s="992">
        <v>60000000</v>
      </c>
      <c r="X37" s="1052">
        <v>21235000</v>
      </c>
      <c r="Y37" s="1052">
        <v>4734000</v>
      </c>
      <c r="Z37" s="2385">
        <v>61</v>
      </c>
      <c r="AA37" s="2386" t="s">
        <v>1981</v>
      </c>
      <c r="AB37" s="4627"/>
      <c r="AC37" s="4629"/>
      <c r="AD37" s="4630"/>
      <c r="AE37" s="4629"/>
      <c r="AF37" s="4627"/>
      <c r="AG37" s="4629"/>
      <c r="AH37" s="4627"/>
      <c r="AI37" s="4629"/>
      <c r="AJ37" s="4627"/>
      <c r="AK37" s="4629"/>
      <c r="AL37" s="4627"/>
      <c r="AM37" s="4629"/>
      <c r="AN37" s="4627"/>
      <c r="AO37" s="4629"/>
      <c r="AP37" s="4627"/>
      <c r="AQ37" s="4629"/>
      <c r="AR37" s="4627"/>
      <c r="AS37" s="4629"/>
      <c r="AT37" s="4627"/>
      <c r="AU37" s="4629"/>
      <c r="AV37" s="4627"/>
      <c r="AW37" s="4629"/>
      <c r="AX37" s="4627"/>
      <c r="AY37" s="4629"/>
      <c r="AZ37" s="4627"/>
      <c r="BA37" s="4629"/>
      <c r="BB37" s="4627"/>
      <c r="BC37" s="4629"/>
      <c r="BD37" s="4627"/>
      <c r="BE37" s="4629"/>
      <c r="BF37" s="4627"/>
      <c r="BG37" s="4629"/>
      <c r="BH37" s="4634"/>
      <c r="BI37" s="3207"/>
      <c r="BJ37" s="3207"/>
      <c r="BK37" s="3201"/>
      <c r="BL37" s="3192"/>
      <c r="BM37" s="3192"/>
      <c r="BN37" s="4624"/>
      <c r="BO37" s="4624"/>
      <c r="BP37" s="4624"/>
      <c r="BQ37" s="4624"/>
      <c r="BR37" s="4624"/>
    </row>
    <row r="38" spans="1:70" ht="15.75" x14ac:dyDescent="0.2">
      <c r="A38" s="1020"/>
      <c r="B38" s="2372"/>
      <c r="C38" s="1019"/>
      <c r="D38" s="2372"/>
      <c r="E38" s="1019"/>
      <c r="F38" s="2421"/>
      <c r="G38" s="2406">
        <v>37</v>
      </c>
      <c r="H38" s="2375" t="s">
        <v>2021</v>
      </c>
      <c r="I38" s="2375"/>
      <c r="J38" s="2375"/>
      <c r="K38" s="2407"/>
      <c r="L38" s="2375"/>
      <c r="M38" s="2422"/>
      <c r="N38" s="2422"/>
      <c r="O38" s="2407"/>
      <c r="P38" s="2407"/>
      <c r="Q38" s="2407"/>
      <c r="R38" s="2407"/>
      <c r="S38" s="2407"/>
      <c r="T38" s="2407"/>
      <c r="U38" s="2407"/>
      <c r="V38" s="2407"/>
      <c r="W38" s="2423"/>
      <c r="X38" s="2423"/>
      <c r="Y38" s="2423"/>
      <c r="Z38" s="2407"/>
      <c r="AA38" s="2413"/>
      <c r="AB38" s="2407"/>
      <c r="AC38" s="2407"/>
      <c r="AD38" s="2407"/>
      <c r="AE38" s="2407"/>
      <c r="AF38" s="2407"/>
      <c r="AG38" s="2407"/>
      <c r="AH38" s="2407"/>
      <c r="AI38" s="2407"/>
      <c r="AJ38" s="2407"/>
      <c r="AK38" s="2407"/>
      <c r="AL38" s="2407"/>
      <c r="AM38" s="2407"/>
      <c r="AN38" s="2407"/>
      <c r="AO38" s="2407"/>
      <c r="AP38" s="2407"/>
      <c r="AQ38" s="2407"/>
      <c r="AR38" s="2407"/>
      <c r="AS38" s="2407"/>
      <c r="AT38" s="2407"/>
      <c r="AU38" s="2407"/>
      <c r="AV38" s="2407"/>
      <c r="AW38" s="2407"/>
      <c r="AX38" s="2407"/>
      <c r="AY38" s="2407"/>
      <c r="AZ38" s="2407"/>
      <c r="BA38" s="2407"/>
      <c r="BB38" s="2407"/>
      <c r="BC38" s="2407"/>
      <c r="BD38" s="2407"/>
      <c r="BE38" s="2407"/>
      <c r="BF38" s="2407"/>
      <c r="BG38" s="2407"/>
      <c r="BH38" s="2407"/>
      <c r="BI38" s="2423"/>
      <c r="BJ38" s="2423"/>
      <c r="BK38" s="2407"/>
      <c r="BL38" s="2407"/>
      <c r="BM38" s="2407"/>
      <c r="BN38" s="2407"/>
      <c r="BO38" s="2407"/>
      <c r="BP38" s="2407"/>
      <c r="BQ38" s="2407"/>
      <c r="BR38" s="2407"/>
    </row>
    <row r="39" spans="1:70" ht="135" customHeight="1" x14ac:dyDescent="0.2">
      <c r="A39" s="1020"/>
      <c r="B39" s="2372"/>
      <c r="C39" s="1019"/>
      <c r="D39" s="2372"/>
      <c r="E39" s="1019"/>
      <c r="F39" s="2424"/>
      <c r="G39" s="2425"/>
      <c r="H39" s="2425"/>
      <c r="I39" s="2426"/>
      <c r="J39" s="4599">
        <v>132</v>
      </c>
      <c r="K39" s="4602" t="s">
        <v>2022</v>
      </c>
      <c r="L39" s="4605" t="s">
        <v>1974</v>
      </c>
      <c r="M39" s="3594">
        <v>8</v>
      </c>
      <c r="N39" s="3594">
        <v>0</v>
      </c>
      <c r="O39" s="4605" t="s">
        <v>2023</v>
      </c>
      <c r="P39" s="4605" t="s">
        <v>2024</v>
      </c>
      <c r="Q39" s="4602" t="s">
        <v>2025</v>
      </c>
      <c r="R39" s="4638">
        <f>+(W39+W40+W41+W42)/S39</f>
        <v>0.1891891891891892</v>
      </c>
      <c r="S39" s="4641">
        <f>SUM(W39:W64)</f>
        <v>148000000</v>
      </c>
      <c r="T39" s="4602" t="s">
        <v>2026</v>
      </c>
      <c r="U39" s="4602" t="s">
        <v>2027</v>
      </c>
      <c r="V39" s="2384" t="s">
        <v>2028</v>
      </c>
      <c r="W39" s="2427">
        <v>10000000</v>
      </c>
      <c r="X39" s="1052">
        <v>6995000</v>
      </c>
      <c r="Y39" s="1052">
        <v>0</v>
      </c>
      <c r="Z39" s="2385">
        <v>61</v>
      </c>
      <c r="AA39" s="2417" t="s">
        <v>1981</v>
      </c>
      <c r="AB39" s="3190">
        <v>292684</v>
      </c>
      <c r="AC39" s="4635">
        <v>175610.4</v>
      </c>
      <c r="AD39" s="3190">
        <v>282326</v>
      </c>
      <c r="AE39" s="4635">
        <v>169395.6</v>
      </c>
      <c r="AF39" s="3190">
        <v>135912</v>
      </c>
      <c r="AG39" s="4635">
        <v>81547.199999999997</v>
      </c>
      <c r="AH39" s="3190">
        <v>45122</v>
      </c>
      <c r="AI39" s="4635">
        <v>27073.200000000001</v>
      </c>
      <c r="AJ39" s="3190">
        <v>307101</v>
      </c>
      <c r="AK39" s="4635">
        <v>184260.6</v>
      </c>
      <c r="AL39" s="3190">
        <v>86875</v>
      </c>
      <c r="AM39" s="4635">
        <v>52125</v>
      </c>
      <c r="AN39" s="3190">
        <v>2145</v>
      </c>
      <c r="AO39" s="4635">
        <v>1287</v>
      </c>
      <c r="AP39" s="3190">
        <v>12718</v>
      </c>
      <c r="AQ39" s="4635">
        <v>7630.7999999999993</v>
      </c>
      <c r="AR39" s="3190">
        <v>1907.6999999999998</v>
      </c>
      <c r="AS39" s="4635">
        <v>1144.6199999999999</v>
      </c>
      <c r="AT39" s="3190">
        <v>37</v>
      </c>
      <c r="AU39" s="4635">
        <v>22.2</v>
      </c>
      <c r="AV39" s="3190" t="s">
        <v>2015</v>
      </c>
      <c r="AW39" s="4635" t="s">
        <v>2015</v>
      </c>
      <c r="AX39" s="3190" t="s">
        <v>2015</v>
      </c>
      <c r="AY39" s="4635" t="s">
        <v>2015</v>
      </c>
      <c r="AZ39" s="3190">
        <v>53164</v>
      </c>
      <c r="BA39" s="4635">
        <v>31898.399999999998</v>
      </c>
      <c r="BB39" s="3190">
        <v>16982</v>
      </c>
      <c r="BC39" s="4635">
        <v>10189.199999999999</v>
      </c>
      <c r="BD39" s="3190">
        <v>60013</v>
      </c>
      <c r="BE39" s="4635">
        <v>36007.799999999996</v>
      </c>
      <c r="BF39" s="3190">
        <v>575010</v>
      </c>
      <c r="BG39" s="4635">
        <v>345006</v>
      </c>
      <c r="BH39" s="3190">
        <v>6</v>
      </c>
      <c r="BI39" s="3205">
        <f>SUM(X39:X64)</f>
        <v>90940000</v>
      </c>
      <c r="BJ39" s="3205">
        <f>SUM(Y39:Y64)</f>
        <v>12592000</v>
      </c>
      <c r="BK39" s="3199">
        <f>+BJ39/BI39</f>
        <v>0.13846492192654497</v>
      </c>
      <c r="BL39" s="3190">
        <v>61</v>
      </c>
      <c r="BM39" s="3190" t="s">
        <v>1982</v>
      </c>
      <c r="BN39" s="4623">
        <v>43466</v>
      </c>
      <c r="BO39" s="4623">
        <v>43467</v>
      </c>
      <c r="BP39" s="4623">
        <v>43830</v>
      </c>
      <c r="BQ39" s="4623">
        <v>43830</v>
      </c>
      <c r="BR39" s="4623" t="s">
        <v>1983</v>
      </c>
    </row>
    <row r="40" spans="1:70" ht="45" x14ac:dyDescent="0.2">
      <c r="A40" s="1020"/>
      <c r="B40" s="2372"/>
      <c r="C40" s="1019"/>
      <c r="D40" s="2372"/>
      <c r="E40" s="1019"/>
      <c r="F40" s="2424"/>
      <c r="G40" s="2428"/>
      <c r="H40" s="2428"/>
      <c r="I40" s="2429"/>
      <c r="J40" s="4600"/>
      <c r="K40" s="4603"/>
      <c r="L40" s="4606"/>
      <c r="M40" s="3595"/>
      <c r="N40" s="3595"/>
      <c r="O40" s="4606"/>
      <c r="P40" s="4606"/>
      <c r="Q40" s="4603"/>
      <c r="R40" s="4639"/>
      <c r="S40" s="4642"/>
      <c r="T40" s="4603"/>
      <c r="U40" s="4603"/>
      <c r="V40" s="2384" t="s">
        <v>2029</v>
      </c>
      <c r="W40" s="2427">
        <v>10000000</v>
      </c>
      <c r="X40" s="1052">
        <v>6995000</v>
      </c>
      <c r="Y40" s="1052">
        <v>0</v>
      </c>
      <c r="Z40" s="2385">
        <v>61</v>
      </c>
      <c r="AA40" s="2417" t="s">
        <v>1981</v>
      </c>
      <c r="AB40" s="3191"/>
      <c r="AC40" s="4636"/>
      <c r="AD40" s="3191"/>
      <c r="AE40" s="4636"/>
      <c r="AF40" s="3191"/>
      <c r="AG40" s="4636"/>
      <c r="AH40" s="3191"/>
      <c r="AI40" s="4636"/>
      <c r="AJ40" s="3191"/>
      <c r="AK40" s="4636"/>
      <c r="AL40" s="3191"/>
      <c r="AM40" s="4636"/>
      <c r="AN40" s="3191"/>
      <c r="AO40" s="4636"/>
      <c r="AP40" s="3191"/>
      <c r="AQ40" s="4636"/>
      <c r="AR40" s="3191"/>
      <c r="AS40" s="4636"/>
      <c r="AT40" s="3191"/>
      <c r="AU40" s="4636"/>
      <c r="AV40" s="3191"/>
      <c r="AW40" s="4636"/>
      <c r="AX40" s="3191"/>
      <c r="AY40" s="4636"/>
      <c r="AZ40" s="3191"/>
      <c r="BA40" s="4636"/>
      <c r="BB40" s="3191"/>
      <c r="BC40" s="4636"/>
      <c r="BD40" s="3191"/>
      <c r="BE40" s="4636"/>
      <c r="BF40" s="3191"/>
      <c r="BG40" s="4636"/>
      <c r="BH40" s="3191"/>
      <c r="BI40" s="3206"/>
      <c r="BJ40" s="3206"/>
      <c r="BK40" s="3200"/>
      <c r="BL40" s="3191"/>
      <c r="BM40" s="3191"/>
      <c r="BN40" s="4624"/>
      <c r="BO40" s="4624"/>
      <c r="BP40" s="4624"/>
      <c r="BQ40" s="4624"/>
      <c r="BR40" s="4624"/>
    </row>
    <row r="41" spans="1:70" ht="75" x14ac:dyDescent="0.2">
      <c r="A41" s="1020"/>
      <c r="B41" s="2372"/>
      <c r="C41" s="1019"/>
      <c r="D41" s="2372"/>
      <c r="E41" s="1019"/>
      <c r="F41" s="2424"/>
      <c r="G41" s="2428"/>
      <c r="H41" s="2428"/>
      <c r="I41" s="2429"/>
      <c r="J41" s="4600"/>
      <c r="K41" s="4603"/>
      <c r="L41" s="4606"/>
      <c r="M41" s="3595"/>
      <c r="N41" s="3595"/>
      <c r="O41" s="4606"/>
      <c r="P41" s="4606"/>
      <c r="Q41" s="4603"/>
      <c r="R41" s="4639"/>
      <c r="S41" s="4642"/>
      <c r="T41" s="4603"/>
      <c r="U41" s="4603"/>
      <c r="V41" s="2384" t="s">
        <v>2030</v>
      </c>
      <c r="W41" s="2427">
        <v>2000000</v>
      </c>
      <c r="X41" s="1052">
        <v>0</v>
      </c>
      <c r="Y41" s="1052">
        <v>0</v>
      </c>
      <c r="Z41" s="2385">
        <v>61</v>
      </c>
      <c r="AA41" s="2417" t="s">
        <v>1981</v>
      </c>
      <c r="AB41" s="3191"/>
      <c r="AC41" s="4636"/>
      <c r="AD41" s="3191"/>
      <c r="AE41" s="4636"/>
      <c r="AF41" s="3191"/>
      <c r="AG41" s="4636"/>
      <c r="AH41" s="3191"/>
      <c r="AI41" s="4636"/>
      <c r="AJ41" s="3191"/>
      <c r="AK41" s="4636"/>
      <c r="AL41" s="3191"/>
      <c r="AM41" s="4636"/>
      <c r="AN41" s="3191"/>
      <c r="AO41" s="4636"/>
      <c r="AP41" s="3191"/>
      <c r="AQ41" s="4636"/>
      <c r="AR41" s="3191"/>
      <c r="AS41" s="4636"/>
      <c r="AT41" s="3191"/>
      <c r="AU41" s="4636"/>
      <c r="AV41" s="3191"/>
      <c r="AW41" s="4636"/>
      <c r="AX41" s="3191"/>
      <c r="AY41" s="4636"/>
      <c r="AZ41" s="3191"/>
      <c r="BA41" s="4636"/>
      <c r="BB41" s="3191"/>
      <c r="BC41" s="4636"/>
      <c r="BD41" s="3191"/>
      <c r="BE41" s="4636"/>
      <c r="BF41" s="3191"/>
      <c r="BG41" s="4636"/>
      <c r="BH41" s="3191"/>
      <c r="BI41" s="3206"/>
      <c r="BJ41" s="3206"/>
      <c r="BK41" s="3200"/>
      <c r="BL41" s="3191"/>
      <c r="BM41" s="3191"/>
      <c r="BN41" s="4624"/>
      <c r="BO41" s="4624"/>
      <c r="BP41" s="4624"/>
      <c r="BQ41" s="4624"/>
      <c r="BR41" s="4624"/>
    </row>
    <row r="42" spans="1:70" ht="75" x14ac:dyDescent="0.2">
      <c r="A42" s="1020"/>
      <c r="B42" s="2372"/>
      <c r="C42" s="1019"/>
      <c r="D42" s="2372"/>
      <c r="E42" s="1019"/>
      <c r="F42" s="2424"/>
      <c r="G42" s="2428"/>
      <c r="H42" s="2428"/>
      <c r="I42" s="2429"/>
      <c r="J42" s="4601"/>
      <c r="K42" s="4604"/>
      <c r="L42" s="4607"/>
      <c r="M42" s="3596"/>
      <c r="N42" s="3596"/>
      <c r="O42" s="4606"/>
      <c r="P42" s="4606"/>
      <c r="Q42" s="4603"/>
      <c r="R42" s="4640"/>
      <c r="S42" s="4642"/>
      <c r="T42" s="4603"/>
      <c r="U42" s="4603"/>
      <c r="V42" s="2384" t="s">
        <v>2031</v>
      </c>
      <c r="W42" s="2427">
        <v>6000000</v>
      </c>
      <c r="X42" s="1052">
        <v>0</v>
      </c>
      <c r="Y42" s="1052">
        <v>0</v>
      </c>
      <c r="Z42" s="2385">
        <v>61</v>
      </c>
      <c r="AA42" s="2417" t="s">
        <v>1981</v>
      </c>
      <c r="AB42" s="3191"/>
      <c r="AC42" s="4636"/>
      <c r="AD42" s="3191"/>
      <c r="AE42" s="4636"/>
      <c r="AF42" s="3191"/>
      <c r="AG42" s="4636"/>
      <c r="AH42" s="3191"/>
      <c r="AI42" s="4636"/>
      <c r="AJ42" s="3191"/>
      <c r="AK42" s="4636"/>
      <c r="AL42" s="3191"/>
      <c r="AM42" s="4636"/>
      <c r="AN42" s="3191"/>
      <c r="AO42" s="4636"/>
      <c r="AP42" s="3191"/>
      <c r="AQ42" s="4636"/>
      <c r="AR42" s="3191"/>
      <c r="AS42" s="4636"/>
      <c r="AT42" s="3191"/>
      <c r="AU42" s="4636"/>
      <c r="AV42" s="3191"/>
      <c r="AW42" s="4636"/>
      <c r="AX42" s="3191"/>
      <c r="AY42" s="4636"/>
      <c r="AZ42" s="3191"/>
      <c r="BA42" s="4636"/>
      <c r="BB42" s="3191"/>
      <c r="BC42" s="4636"/>
      <c r="BD42" s="3191"/>
      <c r="BE42" s="4636"/>
      <c r="BF42" s="3191"/>
      <c r="BG42" s="4636"/>
      <c r="BH42" s="3191"/>
      <c r="BI42" s="3206"/>
      <c r="BJ42" s="3206"/>
      <c r="BK42" s="3200"/>
      <c r="BL42" s="3191"/>
      <c r="BM42" s="3191"/>
      <c r="BN42" s="4624"/>
      <c r="BO42" s="4624"/>
      <c r="BP42" s="4624"/>
      <c r="BQ42" s="4624"/>
      <c r="BR42" s="4624"/>
    </row>
    <row r="43" spans="1:70" ht="60" customHeight="1" x14ac:dyDescent="0.2">
      <c r="A43" s="1020"/>
      <c r="B43" s="2372"/>
      <c r="C43" s="1019"/>
      <c r="D43" s="2372"/>
      <c r="E43" s="1019"/>
      <c r="F43" s="2424"/>
      <c r="G43" s="2428"/>
      <c r="H43" s="2428"/>
      <c r="I43" s="2429"/>
      <c r="J43" s="4600">
        <v>133</v>
      </c>
      <c r="K43" s="4602" t="s">
        <v>2032</v>
      </c>
      <c r="L43" s="4606" t="s">
        <v>1974</v>
      </c>
      <c r="M43" s="3594">
        <v>12</v>
      </c>
      <c r="N43" s="3594">
        <v>8</v>
      </c>
      <c r="O43" s="4606"/>
      <c r="P43" s="4606"/>
      <c r="Q43" s="4603"/>
      <c r="R43" s="3182">
        <f>+(W43+W44+W45+W46+W47)/S39</f>
        <v>0.1891891891891892</v>
      </c>
      <c r="S43" s="4642"/>
      <c r="T43" s="4603"/>
      <c r="U43" s="4603"/>
      <c r="V43" s="2384" t="s">
        <v>2033</v>
      </c>
      <c r="W43" s="2427">
        <v>8000000</v>
      </c>
      <c r="X43" s="1052">
        <v>5900000</v>
      </c>
      <c r="Y43" s="1052">
        <v>3180000</v>
      </c>
      <c r="Z43" s="2385">
        <v>61</v>
      </c>
      <c r="AA43" s="2417" t="s">
        <v>1981</v>
      </c>
      <c r="AB43" s="3191"/>
      <c r="AC43" s="4636"/>
      <c r="AD43" s="3191"/>
      <c r="AE43" s="4636"/>
      <c r="AF43" s="3191"/>
      <c r="AG43" s="4636"/>
      <c r="AH43" s="3191"/>
      <c r="AI43" s="4636"/>
      <c r="AJ43" s="3191"/>
      <c r="AK43" s="4636"/>
      <c r="AL43" s="3191"/>
      <c r="AM43" s="4636"/>
      <c r="AN43" s="3191"/>
      <c r="AO43" s="4636"/>
      <c r="AP43" s="3191"/>
      <c r="AQ43" s="4636"/>
      <c r="AR43" s="3191"/>
      <c r="AS43" s="4636"/>
      <c r="AT43" s="3191"/>
      <c r="AU43" s="4636"/>
      <c r="AV43" s="3191"/>
      <c r="AW43" s="4636"/>
      <c r="AX43" s="3191"/>
      <c r="AY43" s="4636"/>
      <c r="AZ43" s="3191"/>
      <c r="BA43" s="4636"/>
      <c r="BB43" s="3191"/>
      <c r="BC43" s="4636"/>
      <c r="BD43" s="3191"/>
      <c r="BE43" s="4636"/>
      <c r="BF43" s="3191"/>
      <c r="BG43" s="4636"/>
      <c r="BH43" s="3191"/>
      <c r="BI43" s="3206"/>
      <c r="BJ43" s="3206"/>
      <c r="BK43" s="3200"/>
      <c r="BL43" s="3191"/>
      <c r="BM43" s="3191"/>
      <c r="BN43" s="4624"/>
      <c r="BO43" s="4624"/>
      <c r="BP43" s="4624"/>
      <c r="BQ43" s="4624"/>
      <c r="BR43" s="4624"/>
    </row>
    <row r="44" spans="1:70" ht="60" x14ac:dyDescent="0.2">
      <c r="A44" s="1020"/>
      <c r="B44" s="2372"/>
      <c r="C44" s="1019"/>
      <c r="D44" s="2372"/>
      <c r="E44" s="1019"/>
      <c r="F44" s="2424"/>
      <c r="G44" s="2428"/>
      <c r="H44" s="2428"/>
      <c r="I44" s="2429"/>
      <c r="J44" s="4600"/>
      <c r="K44" s="4603"/>
      <c r="L44" s="4606"/>
      <c r="M44" s="3595"/>
      <c r="N44" s="3595"/>
      <c r="O44" s="4606"/>
      <c r="P44" s="4606"/>
      <c r="Q44" s="4603"/>
      <c r="R44" s="3183"/>
      <c r="S44" s="4642"/>
      <c r="T44" s="4603"/>
      <c r="U44" s="4603"/>
      <c r="V44" s="2384" t="s">
        <v>2034</v>
      </c>
      <c r="W44" s="2427">
        <v>10000000</v>
      </c>
      <c r="X44" s="1052">
        <v>10000000</v>
      </c>
      <c r="Y44" s="1052">
        <v>0</v>
      </c>
      <c r="Z44" s="2385">
        <v>61</v>
      </c>
      <c r="AA44" s="2417" t="s">
        <v>1981</v>
      </c>
      <c r="AB44" s="3191"/>
      <c r="AC44" s="4636"/>
      <c r="AD44" s="3191"/>
      <c r="AE44" s="4636"/>
      <c r="AF44" s="3191"/>
      <c r="AG44" s="4636"/>
      <c r="AH44" s="3191"/>
      <c r="AI44" s="4636"/>
      <c r="AJ44" s="3191"/>
      <c r="AK44" s="4636"/>
      <c r="AL44" s="3191"/>
      <c r="AM44" s="4636"/>
      <c r="AN44" s="3191"/>
      <c r="AO44" s="4636"/>
      <c r="AP44" s="3191"/>
      <c r="AQ44" s="4636"/>
      <c r="AR44" s="3191"/>
      <c r="AS44" s="4636"/>
      <c r="AT44" s="3191"/>
      <c r="AU44" s="4636"/>
      <c r="AV44" s="3191"/>
      <c r="AW44" s="4636"/>
      <c r="AX44" s="3191"/>
      <c r="AY44" s="4636"/>
      <c r="AZ44" s="3191"/>
      <c r="BA44" s="4636"/>
      <c r="BB44" s="3191"/>
      <c r="BC44" s="4636"/>
      <c r="BD44" s="3191"/>
      <c r="BE44" s="4636"/>
      <c r="BF44" s="3191"/>
      <c r="BG44" s="4636"/>
      <c r="BH44" s="3191"/>
      <c r="BI44" s="3206"/>
      <c r="BJ44" s="3206"/>
      <c r="BK44" s="3200"/>
      <c r="BL44" s="3191"/>
      <c r="BM44" s="3191"/>
      <c r="BN44" s="4624"/>
      <c r="BO44" s="4624"/>
      <c r="BP44" s="4624"/>
      <c r="BQ44" s="4624"/>
      <c r="BR44" s="4624"/>
    </row>
    <row r="45" spans="1:70" ht="90" x14ac:dyDescent="0.2">
      <c r="A45" s="1020"/>
      <c r="B45" s="2372"/>
      <c r="C45" s="1019"/>
      <c r="D45" s="2372"/>
      <c r="E45" s="1019"/>
      <c r="F45" s="2424"/>
      <c r="G45" s="2428"/>
      <c r="H45" s="2428"/>
      <c r="I45" s="2429"/>
      <c r="J45" s="4600"/>
      <c r="K45" s="4603"/>
      <c r="L45" s="4606"/>
      <c r="M45" s="3595"/>
      <c r="N45" s="3595"/>
      <c r="O45" s="4606"/>
      <c r="P45" s="4606"/>
      <c r="Q45" s="4603"/>
      <c r="R45" s="3183"/>
      <c r="S45" s="4642"/>
      <c r="T45" s="4603"/>
      <c r="U45" s="4603"/>
      <c r="V45" s="2384" t="s">
        <v>2035</v>
      </c>
      <c r="W45" s="2427">
        <v>2000000</v>
      </c>
      <c r="X45" s="1052">
        <v>0</v>
      </c>
      <c r="Y45" s="1052">
        <v>0</v>
      </c>
      <c r="Z45" s="2385">
        <v>61</v>
      </c>
      <c r="AA45" s="2417" t="s">
        <v>1981</v>
      </c>
      <c r="AB45" s="3191"/>
      <c r="AC45" s="4636"/>
      <c r="AD45" s="3191"/>
      <c r="AE45" s="4636"/>
      <c r="AF45" s="3191"/>
      <c r="AG45" s="4636"/>
      <c r="AH45" s="3191"/>
      <c r="AI45" s="4636"/>
      <c r="AJ45" s="3191"/>
      <c r="AK45" s="4636"/>
      <c r="AL45" s="3191"/>
      <c r="AM45" s="4636"/>
      <c r="AN45" s="3191"/>
      <c r="AO45" s="4636"/>
      <c r="AP45" s="3191"/>
      <c r="AQ45" s="4636"/>
      <c r="AR45" s="3191"/>
      <c r="AS45" s="4636"/>
      <c r="AT45" s="3191"/>
      <c r="AU45" s="4636"/>
      <c r="AV45" s="3191"/>
      <c r="AW45" s="4636"/>
      <c r="AX45" s="3191"/>
      <c r="AY45" s="4636"/>
      <c r="AZ45" s="3191"/>
      <c r="BA45" s="4636"/>
      <c r="BB45" s="3191"/>
      <c r="BC45" s="4636"/>
      <c r="BD45" s="3191"/>
      <c r="BE45" s="4636"/>
      <c r="BF45" s="3191"/>
      <c r="BG45" s="4636"/>
      <c r="BH45" s="3191"/>
      <c r="BI45" s="3206"/>
      <c r="BJ45" s="3206"/>
      <c r="BK45" s="3200"/>
      <c r="BL45" s="3191"/>
      <c r="BM45" s="3191"/>
      <c r="BN45" s="4624"/>
      <c r="BO45" s="4624"/>
      <c r="BP45" s="4624"/>
      <c r="BQ45" s="4624"/>
      <c r="BR45" s="4624"/>
    </row>
    <row r="46" spans="1:70" ht="60" x14ac:dyDescent="0.2">
      <c r="A46" s="1020"/>
      <c r="B46" s="2372"/>
      <c r="C46" s="1019"/>
      <c r="D46" s="2372"/>
      <c r="E46" s="1019"/>
      <c r="F46" s="2424"/>
      <c r="G46" s="2428"/>
      <c r="H46" s="2428"/>
      <c r="I46" s="2429"/>
      <c r="J46" s="4600"/>
      <c r="K46" s="4603"/>
      <c r="L46" s="4606"/>
      <c r="M46" s="3595"/>
      <c r="N46" s="3595"/>
      <c r="O46" s="4606"/>
      <c r="P46" s="4606"/>
      <c r="Q46" s="4603"/>
      <c r="R46" s="3183"/>
      <c r="S46" s="4642"/>
      <c r="T46" s="4603"/>
      <c r="U46" s="4603"/>
      <c r="V46" s="2384" t="s">
        <v>2036</v>
      </c>
      <c r="W46" s="2427">
        <v>4000000</v>
      </c>
      <c r="X46" s="1052">
        <v>0</v>
      </c>
      <c r="Y46" s="1052">
        <v>0</v>
      </c>
      <c r="Z46" s="2385">
        <v>61</v>
      </c>
      <c r="AA46" s="2417" t="s">
        <v>1981</v>
      </c>
      <c r="AB46" s="3191"/>
      <c r="AC46" s="4636"/>
      <c r="AD46" s="3191"/>
      <c r="AE46" s="4636"/>
      <c r="AF46" s="3191"/>
      <c r="AG46" s="4636"/>
      <c r="AH46" s="3191"/>
      <c r="AI46" s="4636"/>
      <c r="AJ46" s="3191"/>
      <c r="AK46" s="4636"/>
      <c r="AL46" s="3191"/>
      <c r="AM46" s="4636"/>
      <c r="AN46" s="3191"/>
      <c r="AO46" s="4636"/>
      <c r="AP46" s="3191"/>
      <c r="AQ46" s="4636"/>
      <c r="AR46" s="3191"/>
      <c r="AS46" s="4636"/>
      <c r="AT46" s="3191"/>
      <c r="AU46" s="4636"/>
      <c r="AV46" s="3191"/>
      <c r="AW46" s="4636"/>
      <c r="AX46" s="3191"/>
      <c r="AY46" s="4636"/>
      <c r="AZ46" s="3191"/>
      <c r="BA46" s="4636"/>
      <c r="BB46" s="3191"/>
      <c r="BC46" s="4636"/>
      <c r="BD46" s="3191"/>
      <c r="BE46" s="4636"/>
      <c r="BF46" s="3191"/>
      <c r="BG46" s="4636"/>
      <c r="BH46" s="3191"/>
      <c r="BI46" s="3206"/>
      <c r="BJ46" s="3206"/>
      <c r="BK46" s="3200"/>
      <c r="BL46" s="3191"/>
      <c r="BM46" s="3191"/>
      <c r="BN46" s="4624"/>
      <c r="BO46" s="4624"/>
      <c r="BP46" s="4624"/>
      <c r="BQ46" s="4624"/>
      <c r="BR46" s="4624"/>
    </row>
    <row r="47" spans="1:70" ht="45" x14ac:dyDescent="0.2">
      <c r="A47" s="1020"/>
      <c r="B47" s="2372"/>
      <c r="C47" s="1019"/>
      <c r="D47" s="2372"/>
      <c r="E47" s="1019"/>
      <c r="F47" s="2424"/>
      <c r="G47" s="2428"/>
      <c r="H47" s="2428"/>
      <c r="I47" s="2429"/>
      <c r="J47" s="4601"/>
      <c r="K47" s="4604"/>
      <c r="L47" s="4607"/>
      <c r="M47" s="3596"/>
      <c r="N47" s="3596"/>
      <c r="O47" s="4606"/>
      <c r="P47" s="4606"/>
      <c r="Q47" s="4603"/>
      <c r="R47" s="3184"/>
      <c r="S47" s="4642"/>
      <c r="T47" s="4603"/>
      <c r="U47" s="4604"/>
      <c r="V47" s="2384" t="s">
        <v>2037</v>
      </c>
      <c r="W47" s="2427">
        <v>4000000</v>
      </c>
      <c r="X47" s="1052">
        <v>0</v>
      </c>
      <c r="Y47" s="1052">
        <v>0</v>
      </c>
      <c r="Z47" s="2385">
        <v>61</v>
      </c>
      <c r="AA47" s="2417" t="s">
        <v>1981</v>
      </c>
      <c r="AB47" s="3191"/>
      <c r="AC47" s="4636"/>
      <c r="AD47" s="3191"/>
      <c r="AE47" s="4636"/>
      <c r="AF47" s="3191"/>
      <c r="AG47" s="4636"/>
      <c r="AH47" s="3191"/>
      <c r="AI47" s="4636"/>
      <c r="AJ47" s="3191"/>
      <c r="AK47" s="4636"/>
      <c r="AL47" s="3191"/>
      <c r="AM47" s="4636"/>
      <c r="AN47" s="3191"/>
      <c r="AO47" s="4636"/>
      <c r="AP47" s="3191"/>
      <c r="AQ47" s="4636"/>
      <c r="AR47" s="3191"/>
      <c r="AS47" s="4636"/>
      <c r="AT47" s="3191"/>
      <c r="AU47" s="4636"/>
      <c r="AV47" s="3191"/>
      <c r="AW47" s="4636"/>
      <c r="AX47" s="3191"/>
      <c r="AY47" s="4636"/>
      <c r="AZ47" s="3191"/>
      <c r="BA47" s="4636"/>
      <c r="BB47" s="3191"/>
      <c r="BC47" s="4636"/>
      <c r="BD47" s="3191"/>
      <c r="BE47" s="4636"/>
      <c r="BF47" s="3191"/>
      <c r="BG47" s="4636"/>
      <c r="BH47" s="3191"/>
      <c r="BI47" s="3206"/>
      <c r="BJ47" s="3206"/>
      <c r="BK47" s="3200"/>
      <c r="BL47" s="3191"/>
      <c r="BM47" s="3191"/>
      <c r="BN47" s="4624"/>
      <c r="BO47" s="4624"/>
      <c r="BP47" s="4624"/>
      <c r="BQ47" s="4624"/>
      <c r="BR47" s="4624"/>
    </row>
    <row r="48" spans="1:70" ht="45" x14ac:dyDescent="0.2">
      <c r="A48" s="1020"/>
      <c r="B48" s="2372"/>
      <c r="C48" s="1019"/>
      <c r="D48" s="2372"/>
      <c r="E48" s="1019"/>
      <c r="F48" s="2424"/>
      <c r="G48" s="2428"/>
      <c r="H48" s="2428"/>
      <c r="I48" s="2429"/>
      <c r="J48" s="4599">
        <v>134</v>
      </c>
      <c r="K48" s="4602" t="s">
        <v>2038</v>
      </c>
      <c r="L48" s="4605" t="s">
        <v>1974</v>
      </c>
      <c r="M48" s="3594">
        <v>4800</v>
      </c>
      <c r="N48" s="3594">
        <v>1435</v>
      </c>
      <c r="O48" s="4606"/>
      <c r="P48" s="4606"/>
      <c r="Q48" s="4603"/>
      <c r="R48" s="4638">
        <f>+(W48+W49+W50+W51+W52+W53+W54+W55+W56+W57+W58+W59)/S39</f>
        <v>0.40540540540540543</v>
      </c>
      <c r="S48" s="4642"/>
      <c r="T48" s="4603"/>
      <c r="U48" s="4602" t="s">
        <v>2039</v>
      </c>
      <c r="V48" s="2384" t="s">
        <v>2040</v>
      </c>
      <c r="W48" s="2427">
        <v>5000000</v>
      </c>
      <c r="X48" s="1052">
        <v>3924000</v>
      </c>
      <c r="Y48" s="1052">
        <v>784000</v>
      </c>
      <c r="Z48" s="2385">
        <v>61</v>
      </c>
      <c r="AA48" s="2417" t="s">
        <v>1981</v>
      </c>
      <c r="AB48" s="3191"/>
      <c r="AC48" s="4636"/>
      <c r="AD48" s="3191"/>
      <c r="AE48" s="4636"/>
      <c r="AF48" s="3191"/>
      <c r="AG48" s="4636"/>
      <c r="AH48" s="3191"/>
      <c r="AI48" s="4636"/>
      <c r="AJ48" s="3191"/>
      <c r="AK48" s="4636"/>
      <c r="AL48" s="3191"/>
      <c r="AM48" s="4636"/>
      <c r="AN48" s="3191"/>
      <c r="AO48" s="4636"/>
      <c r="AP48" s="3191"/>
      <c r="AQ48" s="4636"/>
      <c r="AR48" s="3191"/>
      <c r="AS48" s="4636"/>
      <c r="AT48" s="3191"/>
      <c r="AU48" s="4636"/>
      <c r="AV48" s="3191"/>
      <c r="AW48" s="4636"/>
      <c r="AX48" s="3191"/>
      <c r="AY48" s="4636"/>
      <c r="AZ48" s="3191"/>
      <c r="BA48" s="4636"/>
      <c r="BB48" s="3191"/>
      <c r="BC48" s="4636"/>
      <c r="BD48" s="3191"/>
      <c r="BE48" s="4636"/>
      <c r="BF48" s="3191"/>
      <c r="BG48" s="4636"/>
      <c r="BH48" s="3191"/>
      <c r="BI48" s="3206"/>
      <c r="BJ48" s="3206"/>
      <c r="BK48" s="3200"/>
      <c r="BL48" s="3191"/>
      <c r="BM48" s="3191"/>
      <c r="BN48" s="4624"/>
      <c r="BO48" s="4624"/>
      <c r="BP48" s="4624"/>
      <c r="BQ48" s="4624"/>
      <c r="BR48" s="4624"/>
    </row>
    <row r="49" spans="1:70" ht="45" x14ac:dyDescent="0.2">
      <c r="A49" s="1020"/>
      <c r="B49" s="2372"/>
      <c r="C49" s="1019"/>
      <c r="D49" s="2372"/>
      <c r="E49" s="1019"/>
      <c r="F49" s="2424"/>
      <c r="G49" s="2428"/>
      <c r="H49" s="2428"/>
      <c r="I49" s="2429"/>
      <c r="J49" s="4600"/>
      <c r="K49" s="4603"/>
      <c r="L49" s="4606"/>
      <c r="M49" s="3595"/>
      <c r="N49" s="3595"/>
      <c r="O49" s="4606"/>
      <c r="P49" s="4606"/>
      <c r="Q49" s="4603"/>
      <c r="R49" s="4639"/>
      <c r="S49" s="4642"/>
      <c r="T49" s="4603"/>
      <c r="U49" s="4603"/>
      <c r="V49" s="2384" t="s">
        <v>2041</v>
      </c>
      <c r="W49" s="2427">
        <v>5000000</v>
      </c>
      <c r="X49" s="1052">
        <v>3924000</v>
      </c>
      <c r="Y49" s="1052">
        <v>784000</v>
      </c>
      <c r="Z49" s="2385">
        <v>61</v>
      </c>
      <c r="AA49" s="2417" t="s">
        <v>1981</v>
      </c>
      <c r="AB49" s="3191"/>
      <c r="AC49" s="4636"/>
      <c r="AD49" s="3191"/>
      <c r="AE49" s="4636"/>
      <c r="AF49" s="3191"/>
      <c r="AG49" s="4636"/>
      <c r="AH49" s="3191"/>
      <c r="AI49" s="4636"/>
      <c r="AJ49" s="3191"/>
      <c r="AK49" s="4636"/>
      <c r="AL49" s="3191"/>
      <c r="AM49" s="4636"/>
      <c r="AN49" s="3191"/>
      <c r="AO49" s="4636"/>
      <c r="AP49" s="3191"/>
      <c r="AQ49" s="4636"/>
      <c r="AR49" s="3191"/>
      <c r="AS49" s="4636"/>
      <c r="AT49" s="3191"/>
      <c r="AU49" s="4636"/>
      <c r="AV49" s="3191"/>
      <c r="AW49" s="4636"/>
      <c r="AX49" s="3191"/>
      <c r="AY49" s="4636"/>
      <c r="AZ49" s="3191"/>
      <c r="BA49" s="4636"/>
      <c r="BB49" s="3191"/>
      <c r="BC49" s="4636"/>
      <c r="BD49" s="3191"/>
      <c r="BE49" s="4636"/>
      <c r="BF49" s="3191"/>
      <c r="BG49" s="4636"/>
      <c r="BH49" s="3191"/>
      <c r="BI49" s="3206"/>
      <c r="BJ49" s="3206"/>
      <c r="BK49" s="3200"/>
      <c r="BL49" s="3191"/>
      <c r="BM49" s="3191"/>
      <c r="BN49" s="4624"/>
      <c r="BO49" s="4624"/>
      <c r="BP49" s="4624"/>
      <c r="BQ49" s="4624"/>
      <c r="BR49" s="4624"/>
    </row>
    <row r="50" spans="1:70" ht="60" x14ac:dyDescent="0.2">
      <c r="A50" s="1020"/>
      <c r="B50" s="2372"/>
      <c r="C50" s="1019"/>
      <c r="D50" s="2372"/>
      <c r="E50" s="1019"/>
      <c r="F50" s="2424"/>
      <c r="G50" s="2428"/>
      <c r="H50" s="2428"/>
      <c r="I50" s="2429"/>
      <c r="J50" s="4600"/>
      <c r="K50" s="4603"/>
      <c r="L50" s="4606"/>
      <c r="M50" s="3595"/>
      <c r="N50" s="3595"/>
      <c r="O50" s="4606"/>
      <c r="P50" s="4606"/>
      <c r="Q50" s="4603"/>
      <c r="R50" s="4639"/>
      <c r="S50" s="4642"/>
      <c r="T50" s="4603"/>
      <c r="U50" s="4603"/>
      <c r="V50" s="2384" t="s">
        <v>2042</v>
      </c>
      <c r="W50" s="2427">
        <v>5000000</v>
      </c>
      <c r="X50" s="1052">
        <v>3925000</v>
      </c>
      <c r="Y50" s="1052">
        <v>784000</v>
      </c>
      <c r="Z50" s="2385">
        <v>61</v>
      </c>
      <c r="AA50" s="2417" t="s">
        <v>1981</v>
      </c>
      <c r="AB50" s="3191"/>
      <c r="AC50" s="4636"/>
      <c r="AD50" s="3191"/>
      <c r="AE50" s="4636"/>
      <c r="AF50" s="3191"/>
      <c r="AG50" s="4636"/>
      <c r="AH50" s="3191"/>
      <c r="AI50" s="4636"/>
      <c r="AJ50" s="3191"/>
      <c r="AK50" s="4636"/>
      <c r="AL50" s="3191"/>
      <c r="AM50" s="4636"/>
      <c r="AN50" s="3191"/>
      <c r="AO50" s="4636"/>
      <c r="AP50" s="3191"/>
      <c r="AQ50" s="4636"/>
      <c r="AR50" s="3191"/>
      <c r="AS50" s="4636"/>
      <c r="AT50" s="3191"/>
      <c r="AU50" s="4636"/>
      <c r="AV50" s="3191"/>
      <c r="AW50" s="4636"/>
      <c r="AX50" s="3191"/>
      <c r="AY50" s="4636"/>
      <c r="AZ50" s="3191"/>
      <c r="BA50" s="4636"/>
      <c r="BB50" s="3191"/>
      <c r="BC50" s="4636"/>
      <c r="BD50" s="3191"/>
      <c r="BE50" s="4636"/>
      <c r="BF50" s="3191"/>
      <c r="BG50" s="4636"/>
      <c r="BH50" s="3191"/>
      <c r="BI50" s="3206"/>
      <c r="BJ50" s="3206"/>
      <c r="BK50" s="3200"/>
      <c r="BL50" s="3191"/>
      <c r="BM50" s="3191"/>
      <c r="BN50" s="4624"/>
      <c r="BO50" s="4624"/>
      <c r="BP50" s="4624"/>
      <c r="BQ50" s="4624"/>
      <c r="BR50" s="4624"/>
    </row>
    <row r="51" spans="1:70" ht="45" x14ac:dyDescent="0.2">
      <c r="A51" s="1020"/>
      <c r="B51" s="2372"/>
      <c r="C51" s="1019"/>
      <c r="D51" s="2372"/>
      <c r="E51" s="1019"/>
      <c r="F51" s="2424"/>
      <c r="G51" s="2428"/>
      <c r="H51" s="2428"/>
      <c r="I51" s="2429"/>
      <c r="J51" s="4600"/>
      <c r="K51" s="4603"/>
      <c r="L51" s="4606"/>
      <c r="M51" s="3595"/>
      <c r="N51" s="3595"/>
      <c r="O51" s="4606"/>
      <c r="P51" s="4606"/>
      <c r="Q51" s="4603"/>
      <c r="R51" s="4639"/>
      <c r="S51" s="4642"/>
      <c r="T51" s="4603"/>
      <c r="U51" s="4603"/>
      <c r="V51" s="2384" t="s">
        <v>2043</v>
      </c>
      <c r="W51" s="2427">
        <v>5000000</v>
      </c>
      <c r="X51" s="1052">
        <v>3921000</v>
      </c>
      <c r="Y51" s="1052">
        <v>784000</v>
      </c>
      <c r="Z51" s="2385">
        <v>61</v>
      </c>
      <c r="AA51" s="2417" t="s">
        <v>1981</v>
      </c>
      <c r="AB51" s="3191"/>
      <c r="AC51" s="4636"/>
      <c r="AD51" s="3191"/>
      <c r="AE51" s="4636"/>
      <c r="AF51" s="3191"/>
      <c r="AG51" s="4636"/>
      <c r="AH51" s="3191"/>
      <c r="AI51" s="4636"/>
      <c r="AJ51" s="3191"/>
      <c r="AK51" s="4636"/>
      <c r="AL51" s="3191"/>
      <c r="AM51" s="4636"/>
      <c r="AN51" s="3191"/>
      <c r="AO51" s="4636"/>
      <c r="AP51" s="3191"/>
      <c r="AQ51" s="4636"/>
      <c r="AR51" s="3191"/>
      <c r="AS51" s="4636"/>
      <c r="AT51" s="3191"/>
      <c r="AU51" s="4636"/>
      <c r="AV51" s="3191"/>
      <c r="AW51" s="4636"/>
      <c r="AX51" s="3191"/>
      <c r="AY51" s="4636"/>
      <c r="AZ51" s="3191"/>
      <c r="BA51" s="4636"/>
      <c r="BB51" s="3191"/>
      <c r="BC51" s="4636"/>
      <c r="BD51" s="3191"/>
      <c r="BE51" s="4636"/>
      <c r="BF51" s="3191"/>
      <c r="BG51" s="4636"/>
      <c r="BH51" s="3191"/>
      <c r="BI51" s="3206"/>
      <c r="BJ51" s="3206"/>
      <c r="BK51" s="3200"/>
      <c r="BL51" s="3191"/>
      <c r="BM51" s="3191"/>
      <c r="BN51" s="4624"/>
      <c r="BO51" s="4624"/>
      <c r="BP51" s="4624"/>
      <c r="BQ51" s="4624"/>
      <c r="BR51" s="4624"/>
    </row>
    <row r="52" spans="1:70" ht="60" x14ac:dyDescent="0.2">
      <c r="A52" s="1020"/>
      <c r="B52" s="2372"/>
      <c r="C52" s="1019"/>
      <c r="D52" s="2372"/>
      <c r="E52" s="1019"/>
      <c r="F52" s="2424"/>
      <c r="G52" s="2428"/>
      <c r="H52" s="2428"/>
      <c r="I52" s="2429"/>
      <c r="J52" s="4600"/>
      <c r="K52" s="4603"/>
      <c r="L52" s="4606"/>
      <c r="M52" s="3595"/>
      <c r="N52" s="3595"/>
      <c r="O52" s="4606"/>
      <c r="P52" s="4606"/>
      <c r="Q52" s="4603"/>
      <c r="R52" s="4639"/>
      <c r="S52" s="4642"/>
      <c r="T52" s="4603"/>
      <c r="U52" s="4603"/>
      <c r="V52" s="2384" t="s">
        <v>2044</v>
      </c>
      <c r="W52" s="2427">
        <v>5000000</v>
      </c>
      <c r="X52" s="1052">
        <v>3921000</v>
      </c>
      <c r="Y52" s="1052">
        <v>785000</v>
      </c>
      <c r="Z52" s="2385">
        <v>61</v>
      </c>
      <c r="AA52" s="2417" t="s">
        <v>1981</v>
      </c>
      <c r="AB52" s="3191"/>
      <c r="AC52" s="4636"/>
      <c r="AD52" s="3191"/>
      <c r="AE52" s="4636"/>
      <c r="AF52" s="3191"/>
      <c r="AG52" s="4636"/>
      <c r="AH52" s="3191"/>
      <c r="AI52" s="4636"/>
      <c r="AJ52" s="3191"/>
      <c r="AK52" s="4636"/>
      <c r="AL52" s="3191"/>
      <c r="AM52" s="4636"/>
      <c r="AN52" s="3191"/>
      <c r="AO52" s="4636"/>
      <c r="AP52" s="3191"/>
      <c r="AQ52" s="4636"/>
      <c r="AR52" s="3191"/>
      <c r="AS52" s="4636"/>
      <c r="AT52" s="3191"/>
      <c r="AU52" s="4636"/>
      <c r="AV52" s="3191"/>
      <c r="AW52" s="4636"/>
      <c r="AX52" s="3191"/>
      <c r="AY52" s="4636"/>
      <c r="AZ52" s="3191"/>
      <c r="BA52" s="4636"/>
      <c r="BB52" s="3191"/>
      <c r="BC52" s="4636"/>
      <c r="BD52" s="3191"/>
      <c r="BE52" s="4636"/>
      <c r="BF52" s="3191"/>
      <c r="BG52" s="4636"/>
      <c r="BH52" s="3191"/>
      <c r="BI52" s="3206"/>
      <c r="BJ52" s="3206"/>
      <c r="BK52" s="3200"/>
      <c r="BL52" s="3191"/>
      <c r="BM52" s="3191"/>
      <c r="BN52" s="4624"/>
      <c r="BO52" s="4624"/>
      <c r="BP52" s="4624"/>
      <c r="BQ52" s="4624"/>
      <c r="BR52" s="4624"/>
    </row>
    <row r="53" spans="1:70" ht="45" x14ac:dyDescent="0.2">
      <c r="A53" s="1020"/>
      <c r="B53" s="2372"/>
      <c r="C53" s="1019"/>
      <c r="D53" s="2372"/>
      <c r="E53" s="1019"/>
      <c r="F53" s="2424"/>
      <c r="G53" s="2428"/>
      <c r="H53" s="2428"/>
      <c r="I53" s="2429"/>
      <c r="J53" s="4600"/>
      <c r="K53" s="4603"/>
      <c r="L53" s="4606"/>
      <c r="M53" s="3595"/>
      <c r="N53" s="3595"/>
      <c r="O53" s="4606"/>
      <c r="P53" s="4606"/>
      <c r="Q53" s="4603"/>
      <c r="R53" s="4639"/>
      <c r="S53" s="4642"/>
      <c r="T53" s="4603"/>
      <c r="U53" s="4603"/>
      <c r="V53" s="2384" t="s">
        <v>2045</v>
      </c>
      <c r="W53" s="2427">
        <v>5000000</v>
      </c>
      <c r="X53" s="1052">
        <v>3921000</v>
      </c>
      <c r="Y53" s="1052">
        <v>785000</v>
      </c>
      <c r="Z53" s="2385">
        <v>61</v>
      </c>
      <c r="AA53" s="2417" t="s">
        <v>1981</v>
      </c>
      <c r="AB53" s="3191"/>
      <c r="AC53" s="4636"/>
      <c r="AD53" s="3191"/>
      <c r="AE53" s="4636"/>
      <c r="AF53" s="3191"/>
      <c r="AG53" s="4636"/>
      <c r="AH53" s="3191"/>
      <c r="AI53" s="4636"/>
      <c r="AJ53" s="3191"/>
      <c r="AK53" s="4636"/>
      <c r="AL53" s="3191"/>
      <c r="AM53" s="4636"/>
      <c r="AN53" s="3191"/>
      <c r="AO53" s="4636"/>
      <c r="AP53" s="3191"/>
      <c r="AQ53" s="4636"/>
      <c r="AR53" s="3191"/>
      <c r="AS53" s="4636"/>
      <c r="AT53" s="3191"/>
      <c r="AU53" s="4636"/>
      <c r="AV53" s="3191"/>
      <c r="AW53" s="4636"/>
      <c r="AX53" s="3191"/>
      <c r="AY53" s="4636"/>
      <c r="AZ53" s="3191"/>
      <c r="BA53" s="4636"/>
      <c r="BB53" s="3191"/>
      <c r="BC53" s="4636"/>
      <c r="BD53" s="3191"/>
      <c r="BE53" s="4636"/>
      <c r="BF53" s="3191"/>
      <c r="BG53" s="4636"/>
      <c r="BH53" s="3191"/>
      <c r="BI53" s="3206"/>
      <c r="BJ53" s="3206"/>
      <c r="BK53" s="3200"/>
      <c r="BL53" s="3191"/>
      <c r="BM53" s="3191"/>
      <c r="BN53" s="4624"/>
      <c r="BO53" s="4624"/>
      <c r="BP53" s="4624"/>
      <c r="BQ53" s="4624"/>
      <c r="BR53" s="4624"/>
    </row>
    <row r="54" spans="1:70" ht="60" x14ac:dyDescent="0.2">
      <c r="A54" s="1020"/>
      <c r="B54" s="2372"/>
      <c r="C54" s="1019"/>
      <c r="D54" s="2372"/>
      <c r="E54" s="1019"/>
      <c r="F54" s="2424"/>
      <c r="G54" s="2428"/>
      <c r="H54" s="2428"/>
      <c r="I54" s="2429"/>
      <c r="J54" s="4600"/>
      <c r="K54" s="4603"/>
      <c r="L54" s="4606"/>
      <c r="M54" s="3595"/>
      <c r="N54" s="3595"/>
      <c r="O54" s="4606"/>
      <c r="P54" s="4606"/>
      <c r="Q54" s="4603"/>
      <c r="R54" s="4639"/>
      <c r="S54" s="4642"/>
      <c r="T54" s="4603"/>
      <c r="U54" s="4603"/>
      <c r="V54" s="2384" t="s">
        <v>2046</v>
      </c>
      <c r="W54" s="2427">
        <v>5000000</v>
      </c>
      <c r="X54" s="1052">
        <v>3921000</v>
      </c>
      <c r="Y54" s="1052">
        <v>785000</v>
      </c>
      <c r="Z54" s="2385">
        <v>61</v>
      </c>
      <c r="AA54" s="2417" t="s">
        <v>1981</v>
      </c>
      <c r="AB54" s="3191"/>
      <c r="AC54" s="4636"/>
      <c r="AD54" s="3191"/>
      <c r="AE54" s="4636"/>
      <c r="AF54" s="3191"/>
      <c r="AG54" s="4636"/>
      <c r="AH54" s="3191"/>
      <c r="AI54" s="4636"/>
      <c r="AJ54" s="3191"/>
      <c r="AK54" s="4636"/>
      <c r="AL54" s="3191"/>
      <c r="AM54" s="4636"/>
      <c r="AN54" s="3191"/>
      <c r="AO54" s="4636"/>
      <c r="AP54" s="3191"/>
      <c r="AQ54" s="4636"/>
      <c r="AR54" s="3191"/>
      <c r="AS54" s="4636"/>
      <c r="AT54" s="3191"/>
      <c r="AU54" s="4636"/>
      <c r="AV54" s="3191"/>
      <c r="AW54" s="4636"/>
      <c r="AX54" s="3191"/>
      <c r="AY54" s="4636"/>
      <c r="AZ54" s="3191"/>
      <c r="BA54" s="4636"/>
      <c r="BB54" s="3191"/>
      <c r="BC54" s="4636"/>
      <c r="BD54" s="3191"/>
      <c r="BE54" s="4636"/>
      <c r="BF54" s="3191"/>
      <c r="BG54" s="4636"/>
      <c r="BH54" s="3191"/>
      <c r="BI54" s="3206"/>
      <c r="BJ54" s="3206"/>
      <c r="BK54" s="3200"/>
      <c r="BL54" s="3191"/>
      <c r="BM54" s="3191"/>
      <c r="BN54" s="4624"/>
      <c r="BO54" s="4624"/>
      <c r="BP54" s="4624"/>
      <c r="BQ54" s="4624"/>
      <c r="BR54" s="4624"/>
    </row>
    <row r="55" spans="1:70" ht="45" x14ac:dyDescent="0.2">
      <c r="A55" s="1020"/>
      <c r="B55" s="2372"/>
      <c r="C55" s="1019"/>
      <c r="D55" s="2372"/>
      <c r="E55" s="1019"/>
      <c r="F55" s="2424"/>
      <c r="G55" s="2428"/>
      <c r="H55" s="2428"/>
      <c r="I55" s="2429"/>
      <c r="J55" s="4600"/>
      <c r="K55" s="4603"/>
      <c r="L55" s="4606"/>
      <c r="M55" s="3595"/>
      <c r="N55" s="3595"/>
      <c r="O55" s="4606"/>
      <c r="P55" s="4606"/>
      <c r="Q55" s="4603"/>
      <c r="R55" s="4639"/>
      <c r="S55" s="4642"/>
      <c r="T55" s="4603"/>
      <c r="U55" s="4603"/>
      <c r="V55" s="2384" t="s">
        <v>2047</v>
      </c>
      <c r="W55" s="2427">
        <v>5000000</v>
      </c>
      <c r="X55" s="1052">
        <v>3921000</v>
      </c>
      <c r="Y55" s="1052">
        <v>785000</v>
      </c>
      <c r="Z55" s="2385">
        <v>61</v>
      </c>
      <c r="AA55" s="2417" t="s">
        <v>1981</v>
      </c>
      <c r="AB55" s="3191"/>
      <c r="AC55" s="4636"/>
      <c r="AD55" s="3191"/>
      <c r="AE55" s="4636"/>
      <c r="AF55" s="3191"/>
      <c r="AG55" s="4636"/>
      <c r="AH55" s="3191"/>
      <c r="AI55" s="4636"/>
      <c r="AJ55" s="3191"/>
      <c r="AK55" s="4636"/>
      <c r="AL55" s="3191"/>
      <c r="AM55" s="4636"/>
      <c r="AN55" s="3191"/>
      <c r="AO55" s="4636"/>
      <c r="AP55" s="3191"/>
      <c r="AQ55" s="4636"/>
      <c r="AR55" s="3191"/>
      <c r="AS55" s="4636"/>
      <c r="AT55" s="3191"/>
      <c r="AU55" s="4636"/>
      <c r="AV55" s="3191"/>
      <c r="AW55" s="4636"/>
      <c r="AX55" s="3191"/>
      <c r="AY55" s="4636"/>
      <c r="AZ55" s="3191"/>
      <c r="BA55" s="4636"/>
      <c r="BB55" s="3191"/>
      <c r="BC55" s="4636"/>
      <c r="BD55" s="3191"/>
      <c r="BE55" s="4636"/>
      <c r="BF55" s="3191"/>
      <c r="BG55" s="4636"/>
      <c r="BH55" s="3191"/>
      <c r="BI55" s="3206"/>
      <c r="BJ55" s="3206"/>
      <c r="BK55" s="3200"/>
      <c r="BL55" s="3191"/>
      <c r="BM55" s="3191"/>
      <c r="BN55" s="4624"/>
      <c r="BO55" s="4624"/>
      <c r="BP55" s="4624"/>
      <c r="BQ55" s="4624"/>
      <c r="BR55" s="4624"/>
    </row>
    <row r="56" spans="1:70" ht="45" x14ac:dyDescent="0.2">
      <c r="A56" s="1020"/>
      <c r="B56" s="2372"/>
      <c r="C56" s="1019"/>
      <c r="D56" s="2372"/>
      <c r="E56" s="1019"/>
      <c r="F56" s="2424"/>
      <c r="G56" s="2428"/>
      <c r="H56" s="2428"/>
      <c r="I56" s="2429"/>
      <c r="J56" s="4600"/>
      <c r="K56" s="4603"/>
      <c r="L56" s="4606"/>
      <c r="M56" s="3595"/>
      <c r="N56" s="3595"/>
      <c r="O56" s="4606"/>
      <c r="P56" s="4606"/>
      <c r="Q56" s="4603"/>
      <c r="R56" s="4639"/>
      <c r="S56" s="4642"/>
      <c r="T56" s="4603"/>
      <c r="U56" s="4603"/>
      <c r="V56" s="2384" t="s">
        <v>2048</v>
      </c>
      <c r="W56" s="2427">
        <v>5000000</v>
      </c>
      <c r="X56" s="1052">
        <v>3921000</v>
      </c>
      <c r="Y56" s="1052">
        <v>784000</v>
      </c>
      <c r="Z56" s="2385">
        <v>61</v>
      </c>
      <c r="AA56" s="2417" t="s">
        <v>1981</v>
      </c>
      <c r="AB56" s="3191"/>
      <c r="AC56" s="4636"/>
      <c r="AD56" s="3191"/>
      <c r="AE56" s="4636"/>
      <c r="AF56" s="3191"/>
      <c r="AG56" s="4636"/>
      <c r="AH56" s="3191"/>
      <c r="AI56" s="4636"/>
      <c r="AJ56" s="3191"/>
      <c r="AK56" s="4636"/>
      <c r="AL56" s="3191"/>
      <c r="AM56" s="4636"/>
      <c r="AN56" s="3191"/>
      <c r="AO56" s="4636"/>
      <c r="AP56" s="3191"/>
      <c r="AQ56" s="4636"/>
      <c r="AR56" s="3191"/>
      <c r="AS56" s="4636"/>
      <c r="AT56" s="3191"/>
      <c r="AU56" s="4636"/>
      <c r="AV56" s="3191"/>
      <c r="AW56" s="4636"/>
      <c r="AX56" s="3191"/>
      <c r="AY56" s="4636"/>
      <c r="AZ56" s="3191"/>
      <c r="BA56" s="4636"/>
      <c r="BB56" s="3191"/>
      <c r="BC56" s="4636"/>
      <c r="BD56" s="3191"/>
      <c r="BE56" s="4636"/>
      <c r="BF56" s="3191"/>
      <c r="BG56" s="4636"/>
      <c r="BH56" s="3191"/>
      <c r="BI56" s="3206"/>
      <c r="BJ56" s="3206"/>
      <c r="BK56" s="3200"/>
      <c r="BL56" s="3191"/>
      <c r="BM56" s="3191"/>
      <c r="BN56" s="4624"/>
      <c r="BO56" s="4624"/>
      <c r="BP56" s="4624"/>
      <c r="BQ56" s="4624"/>
      <c r="BR56" s="4624"/>
    </row>
    <row r="57" spans="1:70" ht="87.75" customHeight="1" x14ac:dyDescent="0.2">
      <c r="A57" s="1020"/>
      <c r="B57" s="2372"/>
      <c r="C57" s="1019"/>
      <c r="D57" s="2372"/>
      <c r="E57" s="1019"/>
      <c r="F57" s="2424"/>
      <c r="G57" s="2428"/>
      <c r="H57" s="2428"/>
      <c r="I57" s="2429"/>
      <c r="J57" s="4600"/>
      <c r="K57" s="4603"/>
      <c r="L57" s="4606"/>
      <c r="M57" s="3595"/>
      <c r="N57" s="3595"/>
      <c r="O57" s="4606"/>
      <c r="P57" s="4606"/>
      <c r="Q57" s="4603"/>
      <c r="R57" s="4639"/>
      <c r="S57" s="4642"/>
      <c r="T57" s="4603"/>
      <c r="U57" s="4603"/>
      <c r="V57" s="2384" t="s">
        <v>2042</v>
      </c>
      <c r="W57" s="2427">
        <v>5000000</v>
      </c>
      <c r="X57" s="1052">
        <v>3921000</v>
      </c>
      <c r="Y57" s="1052">
        <v>784000</v>
      </c>
      <c r="Z57" s="2385">
        <v>61</v>
      </c>
      <c r="AA57" s="2417" t="s">
        <v>1981</v>
      </c>
      <c r="AB57" s="3191"/>
      <c r="AC57" s="4636"/>
      <c r="AD57" s="3191"/>
      <c r="AE57" s="4636"/>
      <c r="AF57" s="3191"/>
      <c r="AG57" s="4636"/>
      <c r="AH57" s="3191"/>
      <c r="AI57" s="4636"/>
      <c r="AJ57" s="3191"/>
      <c r="AK57" s="4636"/>
      <c r="AL57" s="3191"/>
      <c r="AM57" s="4636"/>
      <c r="AN57" s="3191"/>
      <c r="AO57" s="4636"/>
      <c r="AP57" s="3191"/>
      <c r="AQ57" s="4636"/>
      <c r="AR57" s="3191"/>
      <c r="AS57" s="4636"/>
      <c r="AT57" s="3191"/>
      <c r="AU57" s="4636"/>
      <c r="AV57" s="3191"/>
      <c r="AW57" s="4636"/>
      <c r="AX57" s="3191"/>
      <c r="AY57" s="4636"/>
      <c r="AZ57" s="3191"/>
      <c r="BA57" s="4636"/>
      <c r="BB57" s="3191"/>
      <c r="BC57" s="4636"/>
      <c r="BD57" s="3191"/>
      <c r="BE57" s="4636"/>
      <c r="BF57" s="3191"/>
      <c r="BG57" s="4636"/>
      <c r="BH57" s="3191"/>
      <c r="BI57" s="3206"/>
      <c r="BJ57" s="3206"/>
      <c r="BK57" s="3200"/>
      <c r="BL57" s="3191"/>
      <c r="BM57" s="3191"/>
      <c r="BN57" s="4624"/>
      <c r="BO57" s="4624"/>
      <c r="BP57" s="4624"/>
      <c r="BQ57" s="4624"/>
      <c r="BR57" s="4624"/>
    </row>
    <row r="58" spans="1:70" ht="60" customHeight="1" x14ac:dyDescent="0.2">
      <c r="A58" s="1020"/>
      <c r="B58" s="2372"/>
      <c r="C58" s="1019"/>
      <c r="D58" s="2372"/>
      <c r="E58" s="1019"/>
      <c r="F58" s="2424"/>
      <c r="G58" s="2428"/>
      <c r="H58" s="2428"/>
      <c r="I58" s="2429"/>
      <c r="J58" s="4600"/>
      <c r="K58" s="4603"/>
      <c r="L58" s="4606"/>
      <c r="M58" s="3595"/>
      <c r="N58" s="3595"/>
      <c r="O58" s="4606"/>
      <c r="P58" s="4606"/>
      <c r="Q58" s="4603"/>
      <c r="R58" s="4639"/>
      <c r="S58" s="4642"/>
      <c r="T58" s="4603"/>
      <c r="U58" s="4603"/>
      <c r="V58" s="2384" t="s">
        <v>2041</v>
      </c>
      <c r="W58" s="2427">
        <v>5000000</v>
      </c>
      <c r="X58" s="1052">
        <v>3920000</v>
      </c>
      <c r="Y58" s="1052">
        <v>784000</v>
      </c>
      <c r="Z58" s="2385">
        <v>61</v>
      </c>
      <c r="AA58" s="2417" t="s">
        <v>1981</v>
      </c>
      <c r="AB58" s="3191"/>
      <c r="AC58" s="4636"/>
      <c r="AD58" s="3191"/>
      <c r="AE58" s="4636"/>
      <c r="AF58" s="3191"/>
      <c r="AG58" s="4636"/>
      <c r="AH58" s="3191"/>
      <c r="AI58" s="4636"/>
      <c r="AJ58" s="3191"/>
      <c r="AK58" s="4636"/>
      <c r="AL58" s="3191"/>
      <c r="AM58" s="4636"/>
      <c r="AN58" s="3191"/>
      <c r="AO58" s="4636"/>
      <c r="AP58" s="3191"/>
      <c r="AQ58" s="4636"/>
      <c r="AR58" s="3191"/>
      <c r="AS58" s="4636"/>
      <c r="AT58" s="3191"/>
      <c r="AU58" s="4636"/>
      <c r="AV58" s="3191"/>
      <c r="AW58" s="4636"/>
      <c r="AX58" s="3191"/>
      <c r="AY58" s="4636"/>
      <c r="AZ58" s="3191"/>
      <c r="BA58" s="4636"/>
      <c r="BB58" s="3191"/>
      <c r="BC58" s="4636"/>
      <c r="BD58" s="3191"/>
      <c r="BE58" s="4636"/>
      <c r="BF58" s="3191"/>
      <c r="BG58" s="4636"/>
      <c r="BH58" s="3191"/>
      <c r="BI58" s="3206"/>
      <c r="BJ58" s="3206"/>
      <c r="BK58" s="3200"/>
      <c r="BL58" s="3191"/>
      <c r="BM58" s="3191"/>
      <c r="BN58" s="4624"/>
      <c r="BO58" s="4624"/>
      <c r="BP58" s="4624"/>
      <c r="BQ58" s="4624"/>
      <c r="BR58" s="4624"/>
    </row>
    <row r="59" spans="1:70" ht="45" x14ac:dyDescent="0.2">
      <c r="A59" s="1020"/>
      <c r="B59" s="2372"/>
      <c r="C59" s="1019"/>
      <c r="D59" s="2372"/>
      <c r="E59" s="1019"/>
      <c r="F59" s="2424"/>
      <c r="G59" s="2428"/>
      <c r="H59" s="2428"/>
      <c r="I59" s="2429"/>
      <c r="J59" s="4601"/>
      <c r="K59" s="4604"/>
      <c r="L59" s="4607"/>
      <c r="M59" s="3596"/>
      <c r="N59" s="3596"/>
      <c r="O59" s="4606"/>
      <c r="P59" s="4606"/>
      <c r="Q59" s="4603"/>
      <c r="R59" s="4640"/>
      <c r="S59" s="4642"/>
      <c r="T59" s="4603"/>
      <c r="U59" s="4603"/>
      <c r="V59" s="2384" t="s">
        <v>2049</v>
      </c>
      <c r="W59" s="2427">
        <v>5000000</v>
      </c>
      <c r="X59" s="1052">
        <v>3920000</v>
      </c>
      <c r="Y59" s="1052">
        <v>784000</v>
      </c>
      <c r="Z59" s="2385">
        <v>61</v>
      </c>
      <c r="AA59" s="2417" t="s">
        <v>1981</v>
      </c>
      <c r="AB59" s="3191"/>
      <c r="AC59" s="4636"/>
      <c r="AD59" s="3191"/>
      <c r="AE59" s="4636"/>
      <c r="AF59" s="3191"/>
      <c r="AG59" s="4636"/>
      <c r="AH59" s="3191"/>
      <c r="AI59" s="4636"/>
      <c r="AJ59" s="3191"/>
      <c r="AK59" s="4636"/>
      <c r="AL59" s="3191"/>
      <c r="AM59" s="4636"/>
      <c r="AN59" s="3191"/>
      <c r="AO59" s="4636"/>
      <c r="AP59" s="3191"/>
      <c r="AQ59" s="4636"/>
      <c r="AR59" s="3191"/>
      <c r="AS59" s="4636"/>
      <c r="AT59" s="3191"/>
      <c r="AU59" s="4636"/>
      <c r="AV59" s="3191"/>
      <c r="AW59" s="4636"/>
      <c r="AX59" s="3191"/>
      <c r="AY59" s="4636"/>
      <c r="AZ59" s="3191"/>
      <c r="BA59" s="4636"/>
      <c r="BB59" s="3191"/>
      <c r="BC59" s="4636"/>
      <c r="BD59" s="3191"/>
      <c r="BE59" s="4636"/>
      <c r="BF59" s="3191"/>
      <c r="BG59" s="4636"/>
      <c r="BH59" s="3191"/>
      <c r="BI59" s="3206"/>
      <c r="BJ59" s="3206"/>
      <c r="BK59" s="3200"/>
      <c r="BL59" s="3191"/>
      <c r="BM59" s="3191"/>
      <c r="BN59" s="4624"/>
      <c r="BO59" s="4624"/>
      <c r="BP59" s="4624"/>
      <c r="BQ59" s="4624"/>
      <c r="BR59" s="4624"/>
    </row>
    <row r="60" spans="1:70" ht="102" customHeight="1" x14ac:dyDescent="0.2">
      <c r="A60" s="1020"/>
      <c r="B60" s="2372"/>
      <c r="C60" s="1019"/>
      <c r="D60" s="2372"/>
      <c r="E60" s="1019"/>
      <c r="F60" s="2424"/>
      <c r="G60" s="2428"/>
      <c r="H60" s="2428"/>
      <c r="I60" s="2429"/>
      <c r="J60" s="4599">
        <v>135</v>
      </c>
      <c r="K60" s="4602" t="s">
        <v>2050</v>
      </c>
      <c r="L60" s="4605" t="s">
        <v>1974</v>
      </c>
      <c r="M60" s="3594">
        <v>12</v>
      </c>
      <c r="N60" s="3594">
        <v>8</v>
      </c>
      <c r="O60" s="4606"/>
      <c r="P60" s="4606"/>
      <c r="Q60" s="4603"/>
      <c r="R60" s="4638">
        <f>+(W60+W61+W62+W63+W64)/S39</f>
        <v>0.21621621621621623</v>
      </c>
      <c r="S60" s="4642"/>
      <c r="T60" s="4603"/>
      <c r="U60" s="4603"/>
      <c r="V60" s="2384" t="s">
        <v>2051</v>
      </c>
      <c r="W60" s="2427">
        <v>8000000</v>
      </c>
      <c r="X60" s="1052">
        <v>2798000</v>
      </c>
      <c r="Y60" s="1052">
        <v>0</v>
      </c>
      <c r="Z60" s="2385">
        <v>61</v>
      </c>
      <c r="AA60" s="2417" t="s">
        <v>1981</v>
      </c>
      <c r="AB60" s="3191"/>
      <c r="AC60" s="4636"/>
      <c r="AD60" s="3191"/>
      <c r="AE60" s="4636"/>
      <c r="AF60" s="3191"/>
      <c r="AG60" s="4636"/>
      <c r="AH60" s="3191"/>
      <c r="AI60" s="4636"/>
      <c r="AJ60" s="3191"/>
      <c r="AK60" s="4636"/>
      <c r="AL60" s="3191"/>
      <c r="AM60" s="4636"/>
      <c r="AN60" s="3191"/>
      <c r="AO60" s="4636"/>
      <c r="AP60" s="3191"/>
      <c r="AQ60" s="4636"/>
      <c r="AR60" s="3191"/>
      <c r="AS60" s="4636"/>
      <c r="AT60" s="3191"/>
      <c r="AU60" s="4636"/>
      <c r="AV60" s="3191"/>
      <c r="AW60" s="4636"/>
      <c r="AX60" s="3191"/>
      <c r="AY60" s="4636"/>
      <c r="AZ60" s="3191"/>
      <c r="BA60" s="4636"/>
      <c r="BB60" s="3191"/>
      <c r="BC60" s="4636"/>
      <c r="BD60" s="3191"/>
      <c r="BE60" s="4636"/>
      <c r="BF60" s="3191"/>
      <c r="BG60" s="4636"/>
      <c r="BH60" s="3191"/>
      <c r="BI60" s="3206"/>
      <c r="BJ60" s="3206"/>
      <c r="BK60" s="3200"/>
      <c r="BL60" s="3191"/>
      <c r="BM60" s="3191"/>
      <c r="BN60" s="4624"/>
      <c r="BO60" s="4624"/>
      <c r="BP60" s="4624"/>
      <c r="BQ60" s="4624"/>
      <c r="BR60" s="4624"/>
    </row>
    <row r="61" spans="1:70" ht="75" x14ac:dyDescent="0.2">
      <c r="A61" s="1020"/>
      <c r="B61" s="2372"/>
      <c r="C61" s="1019"/>
      <c r="D61" s="2372"/>
      <c r="E61" s="1019"/>
      <c r="F61" s="2424"/>
      <c r="G61" s="2428"/>
      <c r="H61" s="2428"/>
      <c r="I61" s="2429"/>
      <c r="J61" s="4600"/>
      <c r="K61" s="4603"/>
      <c r="L61" s="4606"/>
      <c r="M61" s="3595"/>
      <c r="N61" s="3595"/>
      <c r="O61" s="4606"/>
      <c r="P61" s="4606"/>
      <c r="Q61" s="4603"/>
      <c r="R61" s="4639"/>
      <c r="S61" s="4642"/>
      <c r="T61" s="4603"/>
      <c r="U61" s="4603"/>
      <c r="V61" s="2384" t="s">
        <v>2052</v>
      </c>
      <c r="W61" s="2427">
        <v>10000000</v>
      </c>
      <c r="X61" s="1052">
        <v>2798000</v>
      </c>
      <c r="Y61" s="1052">
        <v>0</v>
      </c>
      <c r="Z61" s="2385">
        <v>61</v>
      </c>
      <c r="AA61" s="2417" t="s">
        <v>1981</v>
      </c>
      <c r="AB61" s="3191"/>
      <c r="AC61" s="4636"/>
      <c r="AD61" s="3191"/>
      <c r="AE61" s="4636"/>
      <c r="AF61" s="3191"/>
      <c r="AG61" s="4636"/>
      <c r="AH61" s="3191"/>
      <c r="AI61" s="4636"/>
      <c r="AJ61" s="3191"/>
      <c r="AK61" s="4636"/>
      <c r="AL61" s="3191"/>
      <c r="AM61" s="4636"/>
      <c r="AN61" s="3191"/>
      <c r="AO61" s="4636"/>
      <c r="AP61" s="3191"/>
      <c r="AQ61" s="4636"/>
      <c r="AR61" s="3191"/>
      <c r="AS61" s="4636"/>
      <c r="AT61" s="3191"/>
      <c r="AU61" s="4636"/>
      <c r="AV61" s="3191"/>
      <c r="AW61" s="4636"/>
      <c r="AX61" s="3191"/>
      <c r="AY61" s="4636"/>
      <c r="AZ61" s="3191"/>
      <c r="BA61" s="4636"/>
      <c r="BB61" s="3191"/>
      <c r="BC61" s="4636"/>
      <c r="BD61" s="3191"/>
      <c r="BE61" s="4636"/>
      <c r="BF61" s="3191"/>
      <c r="BG61" s="4636"/>
      <c r="BH61" s="3191"/>
      <c r="BI61" s="3206"/>
      <c r="BJ61" s="3206"/>
      <c r="BK61" s="3200"/>
      <c r="BL61" s="3191"/>
      <c r="BM61" s="3191"/>
      <c r="BN61" s="4624"/>
      <c r="BO61" s="4624"/>
      <c r="BP61" s="4624"/>
      <c r="BQ61" s="4624"/>
      <c r="BR61" s="4624"/>
    </row>
    <row r="62" spans="1:70" ht="69" customHeight="1" x14ac:dyDescent="0.2">
      <c r="A62" s="1020"/>
      <c r="B62" s="2372"/>
      <c r="C62" s="1019"/>
      <c r="D62" s="2372"/>
      <c r="E62" s="1019"/>
      <c r="F62" s="2424"/>
      <c r="G62" s="2428"/>
      <c r="H62" s="2428"/>
      <c r="I62" s="2429"/>
      <c r="J62" s="4600"/>
      <c r="K62" s="4603"/>
      <c r="L62" s="4606"/>
      <c r="M62" s="3595"/>
      <c r="N62" s="3595"/>
      <c r="O62" s="4606"/>
      <c r="P62" s="4606"/>
      <c r="Q62" s="4603"/>
      <c r="R62" s="4639"/>
      <c r="S62" s="4642"/>
      <c r="T62" s="4603"/>
      <c r="U62" s="4603"/>
      <c r="V62" s="2384" t="s">
        <v>2053</v>
      </c>
      <c r="W62" s="2427">
        <v>4000000</v>
      </c>
      <c r="X62" s="1052">
        <v>2798000</v>
      </c>
      <c r="Y62" s="1052">
        <v>0</v>
      </c>
      <c r="Z62" s="2385">
        <v>61</v>
      </c>
      <c r="AA62" s="2417" t="s">
        <v>1981</v>
      </c>
      <c r="AB62" s="3191"/>
      <c r="AC62" s="4636"/>
      <c r="AD62" s="3191"/>
      <c r="AE62" s="4636"/>
      <c r="AF62" s="3191"/>
      <c r="AG62" s="4636"/>
      <c r="AH62" s="3191"/>
      <c r="AI62" s="4636"/>
      <c r="AJ62" s="3191"/>
      <c r="AK62" s="4636"/>
      <c r="AL62" s="3191"/>
      <c r="AM62" s="4636"/>
      <c r="AN62" s="3191"/>
      <c r="AO62" s="4636"/>
      <c r="AP62" s="3191"/>
      <c r="AQ62" s="4636"/>
      <c r="AR62" s="3191"/>
      <c r="AS62" s="4636"/>
      <c r="AT62" s="3191"/>
      <c r="AU62" s="4636"/>
      <c r="AV62" s="3191"/>
      <c r="AW62" s="4636"/>
      <c r="AX62" s="3191"/>
      <c r="AY62" s="4636"/>
      <c r="AZ62" s="3191"/>
      <c r="BA62" s="4636"/>
      <c r="BB62" s="3191"/>
      <c r="BC62" s="4636"/>
      <c r="BD62" s="3191"/>
      <c r="BE62" s="4636"/>
      <c r="BF62" s="3191"/>
      <c r="BG62" s="4636"/>
      <c r="BH62" s="3191"/>
      <c r="BI62" s="3206"/>
      <c r="BJ62" s="3206"/>
      <c r="BK62" s="3200"/>
      <c r="BL62" s="3191"/>
      <c r="BM62" s="3191"/>
      <c r="BN62" s="4624"/>
      <c r="BO62" s="4624"/>
      <c r="BP62" s="4624"/>
      <c r="BQ62" s="4624"/>
      <c r="BR62" s="4624"/>
    </row>
    <row r="63" spans="1:70" ht="45" x14ac:dyDescent="0.2">
      <c r="A63" s="1020"/>
      <c r="B63" s="2372"/>
      <c r="C63" s="1019"/>
      <c r="D63" s="2372"/>
      <c r="E63" s="1019"/>
      <c r="F63" s="2424"/>
      <c r="G63" s="2428"/>
      <c r="H63" s="2428"/>
      <c r="I63" s="2429"/>
      <c r="J63" s="4600"/>
      <c r="K63" s="4603"/>
      <c r="L63" s="4606"/>
      <c r="M63" s="3595"/>
      <c r="N63" s="3595"/>
      <c r="O63" s="4606"/>
      <c r="P63" s="4606"/>
      <c r="Q63" s="4603"/>
      <c r="R63" s="4639"/>
      <c r="S63" s="4642"/>
      <c r="T63" s="4603"/>
      <c r="U63" s="4603"/>
      <c r="V63" s="2384" t="s">
        <v>2054</v>
      </c>
      <c r="W63" s="2427">
        <v>6000000</v>
      </c>
      <c r="X63" s="1052">
        <v>2798000</v>
      </c>
      <c r="Y63" s="1052">
        <v>0</v>
      </c>
      <c r="Z63" s="2385">
        <v>61</v>
      </c>
      <c r="AA63" s="2417" t="s">
        <v>1981</v>
      </c>
      <c r="AB63" s="3191"/>
      <c r="AC63" s="4636"/>
      <c r="AD63" s="3191"/>
      <c r="AE63" s="4636"/>
      <c r="AF63" s="3191"/>
      <c r="AG63" s="4636"/>
      <c r="AH63" s="3191"/>
      <c r="AI63" s="4636"/>
      <c r="AJ63" s="3191"/>
      <c r="AK63" s="4636"/>
      <c r="AL63" s="3191"/>
      <c r="AM63" s="4636"/>
      <c r="AN63" s="3191"/>
      <c r="AO63" s="4636"/>
      <c r="AP63" s="3191"/>
      <c r="AQ63" s="4636"/>
      <c r="AR63" s="3191"/>
      <c r="AS63" s="4636"/>
      <c r="AT63" s="3191"/>
      <c r="AU63" s="4636"/>
      <c r="AV63" s="3191"/>
      <c r="AW63" s="4636"/>
      <c r="AX63" s="3191"/>
      <c r="AY63" s="4636"/>
      <c r="AZ63" s="3191"/>
      <c r="BA63" s="4636"/>
      <c r="BB63" s="3191"/>
      <c r="BC63" s="4636"/>
      <c r="BD63" s="3191"/>
      <c r="BE63" s="4636"/>
      <c r="BF63" s="3191"/>
      <c r="BG63" s="4636"/>
      <c r="BH63" s="3191"/>
      <c r="BI63" s="3206"/>
      <c r="BJ63" s="3206"/>
      <c r="BK63" s="3200"/>
      <c r="BL63" s="3191"/>
      <c r="BM63" s="3191"/>
      <c r="BN63" s="4624"/>
      <c r="BO63" s="4624"/>
      <c r="BP63" s="4624"/>
      <c r="BQ63" s="4624"/>
      <c r="BR63" s="4624"/>
    </row>
    <row r="64" spans="1:70" ht="45" x14ac:dyDescent="0.2">
      <c r="A64" s="1020"/>
      <c r="B64" s="2372"/>
      <c r="C64" s="1019"/>
      <c r="D64" s="2372"/>
      <c r="E64" s="1019"/>
      <c r="F64" s="2424"/>
      <c r="G64" s="2430"/>
      <c r="H64" s="2430"/>
      <c r="I64" s="2431"/>
      <c r="J64" s="4601"/>
      <c r="K64" s="4604"/>
      <c r="L64" s="4607"/>
      <c r="M64" s="3596"/>
      <c r="N64" s="3596"/>
      <c r="O64" s="4607"/>
      <c r="P64" s="4607"/>
      <c r="Q64" s="4604"/>
      <c r="R64" s="4640"/>
      <c r="S64" s="4643"/>
      <c r="T64" s="4604"/>
      <c r="U64" s="4604"/>
      <c r="V64" s="2384" t="s">
        <v>2055</v>
      </c>
      <c r="W64" s="2427">
        <v>4000000</v>
      </c>
      <c r="X64" s="1052">
        <v>2798000</v>
      </c>
      <c r="Y64" s="1052">
        <v>0</v>
      </c>
      <c r="Z64" s="2385">
        <v>61</v>
      </c>
      <c r="AA64" s="2417" t="s">
        <v>1981</v>
      </c>
      <c r="AB64" s="3192"/>
      <c r="AC64" s="4637"/>
      <c r="AD64" s="3192"/>
      <c r="AE64" s="4637"/>
      <c r="AF64" s="3192"/>
      <c r="AG64" s="4637"/>
      <c r="AH64" s="3192"/>
      <c r="AI64" s="4637"/>
      <c r="AJ64" s="3192"/>
      <c r="AK64" s="4637"/>
      <c r="AL64" s="3192"/>
      <c r="AM64" s="4637"/>
      <c r="AN64" s="3192"/>
      <c r="AO64" s="4637"/>
      <c r="AP64" s="3192"/>
      <c r="AQ64" s="4637"/>
      <c r="AR64" s="3192"/>
      <c r="AS64" s="4637"/>
      <c r="AT64" s="3192"/>
      <c r="AU64" s="4637"/>
      <c r="AV64" s="3192"/>
      <c r="AW64" s="4637"/>
      <c r="AX64" s="3192"/>
      <c r="AY64" s="4637"/>
      <c r="AZ64" s="3192"/>
      <c r="BA64" s="4637"/>
      <c r="BB64" s="3192"/>
      <c r="BC64" s="4637"/>
      <c r="BD64" s="3192"/>
      <c r="BE64" s="4637"/>
      <c r="BF64" s="3192"/>
      <c r="BG64" s="4637"/>
      <c r="BH64" s="3192"/>
      <c r="BI64" s="3207"/>
      <c r="BJ64" s="3207"/>
      <c r="BK64" s="3201"/>
      <c r="BL64" s="3192"/>
      <c r="BM64" s="3192"/>
      <c r="BN64" s="4625"/>
      <c r="BO64" s="4625"/>
      <c r="BP64" s="4625"/>
      <c r="BQ64" s="4625"/>
      <c r="BR64" s="4625"/>
    </row>
    <row r="65" spans="1:70" ht="15" customHeight="1" x14ac:dyDescent="0.2">
      <c r="A65" s="1020"/>
      <c r="B65" s="2372"/>
      <c r="C65" s="1019"/>
      <c r="D65" s="2372"/>
      <c r="E65" s="1019"/>
      <c r="F65" s="2421"/>
      <c r="G65" s="2432">
        <v>38</v>
      </c>
      <c r="H65" s="2375" t="s">
        <v>2056</v>
      </c>
      <c r="I65" s="2375"/>
      <c r="J65" s="2375"/>
      <c r="K65" s="2407"/>
      <c r="L65" s="2375"/>
      <c r="M65" s="2408"/>
      <c r="N65" s="2408"/>
      <c r="O65" s="2375"/>
      <c r="P65" s="2375"/>
      <c r="Q65" s="2375"/>
      <c r="R65" s="2375"/>
      <c r="S65" s="2375"/>
      <c r="T65" s="2375"/>
      <c r="U65" s="2407"/>
      <c r="V65" s="2407"/>
      <c r="W65" s="2433"/>
      <c r="X65" s="2414"/>
      <c r="Y65" s="2414"/>
      <c r="Z65" s="2375"/>
      <c r="AA65" s="2413"/>
      <c r="AB65" s="2375"/>
      <c r="AC65" s="2375"/>
      <c r="AD65" s="2375"/>
      <c r="AE65" s="2375"/>
      <c r="AF65" s="2375"/>
      <c r="AG65" s="2375"/>
      <c r="AH65" s="2375"/>
      <c r="AI65" s="2375"/>
      <c r="AJ65" s="2375"/>
      <c r="AK65" s="2375"/>
      <c r="AL65" s="2375"/>
      <c r="AM65" s="2375"/>
      <c r="AN65" s="2375"/>
      <c r="AO65" s="2375"/>
      <c r="AP65" s="2375"/>
      <c r="AQ65" s="2375"/>
      <c r="AR65" s="2375"/>
      <c r="AS65" s="2375"/>
      <c r="AT65" s="2375"/>
      <c r="AU65" s="2375"/>
      <c r="AV65" s="2375"/>
      <c r="AW65" s="2375"/>
      <c r="AX65" s="2375"/>
      <c r="AY65" s="2375"/>
      <c r="AZ65" s="2375"/>
      <c r="BA65" s="2375"/>
      <c r="BB65" s="2375"/>
      <c r="BC65" s="2375"/>
      <c r="BD65" s="2375"/>
      <c r="BE65" s="2375"/>
      <c r="BF65" s="2375"/>
      <c r="BG65" s="2375"/>
      <c r="BH65" s="2375"/>
      <c r="BI65" s="2414"/>
      <c r="BJ65" s="2414"/>
      <c r="BK65" s="2375"/>
      <c r="BL65" s="2375"/>
      <c r="BM65" s="2375"/>
      <c r="BN65" s="2375"/>
      <c r="BO65" s="2375"/>
      <c r="BP65" s="2375"/>
      <c r="BQ65" s="2375"/>
      <c r="BR65" s="2434"/>
    </row>
    <row r="66" spans="1:70" ht="120" customHeight="1" x14ac:dyDescent="0.2">
      <c r="A66" s="1020"/>
      <c r="B66" s="2372"/>
      <c r="C66" s="1019"/>
      <c r="D66" s="2372"/>
      <c r="E66" s="1019"/>
      <c r="F66" s="2424"/>
      <c r="G66" s="2382"/>
      <c r="H66" s="2382"/>
      <c r="I66" s="2382"/>
      <c r="J66" s="4599">
        <v>136</v>
      </c>
      <c r="K66" s="4605" t="s">
        <v>2057</v>
      </c>
      <c r="L66" s="4605" t="s">
        <v>1974</v>
      </c>
      <c r="M66" s="3594">
        <v>12</v>
      </c>
      <c r="N66" s="3594">
        <v>0</v>
      </c>
      <c r="O66" s="4605" t="s">
        <v>2058</v>
      </c>
      <c r="P66" s="4605" t="s">
        <v>2059</v>
      </c>
      <c r="Q66" s="4602" t="s">
        <v>2060</v>
      </c>
      <c r="R66" s="4611">
        <f>+(W66+W67+W68+W69+W70+W71+W72+W73+W74)/S66</f>
        <v>0.25</v>
      </c>
      <c r="S66" s="4641">
        <f>SUM(W66:W84)</f>
        <v>112000000</v>
      </c>
      <c r="T66" s="4602" t="s">
        <v>2061</v>
      </c>
      <c r="U66" s="4602" t="s">
        <v>2062</v>
      </c>
      <c r="V66" s="2435" t="s">
        <v>2063</v>
      </c>
      <c r="W66" s="2436">
        <v>3000000</v>
      </c>
      <c r="X66" s="1052">
        <v>0</v>
      </c>
      <c r="Y66" s="1052">
        <v>0</v>
      </c>
      <c r="Z66" s="2385">
        <v>61</v>
      </c>
      <c r="AA66" s="2437" t="s">
        <v>1981</v>
      </c>
      <c r="AB66" s="4635">
        <v>292684</v>
      </c>
      <c r="AC66" s="4635">
        <v>146342</v>
      </c>
      <c r="AD66" s="4635">
        <v>282326</v>
      </c>
      <c r="AE66" s="4635">
        <v>141163</v>
      </c>
      <c r="AF66" s="4635">
        <v>135912</v>
      </c>
      <c r="AG66" s="4635">
        <v>67956</v>
      </c>
      <c r="AH66" s="4635">
        <v>45122</v>
      </c>
      <c r="AI66" s="4635">
        <v>22561</v>
      </c>
      <c r="AJ66" s="4635">
        <v>307101</v>
      </c>
      <c r="AK66" s="4635">
        <v>153550.5</v>
      </c>
      <c r="AL66" s="4635">
        <v>86875</v>
      </c>
      <c r="AM66" s="4635">
        <v>43437.5</v>
      </c>
      <c r="AN66" s="4635">
        <v>2145</v>
      </c>
      <c r="AO66" s="4635">
        <v>1072.5</v>
      </c>
      <c r="AP66" s="4635">
        <v>12718</v>
      </c>
      <c r="AQ66" s="4635">
        <v>6359</v>
      </c>
      <c r="AR66" s="4635">
        <v>26</v>
      </c>
      <c r="AS66" s="4635">
        <v>13</v>
      </c>
      <c r="AT66" s="4635">
        <v>37</v>
      </c>
      <c r="AU66" s="4635">
        <v>18.5</v>
      </c>
      <c r="AV66" s="4635" t="s">
        <v>2015</v>
      </c>
      <c r="AW66" s="4635" t="s">
        <v>2015</v>
      </c>
      <c r="AX66" s="4635" t="s">
        <v>2015</v>
      </c>
      <c r="AY66" s="4635" t="s">
        <v>2015</v>
      </c>
      <c r="AZ66" s="4635">
        <v>53164</v>
      </c>
      <c r="BA66" s="4635">
        <v>26582</v>
      </c>
      <c r="BB66" s="4635">
        <v>16982</v>
      </c>
      <c r="BC66" s="4635">
        <v>8491</v>
      </c>
      <c r="BD66" s="4635">
        <v>60013</v>
      </c>
      <c r="BE66" s="4635">
        <v>30006.5</v>
      </c>
      <c r="BF66" s="4635">
        <v>575010</v>
      </c>
      <c r="BG66" s="4635">
        <v>287505</v>
      </c>
      <c r="BH66" s="3190">
        <v>4</v>
      </c>
      <c r="BI66" s="3205">
        <f>SUM(X66:X84)</f>
        <v>55960000</v>
      </c>
      <c r="BJ66" s="3205">
        <f>SUM(Y66:Y84)</f>
        <v>5596000</v>
      </c>
      <c r="BK66" s="3199">
        <f>+BJ66/BI66</f>
        <v>0.1</v>
      </c>
      <c r="BL66" s="3190">
        <v>61</v>
      </c>
      <c r="BM66" s="3190" t="s">
        <v>1982</v>
      </c>
      <c r="BN66" s="4623">
        <v>43466</v>
      </c>
      <c r="BO66" s="4623">
        <v>43467</v>
      </c>
      <c r="BP66" s="4623">
        <v>43830</v>
      </c>
      <c r="BQ66" s="4623">
        <v>43830</v>
      </c>
      <c r="BR66" s="4623" t="s">
        <v>1983</v>
      </c>
    </row>
    <row r="67" spans="1:70" ht="60" x14ac:dyDescent="0.2">
      <c r="A67" s="1020"/>
      <c r="B67" s="2372"/>
      <c r="C67" s="1019"/>
      <c r="D67" s="2372"/>
      <c r="E67" s="1019"/>
      <c r="F67" s="2424"/>
      <c r="G67" s="2378"/>
      <c r="H67" s="2378"/>
      <c r="I67" s="2378"/>
      <c r="J67" s="4600"/>
      <c r="K67" s="4606"/>
      <c r="L67" s="4606"/>
      <c r="M67" s="3595"/>
      <c r="N67" s="3595"/>
      <c r="O67" s="4606"/>
      <c r="P67" s="4606"/>
      <c r="Q67" s="4603"/>
      <c r="R67" s="4612"/>
      <c r="S67" s="4642"/>
      <c r="T67" s="4603"/>
      <c r="U67" s="4603"/>
      <c r="V67" s="2435" t="s">
        <v>2064</v>
      </c>
      <c r="W67" s="2436">
        <v>3000000</v>
      </c>
      <c r="X67" s="1052">
        <v>0</v>
      </c>
      <c r="Y67" s="1052">
        <v>0</v>
      </c>
      <c r="Z67" s="2385">
        <v>61</v>
      </c>
      <c r="AA67" s="2437" t="s">
        <v>1981</v>
      </c>
      <c r="AB67" s="4636"/>
      <c r="AC67" s="4636"/>
      <c r="AD67" s="4636"/>
      <c r="AE67" s="4636"/>
      <c r="AF67" s="4636"/>
      <c r="AG67" s="4636"/>
      <c r="AH67" s="4636"/>
      <c r="AI67" s="4636"/>
      <c r="AJ67" s="4636"/>
      <c r="AK67" s="4636"/>
      <c r="AL67" s="4636"/>
      <c r="AM67" s="4636"/>
      <c r="AN67" s="4636"/>
      <c r="AO67" s="4636"/>
      <c r="AP67" s="4636"/>
      <c r="AQ67" s="4636"/>
      <c r="AR67" s="4636"/>
      <c r="AS67" s="4636"/>
      <c r="AT67" s="4636"/>
      <c r="AU67" s="4636"/>
      <c r="AV67" s="4636"/>
      <c r="AW67" s="4636"/>
      <c r="AX67" s="4636"/>
      <c r="AY67" s="4636"/>
      <c r="AZ67" s="4636"/>
      <c r="BA67" s="4636"/>
      <c r="BB67" s="4636"/>
      <c r="BC67" s="4636"/>
      <c r="BD67" s="4636"/>
      <c r="BE67" s="4636"/>
      <c r="BF67" s="4636"/>
      <c r="BG67" s="4636"/>
      <c r="BH67" s="3191"/>
      <c r="BI67" s="3206"/>
      <c r="BJ67" s="3206"/>
      <c r="BK67" s="3200"/>
      <c r="BL67" s="3191"/>
      <c r="BM67" s="3191"/>
      <c r="BN67" s="4624"/>
      <c r="BO67" s="4624"/>
      <c r="BP67" s="4624"/>
      <c r="BQ67" s="4624"/>
      <c r="BR67" s="4624"/>
    </row>
    <row r="68" spans="1:70" ht="60" x14ac:dyDescent="0.2">
      <c r="A68" s="1020"/>
      <c r="B68" s="2372"/>
      <c r="C68" s="1019"/>
      <c r="D68" s="2372"/>
      <c r="E68" s="1019"/>
      <c r="F68" s="2424"/>
      <c r="G68" s="2378"/>
      <c r="H68" s="2378"/>
      <c r="I68" s="2378"/>
      <c r="J68" s="4600"/>
      <c r="K68" s="4606"/>
      <c r="L68" s="4606"/>
      <c r="M68" s="3595"/>
      <c r="N68" s="3595"/>
      <c r="O68" s="4606"/>
      <c r="P68" s="4606"/>
      <c r="Q68" s="4603"/>
      <c r="R68" s="4612"/>
      <c r="S68" s="4642"/>
      <c r="T68" s="4603"/>
      <c r="U68" s="4603"/>
      <c r="V68" s="2435" t="s">
        <v>2065</v>
      </c>
      <c r="W68" s="2436">
        <v>3000000</v>
      </c>
      <c r="X68" s="1052">
        <v>0</v>
      </c>
      <c r="Y68" s="1052">
        <v>0</v>
      </c>
      <c r="Z68" s="2385">
        <v>61</v>
      </c>
      <c r="AA68" s="2437" t="s">
        <v>1981</v>
      </c>
      <c r="AB68" s="4636"/>
      <c r="AC68" s="4636"/>
      <c r="AD68" s="4636"/>
      <c r="AE68" s="4636"/>
      <c r="AF68" s="4636"/>
      <c r="AG68" s="4636"/>
      <c r="AH68" s="4636"/>
      <c r="AI68" s="4636"/>
      <c r="AJ68" s="4636"/>
      <c r="AK68" s="4636"/>
      <c r="AL68" s="4636"/>
      <c r="AM68" s="4636"/>
      <c r="AN68" s="4636"/>
      <c r="AO68" s="4636"/>
      <c r="AP68" s="4636"/>
      <c r="AQ68" s="4636"/>
      <c r="AR68" s="4636"/>
      <c r="AS68" s="4636"/>
      <c r="AT68" s="4636"/>
      <c r="AU68" s="4636"/>
      <c r="AV68" s="4636"/>
      <c r="AW68" s="4636"/>
      <c r="AX68" s="4636"/>
      <c r="AY68" s="4636"/>
      <c r="AZ68" s="4636"/>
      <c r="BA68" s="4636"/>
      <c r="BB68" s="4636"/>
      <c r="BC68" s="4636"/>
      <c r="BD68" s="4636"/>
      <c r="BE68" s="4636"/>
      <c r="BF68" s="4636"/>
      <c r="BG68" s="4636"/>
      <c r="BH68" s="3191"/>
      <c r="BI68" s="3206"/>
      <c r="BJ68" s="3206"/>
      <c r="BK68" s="3200"/>
      <c r="BL68" s="3191"/>
      <c r="BM68" s="3191"/>
      <c r="BN68" s="4624"/>
      <c r="BO68" s="4624"/>
      <c r="BP68" s="4624"/>
      <c r="BQ68" s="4624"/>
      <c r="BR68" s="4624"/>
    </row>
    <row r="69" spans="1:70" ht="45" x14ac:dyDescent="0.2">
      <c r="A69" s="1020"/>
      <c r="B69" s="2372"/>
      <c r="C69" s="1019"/>
      <c r="D69" s="2372"/>
      <c r="E69" s="1019"/>
      <c r="F69" s="2424"/>
      <c r="G69" s="2378"/>
      <c r="H69" s="2378"/>
      <c r="I69" s="2378"/>
      <c r="J69" s="4600"/>
      <c r="K69" s="4606"/>
      <c r="L69" s="4606"/>
      <c r="M69" s="3595"/>
      <c r="N69" s="3595"/>
      <c r="O69" s="4606"/>
      <c r="P69" s="4606"/>
      <c r="Q69" s="4603"/>
      <c r="R69" s="4612"/>
      <c r="S69" s="4642"/>
      <c r="T69" s="4603"/>
      <c r="U69" s="4603"/>
      <c r="V69" s="2435" t="s">
        <v>2066</v>
      </c>
      <c r="W69" s="2436">
        <v>3000000</v>
      </c>
      <c r="X69" s="1052">
        <v>0</v>
      </c>
      <c r="Y69" s="1052">
        <v>0</v>
      </c>
      <c r="Z69" s="2385">
        <v>61</v>
      </c>
      <c r="AA69" s="2437" t="s">
        <v>1981</v>
      </c>
      <c r="AB69" s="4636"/>
      <c r="AC69" s="4636"/>
      <c r="AD69" s="4636"/>
      <c r="AE69" s="4636"/>
      <c r="AF69" s="4636"/>
      <c r="AG69" s="4636"/>
      <c r="AH69" s="4636"/>
      <c r="AI69" s="4636"/>
      <c r="AJ69" s="4636"/>
      <c r="AK69" s="4636"/>
      <c r="AL69" s="4636"/>
      <c r="AM69" s="4636"/>
      <c r="AN69" s="4636"/>
      <c r="AO69" s="4636"/>
      <c r="AP69" s="4636"/>
      <c r="AQ69" s="4636"/>
      <c r="AR69" s="4636"/>
      <c r="AS69" s="4636"/>
      <c r="AT69" s="4636"/>
      <c r="AU69" s="4636"/>
      <c r="AV69" s="4636"/>
      <c r="AW69" s="4636"/>
      <c r="AX69" s="4636"/>
      <c r="AY69" s="4636"/>
      <c r="AZ69" s="4636"/>
      <c r="BA69" s="4636"/>
      <c r="BB69" s="4636"/>
      <c r="BC69" s="4636"/>
      <c r="BD69" s="4636"/>
      <c r="BE69" s="4636"/>
      <c r="BF69" s="4636"/>
      <c r="BG69" s="4636"/>
      <c r="BH69" s="3191"/>
      <c r="BI69" s="3206"/>
      <c r="BJ69" s="3206"/>
      <c r="BK69" s="3200"/>
      <c r="BL69" s="3191"/>
      <c r="BM69" s="3191"/>
      <c r="BN69" s="4624"/>
      <c r="BO69" s="4624"/>
      <c r="BP69" s="4624"/>
      <c r="BQ69" s="4624"/>
      <c r="BR69" s="4624"/>
    </row>
    <row r="70" spans="1:70" ht="75" x14ac:dyDescent="0.2">
      <c r="A70" s="1020"/>
      <c r="B70" s="2372"/>
      <c r="C70" s="1019"/>
      <c r="D70" s="2372"/>
      <c r="E70" s="1019"/>
      <c r="F70" s="2424"/>
      <c r="G70" s="2378"/>
      <c r="H70" s="2378"/>
      <c r="I70" s="2378"/>
      <c r="J70" s="4600"/>
      <c r="K70" s="4606"/>
      <c r="L70" s="4606"/>
      <c r="M70" s="3595"/>
      <c r="N70" s="3595"/>
      <c r="O70" s="4606"/>
      <c r="P70" s="4606"/>
      <c r="Q70" s="4603"/>
      <c r="R70" s="4612"/>
      <c r="S70" s="4642"/>
      <c r="T70" s="4603"/>
      <c r="U70" s="4603"/>
      <c r="V70" s="2435" t="s">
        <v>2067</v>
      </c>
      <c r="W70" s="2436">
        <v>3000000</v>
      </c>
      <c r="X70" s="1052">
        <v>0</v>
      </c>
      <c r="Y70" s="1052">
        <v>0</v>
      </c>
      <c r="Z70" s="2385">
        <v>61</v>
      </c>
      <c r="AA70" s="2437" t="s">
        <v>1981</v>
      </c>
      <c r="AB70" s="4636"/>
      <c r="AC70" s="4636"/>
      <c r="AD70" s="4636"/>
      <c r="AE70" s="4636"/>
      <c r="AF70" s="4636"/>
      <c r="AG70" s="4636"/>
      <c r="AH70" s="4636"/>
      <c r="AI70" s="4636"/>
      <c r="AJ70" s="4636"/>
      <c r="AK70" s="4636"/>
      <c r="AL70" s="4636"/>
      <c r="AM70" s="4636"/>
      <c r="AN70" s="4636"/>
      <c r="AO70" s="4636"/>
      <c r="AP70" s="4636"/>
      <c r="AQ70" s="4636"/>
      <c r="AR70" s="4636"/>
      <c r="AS70" s="4636"/>
      <c r="AT70" s="4636"/>
      <c r="AU70" s="4636"/>
      <c r="AV70" s="4636"/>
      <c r="AW70" s="4636"/>
      <c r="AX70" s="4636"/>
      <c r="AY70" s="4636"/>
      <c r="AZ70" s="4636"/>
      <c r="BA70" s="4636"/>
      <c r="BB70" s="4636"/>
      <c r="BC70" s="4636"/>
      <c r="BD70" s="4636"/>
      <c r="BE70" s="4636"/>
      <c r="BF70" s="4636"/>
      <c r="BG70" s="4636"/>
      <c r="BH70" s="3191"/>
      <c r="BI70" s="3206"/>
      <c r="BJ70" s="3206"/>
      <c r="BK70" s="3200"/>
      <c r="BL70" s="3191"/>
      <c r="BM70" s="3191"/>
      <c r="BN70" s="4624"/>
      <c r="BO70" s="4624"/>
      <c r="BP70" s="4624"/>
      <c r="BQ70" s="4624"/>
      <c r="BR70" s="4624"/>
    </row>
    <row r="71" spans="1:70" ht="90" x14ac:dyDescent="0.2">
      <c r="A71" s="1020"/>
      <c r="B71" s="2372"/>
      <c r="C71" s="1019"/>
      <c r="D71" s="2372"/>
      <c r="E71" s="1019"/>
      <c r="F71" s="2424"/>
      <c r="G71" s="2378"/>
      <c r="H71" s="2378"/>
      <c r="I71" s="2378"/>
      <c r="J71" s="4600"/>
      <c r="K71" s="4606"/>
      <c r="L71" s="4606"/>
      <c r="M71" s="3595"/>
      <c r="N71" s="3595"/>
      <c r="O71" s="4606"/>
      <c r="P71" s="4606"/>
      <c r="Q71" s="4603"/>
      <c r="R71" s="4612"/>
      <c r="S71" s="4642"/>
      <c r="T71" s="4603"/>
      <c r="U71" s="4603"/>
      <c r="V71" s="2435" t="s">
        <v>2068</v>
      </c>
      <c r="W71" s="2436">
        <v>3000000</v>
      </c>
      <c r="X71" s="1052">
        <v>0</v>
      </c>
      <c r="Y71" s="1052">
        <v>0</v>
      </c>
      <c r="Z71" s="2385">
        <v>61</v>
      </c>
      <c r="AA71" s="2437" t="s">
        <v>1981</v>
      </c>
      <c r="AB71" s="4636"/>
      <c r="AC71" s="4636"/>
      <c r="AD71" s="4636"/>
      <c r="AE71" s="4636"/>
      <c r="AF71" s="4636"/>
      <c r="AG71" s="4636"/>
      <c r="AH71" s="4636"/>
      <c r="AI71" s="4636"/>
      <c r="AJ71" s="4636"/>
      <c r="AK71" s="4636"/>
      <c r="AL71" s="4636"/>
      <c r="AM71" s="4636"/>
      <c r="AN71" s="4636"/>
      <c r="AO71" s="4636"/>
      <c r="AP71" s="4636"/>
      <c r="AQ71" s="4636"/>
      <c r="AR71" s="4636"/>
      <c r="AS71" s="4636"/>
      <c r="AT71" s="4636"/>
      <c r="AU71" s="4636"/>
      <c r="AV71" s="4636"/>
      <c r="AW71" s="4636"/>
      <c r="AX71" s="4636"/>
      <c r="AY71" s="4636"/>
      <c r="AZ71" s="4636"/>
      <c r="BA71" s="4636"/>
      <c r="BB71" s="4636"/>
      <c r="BC71" s="4636"/>
      <c r="BD71" s="4636"/>
      <c r="BE71" s="4636"/>
      <c r="BF71" s="4636"/>
      <c r="BG71" s="4636"/>
      <c r="BH71" s="3191"/>
      <c r="BI71" s="3206"/>
      <c r="BJ71" s="3206"/>
      <c r="BK71" s="3200"/>
      <c r="BL71" s="3191"/>
      <c r="BM71" s="3191"/>
      <c r="BN71" s="4624"/>
      <c r="BO71" s="4624"/>
      <c r="BP71" s="4624"/>
      <c r="BQ71" s="4624"/>
      <c r="BR71" s="4624"/>
    </row>
    <row r="72" spans="1:70" ht="60" x14ac:dyDescent="0.2">
      <c r="A72" s="1020"/>
      <c r="B72" s="2372"/>
      <c r="C72" s="1019"/>
      <c r="D72" s="2372"/>
      <c r="E72" s="1019"/>
      <c r="F72" s="2424"/>
      <c r="G72" s="2378"/>
      <c r="H72" s="2378"/>
      <c r="I72" s="2378"/>
      <c r="J72" s="4600"/>
      <c r="K72" s="4606"/>
      <c r="L72" s="4606"/>
      <c r="M72" s="3595"/>
      <c r="N72" s="3595"/>
      <c r="O72" s="4606"/>
      <c r="P72" s="4606"/>
      <c r="Q72" s="4603"/>
      <c r="R72" s="4612"/>
      <c r="S72" s="4642"/>
      <c r="T72" s="4603"/>
      <c r="U72" s="4603"/>
      <c r="V72" s="2435" t="s">
        <v>2069</v>
      </c>
      <c r="W72" s="2436">
        <v>3000000</v>
      </c>
      <c r="X72" s="1052">
        <v>0</v>
      </c>
      <c r="Y72" s="1052">
        <v>0</v>
      </c>
      <c r="Z72" s="2385">
        <v>61</v>
      </c>
      <c r="AA72" s="2437" t="s">
        <v>1981</v>
      </c>
      <c r="AB72" s="4636"/>
      <c r="AC72" s="4636"/>
      <c r="AD72" s="4636"/>
      <c r="AE72" s="4636"/>
      <c r="AF72" s="4636"/>
      <c r="AG72" s="4636"/>
      <c r="AH72" s="4636"/>
      <c r="AI72" s="4636"/>
      <c r="AJ72" s="4636"/>
      <c r="AK72" s="4636"/>
      <c r="AL72" s="4636"/>
      <c r="AM72" s="4636"/>
      <c r="AN72" s="4636"/>
      <c r="AO72" s="4636"/>
      <c r="AP72" s="4636"/>
      <c r="AQ72" s="4636"/>
      <c r="AR72" s="4636"/>
      <c r="AS72" s="4636"/>
      <c r="AT72" s="4636"/>
      <c r="AU72" s="4636"/>
      <c r="AV72" s="4636"/>
      <c r="AW72" s="4636"/>
      <c r="AX72" s="4636"/>
      <c r="AY72" s="4636"/>
      <c r="AZ72" s="4636"/>
      <c r="BA72" s="4636"/>
      <c r="BB72" s="4636"/>
      <c r="BC72" s="4636"/>
      <c r="BD72" s="4636"/>
      <c r="BE72" s="4636"/>
      <c r="BF72" s="4636"/>
      <c r="BG72" s="4636"/>
      <c r="BH72" s="3191"/>
      <c r="BI72" s="3206"/>
      <c r="BJ72" s="3206"/>
      <c r="BK72" s="3200"/>
      <c r="BL72" s="3191"/>
      <c r="BM72" s="3191"/>
      <c r="BN72" s="4624"/>
      <c r="BO72" s="4624"/>
      <c r="BP72" s="4624"/>
      <c r="BQ72" s="4624"/>
      <c r="BR72" s="4624"/>
    </row>
    <row r="73" spans="1:70" ht="45" x14ac:dyDescent="0.2">
      <c r="A73" s="1020"/>
      <c r="B73" s="2372"/>
      <c r="C73" s="1019"/>
      <c r="D73" s="2372"/>
      <c r="E73" s="1019"/>
      <c r="F73" s="2424"/>
      <c r="G73" s="2378"/>
      <c r="H73" s="2378"/>
      <c r="I73" s="2378"/>
      <c r="J73" s="4600"/>
      <c r="K73" s="4606"/>
      <c r="L73" s="4606"/>
      <c r="M73" s="3595"/>
      <c r="N73" s="3595"/>
      <c r="O73" s="4606"/>
      <c r="P73" s="4606"/>
      <c r="Q73" s="4603"/>
      <c r="R73" s="4612"/>
      <c r="S73" s="4642"/>
      <c r="T73" s="4603"/>
      <c r="U73" s="4603"/>
      <c r="V73" s="2435" t="s">
        <v>2070</v>
      </c>
      <c r="W73" s="2436">
        <v>3000000</v>
      </c>
      <c r="X73" s="1052">
        <v>0</v>
      </c>
      <c r="Y73" s="1052">
        <v>0</v>
      </c>
      <c r="Z73" s="2385">
        <v>61</v>
      </c>
      <c r="AA73" s="2437" t="s">
        <v>1981</v>
      </c>
      <c r="AB73" s="4636"/>
      <c r="AC73" s="4636"/>
      <c r="AD73" s="4636"/>
      <c r="AE73" s="4636"/>
      <c r="AF73" s="4636"/>
      <c r="AG73" s="4636"/>
      <c r="AH73" s="4636"/>
      <c r="AI73" s="4636"/>
      <c r="AJ73" s="4636"/>
      <c r="AK73" s="4636"/>
      <c r="AL73" s="4636"/>
      <c r="AM73" s="4636"/>
      <c r="AN73" s="4636"/>
      <c r="AO73" s="4636"/>
      <c r="AP73" s="4636"/>
      <c r="AQ73" s="4636"/>
      <c r="AR73" s="4636"/>
      <c r="AS73" s="4636"/>
      <c r="AT73" s="4636"/>
      <c r="AU73" s="4636"/>
      <c r="AV73" s="4636"/>
      <c r="AW73" s="4636"/>
      <c r="AX73" s="4636"/>
      <c r="AY73" s="4636"/>
      <c r="AZ73" s="4636"/>
      <c r="BA73" s="4636"/>
      <c r="BB73" s="4636"/>
      <c r="BC73" s="4636"/>
      <c r="BD73" s="4636"/>
      <c r="BE73" s="4636"/>
      <c r="BF73" s="4636"/>
      <c r="BG73" s="4636"/>
      <c r="BH73" s="3191"/>
      <c r="BI73" s="3206"/>
      <c r="BJ73" s="3206"/>
      <c r="BK73" s="3200"/>
      <c r="BL73" s="3191"/>
      <c r="BM73" s="3191"/>
      <c r="BN73" s="4624"/>
      <c r="BO73" s="4624"/>
      <c r="BP73" s="4624"/>
      <c r="BQ73" s="4624"/>
      <c r="BR73" s="4624"/>
    </row>
    <row r="74" spans="1:70" ht="75" x14ac:dyDescent="0.2">
      <c r="A74" s="1020"/>
      <c r="B74" s="2372"/>
      <c r="C74" s="1019"/>
      <c r="D74" s="2372"/>
      <c r="E74" s="1019"/>
      <c r="F74" s="2424"/>
      <c r="G74" s="2378"/>
      <c r="H74" s="2378"/>
      <c r="I74" s="2378"/>
      <c r="J74" s="4601"/>
      <c r="K74" s="4607"/>
      <c r="L74" s="4607"/>
      <c r="M74" s="3596"/>
      <c r="N74" s="3596"/>
      <c r="O74" s="4606"/>
      <c r="P74" s="4606"/>
      <c r="Q74" s="4603"/>
      <c r="R74" s="4613"/>
      <c r="S74" s="4642"/>
      <c r="T74" s="4603"/>
      <c r="U74" s="4603"/>
      <c r="V74" s="2435" t="s">
        <v>2071</v>
      </c>
      <c r="W74" s="2436">
        <v>4000000</v>
      </c>
      <c r="X74" s="1052">
        <v>0</v>
      </c>
      <c r="Y74" s="1052">
        <v>0</v>
      </c>
      <c r="Z74" s="2385">
        <v>61</v>
      </c>
      <c r="AA74" s="2437" t="s">
        <v>1981</v>
      </c>
      <c r="AB74" s="4636"/>
      <c r="AC74" s="4636"/>
      <c r="AD74" s="4636"/>
      <c r="AE74" s="4636"/>
      <c r="AF74" s="4636"/>
      <c r="AG74" s="4636"/>
      <c r="AH74" s="4636"/>
      <c r="AI74" s="4636"/>
      <c r="AJ74" s="4636"/>
      <c r="AK74" s="4636"/>
      <c r="AL74" s="4636"/>
      <c r="AM74" s="4636"/>
      <c r="AN74" s="4636"/>
      <c r="AO74" s="4636"/>
      <c r="AP74" s="4636"/>
      <c r="AQ74" s="4636"/>
      <c r="AR74" s="4636"/>
      <c r="AS74" s="4636"/>
      <c r="AT74" s="4636"/>
      <c r="AU74" s="4636"/>
      <c r="AV74" s="4636"/>
      <c r="AW74" s="4636"/>
      <c r="AX74" s="4636"/>
      <c r="AY74" s="4636"/>
      <c r="AZ74" s="4636"/>
      <c r="BA74" s="4636"/>
      <c r="BB74" s="4636"/>
      <c r="BC74" s="4636"/>
      <c r="BD74" s="4636"/>
      <c r="BE74" s="4636"/>
      <c r="BF74" s="4636"/>
      <c r="BG74" s="4636"/>
      <c r="BH74" s="3191"/>
      <c r="BI74" s="3206"/>
      <c r="BJ74" s="3206"/>
      <c r="BK74" s="3200"/>
      <c r="BL74" s="3191"/>
      <c r="BM74" s="3191"/>
      <c r="BN74" s="4624"/>
      <c r="BO74" s="4624"/>
      <c r="BP74" s="4624"/>
      <c r="BQ74" s="4624"/>
      <c r="BR74" s="4624"/>
    </row>
    <row r="75" spans="1:70" ht="75" customHeight="1" x14ac:dyDescent="0.2">
      <c r="A75" s="1020"/>
      <c r="B75" s="2372"/>
      <c r="C75" s="1019"/>
      <c r="D75" s="2372"/>
      <c r="E75" s="1019"/>
      <c r="F75" s="2424"/>
      <c r="G75" s="2378"/>
      <c r="H75" s="2378"/>
      <c r="I75" s="2378"/>
      <c r="J75" s="4599">
        <v>137</v>
      </c>
      <c r="K75" s="4605" t="s">
        <v>2072</v>
      </c>
      <c r="L75" s="4605" t="s">
        <v>1974</v>
      </c>
      <c r="M75" s="3594">
        <v>12</v>
      </c>
      <c r="N75" s="3594">
        <v>0</v>
      </c>
      <c r="O75" s="4606"/>
      <c r="P75" s="4606"/>
      <c r="Q75" s="4603"/>
      <c r="R75" s="4612">
        <f>+(W75+W76+W77+W78+W79)/S66</f>
        <v>0.5</v>
      </c>
      <c r="S75" s="4642"/>
      <c r="T75" s="4603"/>
      <c r="U75" s="4602" t="s">
        <v>2073</v>
      </c>
      <c r="V75" s="2435" t="s">
        <v>2074</v>
      </c>
      <c r="W75" s="2436">
        <v>11000000</v>
      </c>
      <c r="X75" s="1052">
        <v>5596000</v>
      </c>
      <c r="Y75" s="1052">
        <v>559600</v>
      </c>
      <c r="Z75" s="2385">
        <v>61</v>
      </c>
      <c r="AA75" s="2437" t="s">
        <v>1981</v>
      </c>
      <c r="AB75" s="4636"/>
      <c r="AC75" s="4636"/>
      <c r="AD75" s="4636"/>
      <c r="AE75" s="4636"/>
      <c r="AF75" s="4636"/>
      <c r="AG75" s="4636"/>
      <c r="AH75" s="4636"/>
      <c r="AI75" s="4636"/>
      <c r="AJ75" s="4636"/>
      <c r="AK75" s="4636"/>
      <c r="AL75" s="4636"/>
      <c r="AM75" s="4636"/>
      <c r="AN75" s="4636"/>
      <c r="AO75" s="4636"/>
      <c r="AP75" s="4636"/>
      <c r="AQ75" s="4636"/>
      <c r="AR75" s="4636"/>
      <c r="AS75" s="4636"/>
      <c r="AT75" s="4636"/>
      <c r="AU75" s="4636"/>
      <c r="AV75" s="4636"/>
      <c r="AW75" s="4636"/>
      <c r="AX75" s="4636"/>
      <c r="AY75" s="4636"/>
      <c r="AZ75" s="4636"/>
      <c r="BA75" s="4636"/>
      <c r="BB75" s="4636"/>
      <c r="BC75" s="4636"/>
      <c r="BD75" s="4636"/>
      <c r="BE75" s="4636"/>
      <c r="BF75" s="4636"/>
      <c r="BG75" s="4636"/>
      <c r="BH75" s="3191"/>
      <c r="BI75" s="3206"/>
      <c r="BJ75" s="3206"/>
      <c r="BK75" s="3200"/>
      <c r="BL75" s="3191"/>
      <c r="BM75" s="3191"/>
      <c r="BN75" s="4624"/>
      <c r="BO75" s="4624"/>
      <c r="BP75" s="4624"/>
      <c r="BQ75" s="4624"/>
      <c r="BR75" s="4624"/>
    </row>
    <row r="76" spans="1:70" ht="60" x14ac:dyDescent="0.2">
      <c r="A76" s="1020"/>
      <c r="B76" s="2372"/>
      <c r="C76" s="1019"/>
      <c r="D76" s="2372"/>
      <c r="E76" s="1019"/>
      <c r="F76" s="2424"/>
      <c r="G76" s="2378"/>
      <c r="H76" s="2378"/>
      <c r="I76" s="2378"/>
      <c r="J76" s="4600"/>
      <c r="K76" s="4606"/>
      <c r="L76" s="4606"/>
      <c r="M76" s="3595"/>
      <c r="N76" s="3595"/>
      <c r="O76" s="4606"/>
      <c r="P76" s="4606"/>
      <c r="Q76" s="4603"/>
      <c r="R76" s="4612"/>
      <c r="S76" s="4642"/>
      <c r="T76" s="4603"/>
      <c r="U76" s="4603"/>
      <c r="V76" s="2435" t="s">
        <v>2075</v>
      </c>
      <c r="W76" s="2436">
        <v>11000000</v>
      </c>
      <c r="X76" s="1052">
        <v>5596000</v>
      </c>
      <c r="Y76" s="1052">
        <v>559600</v>
      </c>
      <c r="Z76" s="2385">
        <v>61</v>
      </c>
      <c r="AA76" s="2437" t="s">
        <v>1981</v>
      </c>
      <c r="AB76" s="4636"/>
      <c r="AC76" s="4636"/>
      <c r="AD76" s="4636"/>
      <c r="AE76" s="4636"/>
      <c r="AF76" s="4636"/>
      <c r="AG76" s="4636"/>
      <c r="AH76" s="4636"/>
      <c r="AI76" s="4636"/>
      <c r="AJ76" s="4636"/>
      <c r="AK76" s="4636"/>
      <c r="AL76" s="4636"/>
      <c r="AM76" s="4636"/>
      <c r="AN76" s="4636"/>
      <c r="AO76" s="4636"/>
      <c r="AP76" s="4636"/>
      <c r="AQ76" s="4636"/>
      <c r="AR76" s="4636"/>
      <c r="AS76" s="4636"/>
      <c r="AT76" s="4636"/>
      <c r="AU76" s="4636"/>
      <c r="AV76" s="4636"/>
      <c r="AW76" s="4636"/>
      <c r="AX76" s="4636"/>
      <c r="AY76" s="4636"/>
      <c r="AZ76" s="4636"/>
      <c r="BA76" s="4636"/>
      <c r="BB76" s="4636"/>
      <c r="BC76" s="4636"/>
      <c r="BD76" s="4636"/>
      <c r="BE76" s="4636"/>
      <c r="BF76" s="4636"/>
      <c r="BG76" s="4636"/>
      <c r="BH76" s="3191"/>
      <c r="BI76" s="3206"/>
      <c r="BJ76" s="3206"/>
      <c r="BK76" s="3200"/>
      <c r="BL76" s="3191"/>
      <c r="BM76" s="3191"/>
      <c r="BN76" s="4624"/>
      <c r="BO76" s="4624"/>
      <c r="BP76" s="4624"/>
      <c r="BQ76" s="4624"/>
      <c r="BR76" s="4624"/>
    </row>
    <row r="77" spans="1:70" ht="75" customHeight="1" x14ac:dyDescent="0.2">
      <c r="A77" s="1020"/>
      <c r="B77" s="2372"/>
      <c r="C77" s="1019"/>
      <c r="D77" s="2372"/>
      <c r="E77" s="1019"/>
      <c r="F77" s="2424"/>
      <c r="G77" s="2378"/>
      <c r="H77" s="2378"/>
      <c r="I77" s="2378"/>
      <c r="J77" s="4600"/>
      <c r="K77" s="4606"/>
      <c r="L77" s="4606"/>
      <c r="M77" s="3595"/>
      <c r="N77" s="3595"/>
      <c r="O77" s="4606"/>
      <c r="P77" s="4606"/>
      <c r="Q77" s="4603"/>
      <c r="R77" s="4612"/>
      <c r="S77" s="4642"/>
      <c r="T77" s="4603"/>
      <c r="U77" s="4603"/>
      <c r="V77" s="2435" t="s">
        <v>2076</v>
      </c>
      <c r="W77" s="2436">
        <v>11000000</v>
      </c>
      <c r="X77" s="1052">
        <v>5596000</v>
      </c>
      <c r="Y77" s="1052">
        <v>559600</v>
      </c>
      <c r="Z77" s="2385">
        <v>61</v>
      </c>
      <c r="AA77" s="2437" t="s">
        <v>1981</v>
      </c>
      <c r="AB77" s="4636"/>
      <c r="AC77" s="4636"/>
      <c r="AD77" s="4636"/>
      <c r="AE77" s="4636"/>
      <c r="AF77" s="4636"/>
      <c r="AG77" s="4636"/>
      <c r="AH77" s="4636"/>
      <c r="AI77" s="4636"/>
      <c r="AJ77" s="4636"/>
      <c r="AK77" s="4636"/>
      <c r="AL77" s="4636"/>
      <c r="AM77" s="4636"/>
      <c r="AN77" s="4636"/>
      <c r="AO77" s="4636"/>
      <c r="AP77" s="4636"/>
      <c r="AQ77" s="4636"/>
      <c r="AR77" s="4636"/>
      <c r="AS77" s="4636"/>
      <c r="AT77" s="4636"/>
      <c r="AU77" s="4636"/>
      <c r="AV77" s="4636"/>
      <c r="AW77" s="4636"/>
      <c r="AX77" s="4636"/>
      <c r="AY77" s="4636"/>
      <c r="AZ77" s="4636"/>
      <c r="BA77" s="4636"/>
      <c r="BB77" s="4636"/>
      <c r="BC77" s="4636"/>
      <c r="BD77" s="4636"/>
      <c r="BE77" s="4636"/>
      <c r="BF77" s="4636"/>
      <c r="BG77" s="4636"/>
      <c r="BH77" s="3191"/>
      <c r="BI77" s="3206"/>
      <c r="BJ77" s="3206"/>
      <c r="BK77" s="3200"/>
      <c r="BL77" s="3191"/>
      <c r="BM77" s="3191"/>
      <c r="BN77" s="4624"/>
      <c r="BO77" s="4624"/>
      <c r="BP77" s="4624"/>
      <c r="BQ77" s="4624"/>
      <c r="BR77" s="4624"/>
    </row>
    <row r="78" spans="1:70" ht="60" x14ac:dyDescent="0.2">
      <c r="A78" s="1020"/>
      <c r="B78" s="2372"/>
      <c r="C78" s="1019"/>
      <c r="D78" s="2372"/>
      <c r="E78" s="1019"/>
      <c r="F78" s="2424"/>
      <c r="G78" s="2378"/>
      <c r="H78" s="2378"/>
      <c r="I78" s="2378"/>
      <c r="J78" s="4600"/>
      <c r="K78" s="4606"/>
      <c r="L78" s="4606"/>
      <c r="M78" s="3595"/>
      <c r="N78" s="3595"/>
      <c r="O78" s="4606"/>
      <c r="P78" s="4606"/>
      <c r="Q78" s="4603"/>
      <c r="R78" s="4612"/>
      <c r="S78" s="4642"/>
      <c r="T78" s="4603"/>
      <c r="U78" s="4603"/>
      <c r="V78" s="2435" t="s">
        <v>2077</v>
      </c>
      <c r="W78" s="2436">
        <v>11000000</v>
      </c>
      <c r="X78" s="1052">
        <v>5596000</v>
      </c>
      <c r="Y78" s="1052">
        <v>559600</v>
      </c>
      <c r="Z78" s="2385">
        <v>61</v>
      </c>
      <c r="AA78" s="2437" t="s">
        <v>1981</v>
      </c>
      <c r="AB78" s="4636"/>
      <c r="AC78" s="4636"/>
      <c r="AD78" s="4636"/>
      <c r="AE78" s="4636"/>
      <c r="AF78" s="4636"/>
      <c r="AG78" s="4636"/>
      <c r="AH78" s="4636"/>
      <c r="AI78" s="4636"/>
      <c r="AJ78" s="4636"/>
      <c r="AK78" s="4636"/>
      <c r="AL78" s="4636"/>
      <c r="AM78" s="4636"/>
      <c r="AN78" s="4636"/>
      <c r="AO78" s="4636"/>
      <c r="AP78" s="4636"/>
      <c r="AQ78" s="4636"/>
      <c r="AR78" s="4636"/>
      <c r="AS78" s="4636"/>
      <c r="AT78" s="4636"/>
      <c r="AU78" s="4636"/>
      <c r="AV78" s="4636"/>
      <c r="AW78" s="4636"/>
      <c r="AX78" s="4636"/>
      <c r="AY78" s="4636"/>
      <c r="AZ78" s="4636"/>
      <c r="BA78" s="4636"/>
      <c r="BB78" s="4636"/>
      <c r="BC78" s="4636"/>
      <c r="BD78" s="4636"/>
      <c r="BE78" s="4636"/>
      <c r="BF78" s="4636"/>
      <c r="BG78" s="4636"/>
      <c r="BH78" s="3191"/>
      <c r="BI78" s="3206"/>
      <c r="BJ78" s="3206"/>
      <c r="BK78" s="3200"/>
      <c r="BL78" s="3191"/>
      <c r="BM78" s="3191"/>
      <c r="BN78" s="4624"/>
      <c r="BO78" s="4624"/>
      <c r="BP78" s="4624"/>
      <c r="BQ78" s="4624"/>
      <c r="BR78" s="4624"/>
    </row>
    <row r="79" spans="1:70" ht="45" x14ac:dyDescent="0.2">
      <c r="A79" s="1020"/>
      <c r="B79" s="2372"/>
      <c r="C79" s="1019"/>
      <c r="D79" s="2372"/>
      <c r="E79" s="1019"/>
      <c r="F79" s="2424"/>
      <c r="G79" s="2378"/>
      <c r="H79" s="2378"/>
      <c r="I79" s="2378"/>
      <c r="J79" s="4601"/>
      <c r="K79" s="4607"/>
      <c r="L79" s="4607"/>
      <c r="M79" s="3596"/>
      <c r="N79" s="3596"/>
      <c r="O79" s="4606"/>
      <c r="P79" s="4606"/>
      <c r="Q79" s="4603"/>
      <c r="R79" s="4612"/>
      <c r="S79" s="4642"/>
      <c r="T79" s="4603"/>
      <c r="U79" s="4604"/>
      <c r="V79" s="2435" t="s">
        <v>2078</v>
      </c>
      <c r="W79" s="2436">
        <v>12000000</v>
      </c>
      <c r="X79" s="1052">
        <v>5596000</v>
      </c>
      <c r="Y79" s="1052">
        <v>559600</v>
      </c>
      <c r="Z79" s="2385">
        <v>61</v>
      </c>
      <c r="AA79" s="2437" t="s">
        <v>1981</v>
      </c>
      <c r="AB79" s="4636"/>
      <c r="AC79" s="4636"/>
      <c r="AD79" s="4636"/>
      <c r="AE79" s="4636"/>
      <c r="AF79" s="4636"/>
      <c r="AG79" s="4636"/>
      <c r="AH79" s="4636"/>
      <c r="AI79" s="4636"/>
      <c r="AJ79" s="4636"/>
      <c r="AK79" s="4636"/>
      <c r="AL79" s="4636"/>
      <c r="AM79" s="4636"/>
      <c r="AN79" s="4636"/>
      <c r="AO79" s="4636"/>
      <c r="AP79" s="4636"/>
      <c r="AQ79" s="4636"/>
      <c r="AR79" s="4636"/>
      <c r="AS79" s="4636"/>
      <c r="AT79" s="4636"/>
      <c r="AU79" s="4636"/>
      <c r="AV79" s="4636"/>
      <c r="AW79" s="4636"/>
      <c r="AX79" s="4636"/>
      <c r="AY79" s="4636"/>
      <c r="AZ79" s="4636"/>
      <c r="BA79" s="4636"/>
      <c r="BB79" s="4636"/>
      <c r="BC79" s="4636"/>
      <c r="BD79" s="4636"/>
      <c r="BE79" s="4636"/>
      <c r="BF79" s="4636"/>
      <c r="BG79" s="4636"/>
      <c r="BH79" s="3191"/>
      <c r="BI79" s="3206"/>
      <c r="BJ79" s="3206"/>
      <c r="BK79" s="3200"/>
      <c r="BL79" s="3191"/>
      <c r="BM79" s="3191"/>
      <c r="BN79" s="4624"/>
      <c r="BO79" s="4624"/>
      <c r="BP79" s="4624"/>
      <c r="BQ79" s="4624"/>
      <c r="BR79" s="4624"/>
    </row>
    <row r="80" spans="1:70" ht="60" x14ac:dyDescent="0.2">
      <c r="A80" s="1020"/>
      <c r="B80" s="2372"/>
      <c r="C80" s="1019"/>
      <c r="D80" s="2372"/>
      <c r="E80" s="1019"/>
      <c r="F80" s="2424"/>
      <c r="G80" s="2378"/>
      <c r="H80" s="2378"/>
      <c r="I80" s="2378"/>
      <c r="J80" s="4599">
        <v>138</v>
      </c>
      <c r="K80" s="4606" t="s">
        <v>2079</v>
      </c>
      <c r="L80" s="4605" t="s">
        <v>1974</v>
      </c>
      <c r="M80" s="3594">
        <v>12</v>
      </c>
      <c r="N80" s="3594">
        <v>7</v>
      </c>
      <c r="O80" s="4606"/>
      <c r="P80" s="4606"/>
      <c r="Q80" s="4603"/>
      <c r="R80" s="4611">
        <f>SUM(W80+W81+W82+W83+W84)/S66</f>
        <v>0.25</v>
      </c>
      <c r="S80" s="4642"/>
      <c r="T80" s="4603"/>
      <c r="U80" s="4602" t="s">
        <v>2080</v>
      </c>
      <c r="V80" s="2438" t="s">
        <v>2081</v>
      </c>
      <c r="W80" s="2436">
        <v>5000000</v>
      </c>
      <c r="X80" s="1052">
        <v>5000000</v>
      </c>
      <c r="Y80" s="1052">
        <v>559600</v>
      </c>
      <c r="Z80" s="2385">
        <v>61</v>
      </c>
      <c r="AA80" s="2437" t="s">
        <v>1981</v>
      </c>
      <c r="AB80" s="4636"/>
      <c r="AC80" s="4636"/>
      <c r="AD80" s="4636"/>
      <c r="AE80" s="4636"/>
      <c r="AF80" s="4636"/>
      <c r="AG80" s="4636"/>
      <c r="AH80" s="4636"/>
      <c r="AI80" s="4636"/>
      <c r="AJ80" s="4636"/>
      <c r="AK80" s="4636"/>
      <c r="AL80" s="4636"/>
      <c r="AM80" s="4636"/>
      <c r="AN80" s="4636"/>
      <c r="AO80" s="4636"/>
      <c r="AP80" s="4636"/>
      <c r="AQ80" s="4636"/>
      <c r="AR80" s="4636"/>
      <c r="AS80" s="4636"/>
      <c r="AT80" s="4636"/>
      <c r="AU80" s="4636"/>
      <c r="AV80" s="4636"/>
      <c r="AW80" s="4636"/>
      <c r="AX80" s="4636"/>
      <c r="AY80" s="4636"/>
      <c r="AZ80" s="4636"/>
      <c r="BA80" s="4636"/>
      <c r="BB80" s="4636"/>
      <c r="BC80" s="4636"/>
      <c r="BD80" s="4636"/>
      <c r="BE80" s="4636"/>
      <c r="BF80" s="4636"/>
      <c r="BG80" s="4636"/>
      <c r="BH80" s="3191"/>
      <c r="BI80" s="3206"/>
      <c r="BJ80" s="3206"/>
      <c r="BK80" s="3200"/>
      <c r="BL80" s="3191"/>
      <c r="BM80" s="3191"/>
      <c r="BN80" s="4624"/>
      <c r="BO80" s="4624"/>
      <c r="BP80" s="4624"/>
      <c r="BQ80" s="4624"/>
      <c r="BR80" s="4624"/>
    </row>
    <row r="81" spans="1:70" ht="45" x14ac:dyDescent="0.2">
      <c r="A81" s="1020"/>
      <c r="B81" s="2372"/>
      <c r="C81" s="1019"/>
      <c r="D81" s="2372"/>
      <c r="E81" s="1019"/>
      <c r="F81" s="2424"/>
      <c r="G81" s="2378"/>
      <c r="H81" s="2378"/>
      <c r="I81" s="2378"/>
      <c r="J81" s="4600"/>
      <c r="K81" s="4606"/>
      <c r="L81" s="4606"/>
      <c r="M81" s="3595"/>
      <c r="N81" s="3595"/>
      <c r="O81" s="4606"/>
      <c r="P81" s="4606"/>
      <c r="Q81" s="4603"/>
      <c r="R81" s="4612"/>
      <c r="S81" s="4642"/>
      <c r="T81" s="4603"/>
      <c r="U81" s="4603"/>
      <c r="V81" s="2438" t="s">
        <v>2082</v>
      </c>
      <c r="W81" s="2436">
        <v>5000000</v>
      </c>
      <c r="X81" s="1052">
        <v>5000000</v>
      </c>
      <c r="Y81" s="1052">
        <v>559600</v>
      </c>
      <c r="Z81" s="2385">
        <v>61</v>
      </c>
      <c r="AA81" s="2437" t="s">
        <v>1981</v>
      </c>
      <c r="AB81" s="4636"/>
      <c r="AC81" s="4636"/>
      <c r="AD81" s="4636"/>
      <c r="AE81" s="4636"/>
      <c r="AF81" s="4636"/>
      <c r="AG81" s="4636"/>
      <c r="AH81" s="4636"/>
      <c r="AI81" s="4636"/>
      <c r="AJ81" s="4636"/>
      <c r="AK81" s="4636"/>
      <c r="AL81" s="4636"/>
      <c r="AM81" s="4636"/>
      <c r="AN81" s="4636"/>
      <c r="AO81" s="4636"/>
      <c r="AP81" s="4636"/>
      <c r="AQ81" s="4636"/>
      <c r="AR81" s="4636"/>
      <c r="AS81" s="4636"/>
      <c r="AT81" s="4636"/>
      <c r="AU81" s="4636"/>
      <c r="AV81" s="4636"/>
      <c r="AW81" s="4636"/>
      <c r="AX81" s="4636"/>
      <c r="AY81" s="4636"/>
      <c r="AZ81" s="4636"/>
      <c r="BA81" s="4636"/>
      <c r="BB81" s="4636"/>
      <c r="BC81" s="4636"/>
      <c r="BD81" s="4636"/>
      <c r="BE81" s="4636"/>
      <c r="BF81" s="4636"/>
      <c r="BG81" s="4636"/>
      <c r="BH81" s="3191"/>
      <c r="BI81" s="3206"/>
      <c r="BJ81" s="3206"/>
      <c r="BK81" s="3200"/>
      <c r="BL81" s="3191"/>
      <c r="BM81" s="3191"/>
      <c r="BN81" s="4624"/>
      <c r="BO81" s="4624"/>
      <c r="BP81" s="4624"/>
      <c r="BQ81" s="4624"/>
      <c r="BR81" s="4624"/>
    </row>
    <row r="82" spans="1:70" ht="30" x14ac:dyDescent="0.2">
      <c r="A82" s="1020"/>
      <c r="B82" s="2372"/>
      <c r="C82" s="1019"/>
      <c r="D82" s="2372"/>
      <c r="E82" s="1019"/>
      <c r="F82" s="2424"/>
      <c r="G82" s="2378"/>
      <c r="H82" s="2378"/>
      <c r="I82" s="2378"/>
      <c r="J82" s="4600"/>
      <c r="K82" s="4606"/>
      <c r="L82" s="4606"/>
      <c r="M82" s="3595"/>
      <c r="N82" s="3595"/>
      <c r="O82" s="4606"/>
      <c r="P82" s="4606"/>
      <c r="Q82" s="4603"/>
      <c r="R82" s="4612"/>
      <c r="S82" s="4642"/>
      <c r="T82" s="4603"/>
      <c r="U82" s="4603"/>
      <c r="V82" s="2438" t="s">
        <v>2083</v>
      </c>
      <c r="W82" s="2436">
        <v>5000000</v>
      </c>
      <c r="X82" s="1052">
        <v>5000000</v>
      </c>
      <c r="Y82" s="1052">
        <v>559600</v>
      </c>
      <c r="Z82" s="2385">
        <v>61</v>
      </c>
      <c r="AA82" s="2437" t="s">
        <v>1981</v>
      </c>
      <c r="AB82" s="4636"/>
      <c r="AC82" s="4636"/>
      <c r="AD82" s="4636"/>
      <c r="AE82" s="4636"/>
      <c r="AF82" s="4636"/>
      <c r="AG82" s="4636"/>
      <c r="AH82" s="4636"/>
      <c r="AI82" s="4636"/>
      <c r="AJ82" s="4636"/>
      <c r="AK82" s="4636"/>
      <c r="AL82" s="4636"/>
      <c r="AM82" s="4636"/>
      <c r="AN82" s="4636"/>
      <c r="AO82" s="4636"/>
      <c r="AP82" s="4636"/>
      <c r="AQ82" s="4636"/>
      <c r="AR82" s="4636"/>
      <c r="AS82" s="4636"/>
      <c r="AT82" s="4636"/>
      <c r="AU82" s="4636"/>
      <c r="AV82" s="4636"/>
      <c r="AW82" s="4636"/>
      <c r="AX82" s="4636"/>
      <c r="AY82" s="4636"/>
      <c r="AZ82" s="4636"/>
      <c r="BA82" s="4636"/>
      <c r="BB82" s="4636"/>
      <c r="BC82" s="4636"/>
      <c r="BD82" s="4636"/>
      <c r="BE82" s="4636"/>
      <c r="BF82" s="4636"/>
      <c r="BG82" s="4636"/>
      <c r="BH82" s="3191"/>
      <c r="BI82" s="3206"/>
      <c r="BJ82" s="3206"/>
      <c r="BK82" s="3200"/>
      <c r="BL82" s="3191"/>
      <c r="BM82" s="3191"/>
      <c r="BN82" s="4624"/>
      <c r="BO82" s="4624"/>
      <c r="BP82" s="4624"/>
      <c r="BQ82" s="4624"/>
      <c r="BR82" s="4624"/>
    </row>
    <row r="83" spans="1:70" ht="75" x14ac:dyDescent="0.2">
      <c r="A83" s="1020"/>
      <c r="B83" s="2372"/>
      <c r="C83" s="1019"/>
      <c r="D83" s="2372"/>
      <c r="E83" s="1019"/>
      <c r="F83" s="2424"/>
      <c r="G83" s="2378"/>
      <c r="H83" s="2378"/>
      <c r="I83" s="2378"/>
      <c r="J83" s="4600"/>
      <c r="K83" s="4606"/>
      <c r="L83" s="4606"/>
      <c r="M83" s="3595"/>
      <c r="N83" s="3595"/>
      <c r="O83" s="4606"/>
      <c r="P83" s="4606"/>
      <c r="Q83" s="4603"/>
      <c r="R83" s="4612"/>
      <c r="S83" s="4642"/>
      <c r="T83" s="4603"/>
      <c r="U83" s="4603"/>
      <c r="V83" s="2438" t="s">
        <v>2084</v>
      </c>
      <c r="W83" s="2436">
        <v>5000000</v>
      </c>
      <c r="X83" s="1052">
        <v>5000000</v>
      </c>
      <c r="Y83" s="1052">
        <v>559600</v>
      </c>
      <c r="Z83" s="2385">
        <v>61</v>
      </c>
      <c r="AA83" s="2437" t="s">
        <v>1981</v>
      </c>
      <c r="AB83" s="4636"/>
      <c r="AC83" s="4636"/>
      <c r="AD83" s="4636"/>
      <c r="AE83" s="4636"/>
      <c r="AF83" s="4636"/>
      <c r="AG83" s="4636"/>
      <c r="AH83" s="4636"/>
      <c r="AI83" s="4636"/>
      <c r="AJ83" s="4636"/>
      <c r="AK83" s="4636"/>
      <c r="AL83" s="4636"/>
      <c r="AM83" s="4636"/>
      <c r="AN83" s="4636"/>
      <c r="AO83" s="4636"/>
      <c r="AP83" s="4636"/>
      <c r="AQ83" s="4636"/>
      <c r="AR83" s="4636"/>
      <c r="AS83" s="4636"/>
      <c r="AT83" s="4636"/>
      <c r="AU83" s="4636"/>
      <c r="AV83" s="4636"/>
      <c r="AW83" s="4636"/>
      <c r="AX83" s="4636"/>
      <c r="AY83" s="4636"/>
      <c r="AZ83" s="4636"/>
      <c r="BA83" s="4636"/>
      <c r="BB83" s="4636"/>
      <c r="BC83" s="4636"/>
      <c r="BD83" s="4636"/>
      <c r="BE83" s="4636"/>
      <c r="BF83" s="4636"/>
      <c r="BG83" s="4636"/>
      <c r="BH83" s="3191"/>
      <c r="BI83" s="3206"/>
      <c r="BJ83" s="3206"/>
      <c r="BK83" s="3200"/>
      <c r="BL83" s="3191"/>
      <c r="BM83" s="3191"/>
      <c r="BN83" s="4624"/>
      <c r="BO83" s="4624"/>
      <c r="BP83" s="4624"/>
      <c r="BQ83" s="4624"/>
      <c r="BR83" s="4624"/>
    </row>
    <row r="84" spans="1:70" ht="90" x14ac:dyDescent="0.2">
      <c r="A84" s="1020"/>
      <c r="B84" s="2372"/>
      <c r="C84" s="1019"/>
      <c r="D84" s="2372"/>
      <c r="E84" s="1019"/>
      <c r="F84" s="2424"/>
      <c r="G84" s="2387"/>
      <c r="H84" s="2387"/>
      <c r="I84" s="2387"/>
      <c r="J84" s="4601"/>
      <c r="K84" s="4607"/>
      <c r="L84" s="4607"/>
      <c r="M84" s="3596"/>
      <c r="N84" s="3596"/>
      <c r="O84" s="4606"/>
      <c r="P84" s="4607"/>
      <c r="Q84" s="4604"/>
      <c r="R84" s="4613"/>
      <c r="S84" s="4643"/>
      <c r="T84" s="4604"/>
      <c r="U84" s="4604"/>
      <c r="V84" s="2438" t="s">
        <v>2085</v>
      </c>
      <c r="W84" s="2436">
        <v>8000000</v>
      </c>
      <c r="X84" s="1052">
        <v>7980000</v>
      </c>
      <c r="Y84" s="1052">
        <v>559600</v>
      </c>
      <c r="Z84" s="2385">
        <v>61</v>
      </c>
      <c r="AA84" s="2437" t="s">
        <v>1981</v>
      </c>
      <c r="AB84" s="4637"/>
      <c r="AC84" s="4637"/>
      <c r="AD84" s="4637"/>
      <c r="AE84" s="4637"/>
      <c r="AF84" s="4637"/>
      <c r="AG84" s="4637"/>
      <c r="AH84" s="4637"/>
      <c r="AI84" s="4637"/>
      <c r="AJ84" s="4637"/>
      <c r="AK84" s="4637"/>
      <c r="AL84" s="4637"/>
      <c r="AM84" s="4637"/>
      <c r="AN84" s="4637"/>
      <c r="AO84" s="4637"/>
      <c r="AP84" s="4637"/>
      <c r="AQ84" s="4637"/>
      <c r="AR84" s="4637"/>
      <c r="AS84" s="4637"/>
      <c r="AT84" s="4637"/>
      <c r="AU84" s="4637"/>
      <c r="AV84" s="4637"/>
      <c r="AW84" s="4637"/>
      <c r="AX84" s="4637"/>
      <c r="AY84" s="4637"/>
      <c r="AZ84" s="4637"/>
      <c r="BA84" s="4637"/>
      <c r="BB84" s="4637"/>
      <c r="BC84" s="4637"/>
      <c r="BD84" s="4637"/>
      <c r="BE84" s="4637"/>
      <c r="BF84" s="4637"/>
      <c r="BG84" s="4637"/>
      <c r="BH84" s="3192"/>
      <c r="BI84" s="3207"/>
      <c r="BJ84" s="3207"/>
      <c r="BK84" s="3201"/>
      <c r="BL84" s="3192"/>
      <c r="BM84" s="3192"/>
      <c r="BN84" s="4624"/>
      <c r="BO84" s="4624"/>
      <c r="BP84" s="4624"/>
      <c r="BQ84" s="4624"/>
      <c r="BR84" s="4624"/>
    </row>
    <row r="85" spans="1:70" ht="15.75" x14ac:dyDescent="0.2">
      <c r="A85" s="1020"/>
      <c r="B85" s="2372"/>
      <c r="C85" s="1019"/>
      <c r="D85" s="2372"/>
      <c r="E85" s="1019"/>
      <c r="F85" s="1026"/>
      <c r="G85" s="2439">
        <v>39</v>
      </c>
      <c r="H85" s="2440" t="s">
        <v>2086</v>
      </c>
      <c r="I85" s="2440"/>
      <c r="J85" s="2375"/>
      <c r="K85" s="2407"/>
      <c r="L85" s="2375"/>
      <c r="M85" s="2409"/>
      <c r="N85" s="2409"/>
      <c r="O85" s="2413"/>
      <c r="P85" s="2413"/>
      <c r="Q85" s="2413"/>
      <c r="R85" s="2413"/>
      <c r="S85" s="2413"/>
      <c r="T85" s="2413"/>
      <c r="U85" s="2407"/>
      <c r="V85" s="2413"/>
      <c r="W85" s="2412"/>
      <c r="X85" s="2412"/>
      <c r="Y85" s="2412"/>
      <c r="Z85" s="2413"/>
      <c r="AA85" s="2413"/>
      <c r="AB85" s="2413"/>
      <c r="AC85" s="2413"/>
      <c r="AD85" s="2413"/>
      <c r="AE85" s="2413"/>
      <c r="AF85" s="2413"/>
      <c r="AG85" s="2413"/>
      <c r="AH85" s="2413"/>
      <c r="AI85" s="2413"/>
      <c r="AJ85" s="2413"/>
      <c r="AK85" s="2413"/>
      <c r="AL85" s="2413"/>
      <c r="AM85" s="2413"/>
      <c r="AN85" s="2413"/>
      <c r="AO85" s="2413"/>
      <c r="AP85" s="2413"/>
      <c r="AQ85" s="2413"/>
      <c r="AR85" s="2413"/>
      <c r="AS85" s="2413"/>
      <c r="AT85" s="2413"/>
      <c r="AU85" s="2413"/>
      <c r="AV85" s="2413"/>
      <c r="AW85" s="2413"/>
      <c r="AX85" s="2413"/>
      <c r="AY85" s="2413"/>
      <c r="AZ85" s="2413"/>
      <c r="BA85" s="2413"/>
      <c r="BB85" s="2413"/>
      <c r="BC85" s="2413"/>
      <c r="BD85" s="2413"/>
      <c r="BE85" s="2413"/>
      <c r="BF85" s="2413"/>
      <c r="BG85" s="2413"/>
      <c r="BH85" s="2413"/>
      <c r="BI85" s="2412"/>
      <c r="BJ85" s="2412"/>
      <c r="BK85" s="2413"/>
      <c r="BL85" s="2413"/>
      <c r="BM85" s="2413"/>
      <c r="BN85" s="2413"/>
      <c r="BO85" s="2413"/>
      <c r="BP85" s="2413"/>
      <c r="BQ85" s="2413"/>
      <c r="BR85" s="2441"/>
    </row>
    <row r="86" spans="1:70" ht="90" x14ac:dyDescent="0.2">
      <c r="A86" s="1020"/>
      <c r="B86" s="2372"/>
      <c r="C86" s="1019"/>
      <c r="D86" s="2372"/>
      <c r="E86" s="1019"/>
      <c r="F86" s="2372"/>
      <c r="G86" s="2382"/>
      <c r="H86" s="2382"/>
      <c r="I86" s="2383"/>
      <c r="J86" s="4644">
        <v>139</v>
      </c>
      <c r="K86" s="4602" t="s">
        <v>2087</v>
      </c>
      <c r="L86" s="4605" t="s">
        <v>1974</v>
      </c>
      <c r="M86" s="3289">
        <v>1</v>
      </c>
      <c r="N86" s="3289">
        <v>0.3</v>
      </c>
      <c r="O86" s="4605" t="s">
        <v>2088</v>
      </c>
      <c r="P86" s="4605" t="s">
        <v>2089</v>
      </c>
      <c r="Q86" s="4602" t="s">
        <v>2090</v>
      </c>
      <c r="R86" s="4611">
        <f>+(W86+W87+W88+W89)/S86</f>
        <v>0.66666666666666663</v>
      </c>
      <c r="S86" s="4641">
        <f>SUM(W86:W96)</f>
        <v>168000000</v>
      </c>
      <c r="T86" s="4602" t="s">
        <v>2091</v>
      </c>
      <c r="U86" s="4602" t="s">
        <v>2092</v>
      </c>
      <c r="V86" s="2384" t="s">
        <v>2093</v>
      </c>
      <c r="W86" s="2427">
        <v>28000000</v>
      </c>
      <c r="X86" s="1621">
        <v>16971250</v>
      </c>
      <c r="Y86" s="1621">
        <v>3646000</v>
      </c>
      <c r="Z86" s="2385">
        <v>61</v>
      </c>
      <c r="AA86" s="2437" t="s">
        <v>1981</v>
      </c>
      <c r="AB86" s="4635">
        <v>292684</v>
      </c>
      <c r="AC86" s="4647">
        <v>187317.76000000001</v>
      </c>
      <c r="AD86" s="4635">
        <v>282326</v>
      </c>
      <c r="AE86" s="4647">
        <v>180688.64000000001</v>
      </c>
      <c r="AF86" s="4635">
        <v>135912</v>
      </c>
      <c r="AG86" s="4647">
        <v>86983.680000000008</v>
      </c>
      <c r="AH86" s="4635">
        <v>45122</v>
      </c>
      <c r="AI86" s="4647">
        <v>28878.080000000002</v>
      </c>
      <c r="AJ86" s="4635">
        <v>307101</v>
      </c>
      <c r="AK86" s="4647">
        <v>196544.64000000001</v>
      </c>
      <c r="AL86" s="4635">
        <v>86875</v>
      </c>
      <c r="AM86" s="4647">
        <v>55600</v>
      </c>
      <c r="AN86" s="4635">
        <v>2145</v>
      </c>
      <c r="AO86" s="4647">
        <v>1372.8</v>
      </c>
      <c r="AP86" s="4635">
        <v>12718</v>
      </c>
      <c r="AQ86" s="4647">
        <v>8139.52</v>
      </c>
      <c r="AR86" s="4635">
        <v>26</v>
      </c>
      <c r="AS86" s="4647">
        <v>16.64</v>
      </c>
      <c r="AT86" s="4635">
        <v>37</v>
      </c>
      <c r="AU86" s="4647">
        <v>23.68</v>
      </c>
      <c r="AV86" s="4635" t="s">
        <v>2015</v>
      </c>
      <c r="AW86" s="4647" t="s">
        <v>2015</v>
      </c>
      <c r="AX86" s="4635" t="s">
        <v>2015</v>
      </c>
      <c r="AY86" s="4647" t="s">
        <v>2015</v>
      </c>
      <c r="AZ86" s="4635">
        <v>53164</v>
      </c>
      <c r="BA86" s="4647">
        <v>34024.959999999999</v>
      </c>
      <c r="BB86" s="4635">
        <v>16982</v>
      </c>
      <c r="BC86" s="4647">
        <v>10868.48</v>
      </c>
      <c r="BD86" s="4635">
        <v>60013</v>
      </c>
      <c r="BE86" s="4647">
        <v>38408.32</v>
      </c>
      <c r="BF86" s="4635">
        <v>575010</v>
      </c>
      <c r="BG86" s="4647">
        <v>368006.40000000002</v>
      </c>
      <c r="BH86" s="4653">
        <v>7</v>
      </c>
      <c r="BI86" s="3205">
        <f>SUM(X86:X96)</f>
        <v>95865000</v>
      </c>
      <c r="BJ86" s="3205">
        <f>SUM(Y86:Y96)</f>
        <v>17382000</v>
      </c>
      <c r="BK86" s="3199">
        <f>+BJ86/BI86</f>
        <v>0.18131747770301987</v>
      </c>
      <c r="BL86" s="4650">
        <v>61</v>
      </c>
      <c r="BM86" s="4650" t="s">
        <v>1982</v>
      </c>
      <c r="BN86" s="4623">
        <v>43466</v>
      </c>
      <c r="BO86" s="4623">
        <v>43467</v>
      </c>
      <c r="BP86" s="4623">
        <v>43830</v>
      </c>
      <c r="BQ86" s="4623">
        <v>43830</v>
      </c>
      <c r="BR86" s="4650" t="s">
        <v>1983</v>
      </c>
    </row>
    <row r="87" spans="1:70" ht="60" x14ac:dyDescent="0.2">
      <c r="A87" s="1020"/>
      <c r="B87" s="2372"/>
      <c r="C87" s="1019"/>
      <c r="D87" s="2372"/>
      <c r="E87" s="1019"/>
      <c r="F87" s="2372"/>
      <c r="G87" s="2378"/>
      <c r="H87" s="2378"/>
      <c r="I87" s="2379"/>
      <c r="J87" s="4645"/>
      <c r="K87" s="4603"/>
      <c r="L87" s="4606"/>
      <c r="M87" s="3289"/>
      <c r="N87" s="3289"/>
      <c r="O87" s="4606"/>
      <c r="P87" s="4606"/>
      <c r="Q87" s="4603"/>
      <c r="R87" s="4612"/>
      <c r="S87" s="4642"/>
      <c r="T87" s="4603"/>
      <c r="U87" s="4603"/>
      <c r="V87" s="2384" t="s">
        <v>2094</v>
      </c>
      <c r="W87" s="2427">
        <v>28000000</v>
      </c>
      <c r="X87" s="1621">
        <v>16971250</v>
      </c>
      <c r="Y87" s="1621">
        <v>3646000</v>
      </c>
      <c r="Z87" s="2385">
        <v>61</v>
      </c>
      <c r="AA87" s="2437" t="s">
        <v>1981</v>
      </c>
      <c r="AB87" s="4636"/>
      <c r="AC87" s="4648"/>
      <c r="AD87" s="4636"/>
      <c r="AE87" s="4648"/>
      <c r="AF87" s="4636"/>
      <c r="AG87" s="4648"/>
      <c r="AH87" s="4636"/>
      <c r="AI87" s="4648"/>
      <c r="AJ87" s="4636"/>
      <c r="AK87" s="4648"/>
      <c r="AL87" s="4636"/>
      <c r="AM87" s="4648"/>
      <c r="AN87" s="4636"/>
      <c r="AO87" s="4648"/>
      <c r="AP87" s="4636"/>
      <c r="AQ87" s="4648"/>
      <c r="AR87" s="4636"/>
      <c r="AS87" s="4648"/>
      <c r="AT87" s="4636"/>
      <c r="AU87" s="4648"/>
      <c r="AV87" s="4636"/>
      <c r="AW87" s="4648"/>
      <c r="AX87" s="4636"/>
      <c r="AY87" s="4648"/>
      <c r="AZ87" s="4636"/>
      <c r="BA87" s="4648"/>
      <c r="BB87" s="4636"/>
      <c r="BC87" s="4648"/>
      <c r="BD87" s="4636"/>
      <c r="BE87" s="4648"/>
      <c r="BF87" s="4636"/>
      <c r="BG87" s="4648"/>
      <c r="BH87" s="4654"/>
      <c r="BI87" s="3206"/>
      <c r="BJ87" s="3206"/>
      <c r="BK87" s="3200"/>
      <c r="BL87" s="4651"/>
      <c r="BM87" s="4651"/>
      <c r="BN87" s="4624"/>
      <c r="BO87" s="4624"/>
      <c r="BP87" s="4624"/>
      <c r="BQ87" s="4624"/>
      <c r="BR87" s="4651"/>
    </row>
    <row r="88" spans="1:70" s="1243" customFormat="1" ht="60" x14ac:dyDescent="0.25">
      <c r="A88" s="2442"/>
      <c r="B88" s="2443"/>
      <c r="C88" s="2444"/>
      <c r="D88" s="2443"/>
      <c r="E88" s="2444"/>
      <c r="F88" s="2443"/>
      <c r="G88" s="2378"/>
      <c r="H88" s="2378"/>
      <c r="I88" s="2379"/>
      <c r="J88" s="4645"/>
      <c r="K88" s="4603"/>
      <c r="L88" s="4606"/>
      <c r="M88" s="3289"/>
      <c r="N88" s="3289"/>
      <c r="O88" s="4606"/>
      <c r="P88" s="4606"/>
      <c r="Q88" s="4603"/>
      <c r="R88" s="4612"/>
      <c r="S88" s="4642"/>
      <c r="T88" s="4603"/>
      <c r="U88" s="4603"/>
      <c r="V88" s="2384" t="s">
        <v>2095</v>
      </c>
      <c r="W88" s="2427">
        <v>28000000</v>
      </c>
      <c r="X88" s="1621">
        <v>16971250</v>
      </c>
      <c r="Y88" s="1621">
        <v>3646000</v>
      </c>
      <c r="Z88" s="2385">
        <v>61</v>
      </c>
      <c r="AA88" s="2437" t="s">
        <v>1981</v>
      </c>
      <c r="AB88" s="4636"/>
      <c r="AC88" s="4648"/>
      <c r="AD88" s="4636"/>
      <c r="AE88" s="4648"/>
      <c r="AF88" s="4636"/>
      <c r="AG88" s="4648"/>
      <c r="AH88" s="4636"/>
      <c r="AI88" s="4648"/>
      <c r="AJ88" s="4636"/>
      <c r="AK88" s="4648"/>
      <c r="AL88" s="4636"/>
      <c r="AM88" s="4648"/>
      <c r="AN88" s="4636"/>
      <c r="AO88" s="4648"/>
      <c r="AP88" s="4636"/>
      <c r="AQ88" s="4648"/>
      <c r="AR88" s="4636"/>
      <c r="AS88" s="4648"/>
      <c r="AT88" s="4636"/>
      <c r="AU88" s="4648"/>
      <c r="AV88" s="4636"/>
      <c r="AW88" s="4648"/>
      <c r="AX88" s="4636"/>
      <c r="AY88" s="4648"/>
      <c r="AZ88" s="4636"/>
      <c r="BA88" s="4648"/>
      <c r="BB88" s="4636"/>
      <c r="BC88" s="4648"/>
      <c r="BD88" s="4636"/>
      <c r="BE88" s="4648"/>
      <c r="BF88" s="4636"/>
      <c r="BG88" s="4648"/>
      <c r="BH88" s="4654"/>
      <c r="BI88" s="3206"/>
      <c r="BJ88" s="3206"/>
      <c r="BK88" s="3200"/>
      <c r="BL88" s="4651"/>
      <c r="BM88" s="4651"/>
      <c r="BN88" s="4624"/>
      <c r="BO88" s="4624"/>
      <c r="BP88" s="4624"/>
      <c r="BQ88" s="4624"/>
      <c r="BR88" s="4651"/>
    </row>
    <row r="89" spans="1:70" ht="75" x14ac:dyDescent="0.2">
      <c r="A89" s="2445"/>
      <c r="B89" s="1596"/>
      <c r="C89" s="1737"/>
      <c r="D89" s="1596"/>
      <c r="E89" s="1737"/>
      <c r="F89" s="1596"/>
      <c r="G89" s="2378"/>
      <c r="H89" s="2378"/>
      <c r="I89" s="2379"/>
      <c r="J89" s="4646"/>
      <c r="K89" s="4604"/>
      <c r="L89" s="4607"/>
      <c r="M89" s="3289"/>
      <c r="N89" s="3289"/>
      <c r="O89" s="4606"/>
      <c r="P89" s="4606"/>
      <c r="Q89" s="4603"/>
      <c r="R89" s="4613"/>
      <c r="S89" s="4642"/>
      <c r="T89" s="4603"/>
      <c r="U89" s="4604"/>
      <c r="V89" s="2384" t="s">
        <v>2096</v>
      </c>
      <c r="W89" s="2427">
        <v>28000000</v>
      </c>
      <c r="X89" s="1621">
        <v>16971250</v>
      </c>
      <c r="Y89" s="1621">
        <v>3646000</v>
      </c>
      <c r="Z89" s="2385">
        <v>61</v>
      </c>
      <c r="AA89" s="2437" t="s">
        <v>1981</v>
      </c>
      <c r="AB89" s="4636"/>
      <c r="AC89" s="4648"/>
      <c r="AD89" s="4636"/>
      <c r="AE89" s="4648"/>
      <c r="AF89" s="4636"/>
      <c r="AG89" s="4648"/>
      <c r="AH89" s="4636"/>
      <c r="AI89" s="4648"/>
      <c r="AJ89" s="4636"/>
      <c r="AK89" s="4648"/>
      <c r="AL89" s="4636"/>
      <c r="AM89" s="4648"/>
      <c r="AN89" s="4636"/>
      <c r="AO89" s="4648"/>
      <c r="AP89" s="4636"/>
      <c r="AQ89" s="4648"/>
      <c r="AR89" s="4636"/>
      <c r="AS89" s="4648"/>
      <c r="AT89" s="4636"/>
      <c r="AU89" s="4648"/>
      <c r="AV89" s="4636"/>
      <c r="AW89" s="4648"/>
      <c r="AX89" s="4636"/>
      <c r="AY89" s="4648"/>
      <c r="AZ89" s="4636"/>
      <c r="BA89" s="4648"/>
      <c r="BB89" s="4636"/>
      <c r="BC89" s="4648"/>
      <c r="BD89" s="4636"/>
      <c r="BE89" s="4648"/>
      <c r="BF89" s="4636"/>
      <c r="BG89" s="4648"/>
      <c r="BH89" s="4654"/>
      <c r="BI89" s="3206"/>
      <c r="BJ89" s="3206"/>
      <c r="BK89" s="3200"/>
      <c r="BL89" s="4651"/>
      <c r="BM89" s="4651"/>
      <c r="BN89" s="4624"/>
      <c r="BO89" s="4624"/>
      <c r="BP89" s="4624"/>
      <c r="BQ89" s="4624"/>
      <c r="BR89" s="4651"/>
    </row>
    <row r="90" spans="1:70" ht="60" x14ac:dyDescent="0.2">
      <c r="A90" s="2445"/>
      <c r="B90" s="1596"/>
      <c r="C90" s="1737"/>
      <c r="D90" s="1596"/>
      <c r="E90" s="1737"/>
      <c r="F90" s="1596"/>
      <c r="G90" s="2378"/>
      <c r="H90" s="2378"/>
      <c r="I90" s="2379"/>
      <c r="J90" s="4644">
        <v>140</v>
      </c>
      <c r="K90" s="4602" t="s">
        <v>2097</v>
      </c>
      <c r="L90" s="4605" t="s">
        <v>1974</v>
      </c>
      <c r="M90" s="3289">
        <v>1</v>
      </c>
      <c r="N90" s="3289">
        <v>0.3</v>
      </c>
      <c r="O90" s="4606"/>
      <c r="P90" s="4606"/>
      <c r="Q90" s="4603"/>
      <c r="R90" s="4611">
        <f>+(W90+W91+W92+W93)/S86</f>
        <v>0.16666666666666666</v>
      </c>
      <c r="S90" s="4642"/>
      <c r="T90" s="4603"/>
      <c r="U90" s="4602" t="s">
        <v>2098</v>
      </c>
      <c r="V90" s="2384" t="s">
        <v>2099</v>
      </c>
      <c r="W90" s="2427">
        <v>7000000</v>
      </c>
      <c r="X90" s="1621">
        <v>3497500</v>
      </c>
      <c r="Y90" s="1621">
        <v>699500</v>
      </c>
      <c r="Z90" s="2385">
        <v>61</v>
      </c>
      <c r="AA90" s="2437" t="s">
        <v>1981</v>
      </c>
      <c r="AB90" s="4636"/>
      <c r="AC90" s="4648"/>
      <c r="AD90" s="4636"/>
      <c r="AE90" s="4648"/>
      <c r="AF90" s="4636"/>
      <c r="AG90" s="4648"/>
      <c r="AH90" s="4636"/>
      <c r="AI90" s="4648"/>
      <c r="AJ90" s="4636"/>
      <c r="AK90" s="4648"/>
      <c r="AL90" s="4636"/>
      <c r="AM90" s="4648"/>
      <c r="AN90" s="4636"/>
      <c r="AO90" s="4648"/>
      <c r="AP90" s="4636"/>
      <c r="AQ90" s="4648"/>
      <c r="AR90" s="4636"/>
      <c r="AS90" s="4648"/>
      <c r="AT90" s="4636"/>
      <c r="AU90" s="4648"/>
      <c r="AV90" s="4636"/>
      <c r="AW90" s="4648"/>
      <c r="AX90" s="4636"/>
      <c r="AY90" s="4648"/>
      <c r="AZ90" s="4636"/>
      <c r="BA90" s="4648"/>
      <c r="BB90" s="4636"/>
      <c r="BC90" s="4648"/>
      <c r="BD90" s="4636"/>
      <c r="BE90" s="4648"/>
      <c r="BF90" s="4636"/>
      <c r="BG90" s="4648"/>
      <c r="BH90" s="4654"/>
      <c r="BI90" s="3206"/>
      <c r="BJ90" s="3206"/>
      <c r="BK90" s="3200"/>
      <c r="BL90" s="4651"/>
      <c r="BM90" s="4651"/>
      <c r="BN90" s="4624"/>
      <c r="BO90" s="4624"/>
      <c r="BP90" s="4624"/>
      <c r="BQ90" s="4624"/>
      <c r="BR90" s="4651"/>
    </row>
    <row r="91" spans="1:70" ht="90" x14ac:dyDescent="0.2">
      <c r="A91" s="2445"/>
      <c r="B91" s="1596"/>
      <c r="C91" s="1737"/>
      <c r="D91" s="1596"/>
      <c r="E91" s="1737"/>
      <c r="F91" s="1596"/>
      <c r="G91" s="2378"/>
      <c r="H91" s="2378"/>
      <c r="I91" s="2379"/>
      <c r="J91" s="4645"/>
      <c r="K91" s="4603"/>
      <c r="L91" s="4606"/>
      <c r="M91" s="3289"/>
      <c r="N91" s="3289"/>
      <c r="O91" s="4606"/>
      <c r="P91" s="4606"/>
      <c r="Q91" s="4603"/>
      <c r="R91" s="4612"/>
      <c r="S91" s="4642"/>
      <c r="T91" s="4603"/>
      <c r="U91" s="4603"/>
      <c r="V91" s="2384" t="s">
        <v>2100</v>
      </c>
      <c r="W91" s="2427">
        <v>7000000</v>
      </c>
      <c r="X91" s="1621">
        <v>3497500</v>
      </c>
      <c r="Y91" s="1621">
        <v>699500</v>
      </c>
      <c r="Z91" s="2385">
        <v>61</v>
      </c>
      <c r="AA91" s="2437" t="s">
        <v>1981</v>
      </c>
      <c r="AB91" s="4636"/>
      <c r="AC91" s="4648"/>
      <c r="AD91" s="4636"/>
      <c r="AE91" s="4648"/>
      <c r="AF91" s="4636"/>
      <c r="AG91" s="4648"/>
      <c r="AH91" s="4636"/>
      <c r="AI91" s="4648"/>
      <c r="AJ91" s="4636"/>
      <c r="AK91" s="4648"/>
      <c r="AL91" s="4636"/>
      <c r="AM91" s="4648"/>
      <c r="AN91" s="4636"/>
      <c r="AO91" s="4648"/>
      <c r="AP91" s="4636"/>
      <c r="AQ91" s="4648"/>
      <c r="AR91" s="4636"/>
      <c r="AS91" s="4648"/>
      <c r="AT91" s="4636"/>
      <c r="AU91" s="4648"/>
      <c r="AV91" s="4636"/>
      <c r="AW91" s="4648"/>
      <c r="AX91" s="4636"/>
      <c r="AY91" s="4648"/>
      <c r="AZ91" s="4636"/>
      <c r="BA91" s="4648"/>
      <c r="BB91" s="4636"/>
      <c r="BC91" s="4648"/>
      <c r="BD91" s="4636"/>
      <c r="BE91" s="4648"/>
      <c r="BF91" s="4636"/>
      <c r="BG91" s="4648"/>
      <c r="BH91" s="4654"/>
      <c r="BI91" s="3206"/>
      <c r="BJ91" s="3206"/>
      <c r="BK91" s="3200"/>
      <c r="BL91" s="4651"/>
      <c r="BM91" s="4651"/>
      <c r="BN91" s="4624"/>
      <c r="BO91" s="4624"/>
      <c r="BP91" s="4624"/>
      <c r="BQ91" s="4624"/>
      <c r="BR91" s="4651"/>
    </row>
    <row r="92" spans="1:70" ht="45" x14ac:dyDescent="0.2">
      <c r="A92" s="2445"/>
      <c r="B92" s="1596"/>
      <c r="C92" s="1737"/>
      <c r="D92" s="1596"/>
      <c r="E92" s="1737"/>
      <c r="F92" s="1596"/>
      <c r="G92" s="2378"/>
      <c r="H92" s="2378"/>
      <c r="I92" s="2379"/>
      <c r="J92" s="4645"/>
      <c r="K92" s="4603"/>
      <c r="L92" s="4606"/>
      <c r="M92" s="3289"/>
      <c r="N92" s="3289"/>
      <c r="O92" s="4606"/>
      <c r="P92" s="4606"/>
      <c r="Q92" s="4603"/>
      <c r="R92" s="4612"/>
      <c r="S92" s="4642"/>
      <c r="T92" s="4603"/>
      <c r="U92" s="4603"/>
      <c r="V92" s="2384" t="s">
        <v>2101</v>
      </c>
      <c r="W92" s="2427">
        <v>7000000</v>
      </c>
      <c r="X92" s="1621">
        <v>3497500</v>
      </c>
      <c r="Y92" s="1621">
        <v>699000</v>
      </c>
      <c r="Z92" s="2385">
        <v>61</v>
      </c>
      <c r="AA92" s="2437" t="s">
        <v>1981</v>
      </c>
      <c r="AB92" s="4636"/>
      <c r="AC92" s="4648"/>
      <c r="AD92" s="4636"/>
      <c r="AE92" s="4648"/>
      <c r="AF92" s="4636"/>
      <c r="AG92" s="4648"/>
      <c r="AH92" s="4636"/>
      <c r="AI92" s="4648"/>
      <c r="AJ92" s="4636"/>
      <c r="AK92" s="4648"/>
      <c r="AL92" s="4636"/>
      <c r="AM92" s="4648"/>
      <c r="AN92" s="4636"/>
      <c r="AO92" s="4648"/>
      <c r="AP92" s="4636"/>
      <c r="AQ92" s="4648"/>
      <c r="AR92" s="4636"/>
      <c r="AS92" s="4648"/>
      <c r="AT92" s="4636"/>
      <c r="AU92" s="4648"/>
      <c r="AV92" s="4636"/>
      <c r="AW92" s="4648"/>
      <c r="AX92" s="4636"/>
      <c r="AY92" s="4648"/>
      <c r="AZ92" s="4636"/>
      <c r="BA92" s="4648"/>
      <c r="BB92" s="4636"/>
      <c r="BC92" s="4648"/>
      <c r="BD92" s="4636"/>
      <c r="BE92" s="4648"/>
      <c r="BF92" s="4636"/>
      <c r="BG92" s="4648"/>
      <c r="BH92" s="4654"/>
      <c r="BI92" s="3206"/>
      <c r="BJ92" s="3206"/>
      <c r="BK92" s="3200"/>
      <c r="BL92" s="4651"/>
      <c r="BM92" s="4651"/>
      <c r="BN92" s="4624"/>
      <c r="BO92" s="4624"/>
      <c r="BP92" s="4624"/>
      <c r="BQ92" s="4624"/>
      <c r="BR92" s="4651"/>
    </row>
    <row r="93" spans="1:70" ht="75" x14ac:dyDescent="0.2">
      <c r="A93" s="2445"/>
      <c r="B93" s="1596"/>
      <c r="C93" s="1737"/>
      <c r="D93" s="1596"/>
      <c r="E93" s="1737"/>
      <c r="F93" s="1596"/>
      <c r="G93" s="2378"/>
      <c r="H93" s="2378"/>
      <c r="I93" s="2379"/>
      <c r="J93" s="4646"/>
      <c r="K93" s="4604"/>
      <c r="L93" s="4607"/>
      <c r="M93" s="3289"/>
      <c r="N93" s="3289"/>
      <c r="O93" s="4606"/>
      <c r="P93" s="4606"/>
      <c r="Q93" s="4603"/>
      <c r="R93" s="4613"/>
      <c r="S93" s="4642"/>
      <c r="T93" s="4603"/>
      <c r="U93" s="4604"/>
      <c r="V93" s="2384" t="s">
        <v>2102</v>
      </c>
      <c r="W93" s="2427">
        <v>7000000</v>
      </c>
      <c r="X93" s="1621">
        <v>3497500</v>
      </c>
      <c r="Y93" s="1621">
        <v>700000</v>
      </c>
      <c r="Z93" s="2385">
        <v>61</v>
      </c>
      <c r="AA93" s="2437" t="s">
        <v>1981</v>
      </c>
      <c r="AB93" s="4636"/>
      <c r="AC93" s="4648"/>
      <c r="AD93" s="4636"/>
      <c r="AE93" s="4648"/>
      <c r="AF93" s="4636"/>
      <c r="AG93" s="4648"/>
      <c r="AH93" s="4636"/>
      <c r="AI93" s="4648"/>
      <c r="AJ93" s="4636"/>
      <c r="AK93" s="4648"/>
      <c r="AL93" s="4636"/>
      <c r="AM93" s="4648"/>
      <c r="AN93" s="4636"/>
      <c r="AO93" s="4648"/>
      <c r="AP93" s="4636"/>
      <c r="AQ93" s="4648"/>
      <c r="AR93" s="4636"/>
      <c r="AS93" s="4648"/>
      <c r="AT93" s="4636"/>
      <c r="AU93" s="4648"/>
      <c r="AV93" s="4636"/>
      <c r="AW93" s="4648"/>
      <c r="AX93" s="4636"/>
      <c r="AY93" s="4648"/>
      <c r="AZ93" s="4636"/>
      <c r="BA93" s="4648"/>
      <c r="BB93" s="4636"/>
      <c r="BC93" s="4648"/>
      <c r="BD93" s="4636"/>
      <c r="BE93" s="4648"/>
      <c r="BF93" s="4636"/>
      <c r="BG93" s="4648"/>
      <c r="BH93" s="4654"/>
      <c r="BI93" s="3206"/>
      <c r="BJ93" s="3206"/>
      <c r="BK93" s="3200"/>
      <c r="BL93" s="4651"/>
      <c r="BM93" s="4651"/>
      <c r="BN93" s="4624"/>
      <c r="BO93" s="4624"/>
      <c r="BP93" s="4624"/>
      <c r="BQ93" s="4624"/>
      <c r="BR93" s="4651"/>
    </row>
    <row r="94" spans="1:70" ht="60" x14ac:dyDescent="0.2">
      <c r="A94" s="2445"/>
      <c r="B94" s="1596"/>
      <c r="C94" s="1737"/>
      <c r="D94" s="1596"/>
      <c r="E94" s="1737"/>
      <c r="F94" s="1596"/>
      <c r="G94" s="2378"/>
      <c r="H94" s="2378"/>
      <c r="I94" s="2379"/>
      <c r="J94" s="4644">
        <v>141</v>
      </c>
      <c r="K94" s="4602" t="s">
        <v>2103</v>
      </c>
      <c r="L94" s="4605" t="s">
        <v>1974</v>
      </c>
      <c r="M94" s="3289">
        <v>1</v>
      </c>
      <c r="N94" s="3289">
        <v>0.3</v>
      </c>
      <c r="O94" s="4606"/>
      <c r="P94" s="4606"/>
      <c r="Q94" s="4603"/>
      <c r="R94" s="4611">
        <f>+(W94+W95+W96)/S86</f>
        <v>0.16666666666666666</v>
      </c>
      <c r="S94" s="4642"/>
      <c r="T94" s="4603"/>
      <c r="U94" s="4602" t="s">
        <v>2104</v>
      </c>
      <c r="V94" s="2384" t="s">
        <v>2105</v>
      </c>
      <c r="W94" s="2427">
        <v>10000000</v>
      </c>
      <c r="X94" s="1621">
        <v>4664000</v>
      </c>
      <c r="Y94" s="1621">
        <v>0</v>
      </c>
      <c r="Z94" s="2385">
        <v>61</v>
      </c>
      <c r="AA94" s="2437" t="s">
        <v>1981</v>
      </c>
      <c r="AB94" s="4636"/>
      <c r="AC94" s="4648"/>
      <c r="AD94" s="4636"/>
      <c r="AE94" s="4648"/>
      <c r="AF94" s="4636"/>
      <c r="AG94" s="4648"/>
      <c r="AH94" s="4636"/>
      <c r="AI94" s="4648"/>
      <c r="AJ94" s="4636"/>
      <c r="AK94" s="4648"/>
      <c r="AL94" s="4636"/>
      <c r="AM94" s="4648"/>
      <c r="AN94" s="4636"/>
      <c r="AO94" s="4648"/>
      <c r="AP94" s="4636"/>
      <c r="AQ94" s="4648"/>
      <c r="AR94" s="4636"/>
      <c r="AS94" s="4648"/>
      <c r="AT94" s="4636"/>
      <c r="AU94" s="4648"/>
      <c r="AV94" s="4636"/>
      <c r="AW94" s="4648"/>
      <c r="AX94" s="4636"/>
      <c r="AY94" s="4648"/>
      <c r="AZ94" s="4636"/>
      <c r="BA94" s="4648"/>
      <c r="BB94" s="4636"/>
      <c r="BC94" s="4648"/>
      <c r="BD94" s="4636"/>
      <c r="BE94" s="4648"/>
      <c r="BF94" s="4636"/>
      <c r="BG94" s="4648"/>
      <c r="BH94" s="4654"/>
      <c r="BI94" s="3206"/>
      <c r="BJ94" s="3206"/>
      <c r="BK94" s="3200"/>
      <c r="BL94" s="4651"/>
      <c r="BM94" s="4651"/>
      <c r="BN94" s="4624"/>
      <c r="BO94" s="4624"/>
      <c r="BP94" s="4624"/>
      <c r="BQ94" s="4624"/>
      <c r="BR94" s="4651"/>
    </row>
    <row r="95" spans="1:70" ht="120" x14ac:dyDescent="0.2">
      <c r="A95" s="2445"/>
      <c r="B95" s="1596"/>
      <c r="C95" s="1737"/>
      <c r="D95" s="1596"/>
      <c r="E95" s="1737"/>
      <c r="F95" s="1596"/>
      <c r="G95" s="2378"/>
      <c r="H95" s="2378"/>
      <c r="I95" s="2379"/>
      <c r="J95" s="4645"/>
      <c r="K95" s="4603"/>
      <c r="L95" s="4606"/>
      <c r="M95" s="3289"/>
      <c r="N95" s="3289"/>
      <c r="O95" s="4606"/>
      <c r="P95" s="4606"/>
      <c r="Q95" s="4603"/>
      <c r="R95" s="4612"/>
      <c r="S95" s="4642"/>
      <c r="T95" s="4603"/>
      <c r="U95" s="4603"/>
      <c r="V95" s="2384" t="s">
        <v>2106</v>
      </c>
      <c r="W95" s="2427">
        <v>10000000</v>
      </c>
      <c r="X95" s="1621">
        <v>4663000</v>
      </c>
      <c r="Y95" s="1621">
        <v>0</v>
      </c>
      <c r="Z95" s="2385">
        <v>61</v>
      </c>
      <c r="AA95" s="2437" t="s">
        <v>1981</v>
      </c>
      <c r="AB95" s="4636"/>
      <c r="AC95" s="4648"/>
      <c r="AD95" s="4636"/>
      <c r="AE95" s="4648"/>
      <c r="AF95" s="4636"/>
      <c r="AG95" s="4648"/>
      <c r="AH95" s="4636"/>
      <c r="AI95" s="4648"/>
      <c r="AJ95" s="4636"/>
      <c r="AK95" s="4648"/>
      <c r="AL95" s="4636"/>
      <c r="AM95" s="4648"/>
      <c r="AN95" s="4636"/>
      <c r="AO95" s="4648"/>
      <c r="AP95" s="4636"/>
      <c r="AQ95" s="4648"/>
      <c r="AR95" s="4636"/>
      <c r="AS95" s="4648"/>
      <c r="AT95" s="4636"/>
      <c r="AU95" s="4648"/>
      <c r="AV95" s="4636"/>
      <c r="AW95" s="4648"/>
      <c r="AX95" s="4636"/>
      <c r="AY95" s="4648"/>
      <c r="AZ95" s="4636"/>
      <c r="BA95" s="4648"/>
      <c r="BB95" s="4636"/>
      <c r="BC95" s="4648"/>
      <c r="BD95" s="4636"/>
      <c r="BE95" s="4648"/>
      <c r="BF95" s="4636"/>
      <c r="BG95" s="4648"/>
      <c r="BH95" s="4654"/>
      <c r="BI95" s="3206"/>
      <c r="BJ95" s="3206"/>
      <c r="BK95" s="3200"/>
      <c r="BL95" s="4651"/>
      <c r="BM95" s="4651"/>
      <c r="BN95" s="4624"/>
      <c r="BO95" s="4624"/>
      <c r="BP95" s="4624"/>
      <c r="BQ95" s="4624"/>
      <c r="BR95" s="4651"/>
    </row>
    <row r="96" spans="1:70" ht="75" x14ac:dyDescent="0.2">
      <c r="A96" s="2445"/>
      <c r="B96" s="1596"/>
      <c r="C96" s="1737"/>
      <c r="D96" s="1596"/>
      <c r="E96" s="1737"/>
      <c r="F96" s="1596"/>
      <c r="G96" s="2378"/>
      <c r="H96" s="2378"/>
      <c r="I96" s="2379"/>
      <c r="J96" s="4646"/>
      <c r="K96" s="4604"/>
      <c r="L96" s="4607"/>
      <c r="M96" s="3289"/>
      <c r="N96" s="3289"/>
      <c r="O96" s="4607"/>
      <c r="P96" s="4607"/>
      <c r="Q96" s="4604"/>
      <c r="R96" s="4613"/>
      <c r="S96" s="4643"/>
      <c r="T96" s="4604"/>
      <c r="U96" s="4604"/>
      <c r="V96" s="2384" t="s">
        <v>2107</v>
      </c>
      <c r="W96" s="2427">
        <v>8000000</v>
      </c>
      <c r="X96" s="1621">
        <v>4663000</v>
      </c>
      <c r="Y96" s="1621">
        <v>0</v>
      </c>
      <c r="Z96" s="2385">
        <v>61</v>
      </c>
      <c r="AA96" s="2437" t="s">
        <v>1981</v>
      </c>
      <c r="AB96" s="4637"/>
      <c r="AC96" s="4649"/>
      <c r="AD96" s="4637"/>
      <c r="AE96" s="4649"/>
      <c r="AF96" s="4637"/>
      <c r="AG96" s="4649"/>
      <c r="AH96" s="4637"/>
      <c r="AI96" s="4649"/>
      <c r="AJ96" s="4637"/>
      <c r="AK96" s="4649"/>
      <c r="AL96" s="4637"/>
      <c r="AM96" s="4649"/>
      <c r="AN96" s="4637"/>
      <c r="AO96" s="4649"/>
      <c r="AP96" s="4637"/>
      <c r="AQ96" s="4649"/>
      <c r="AR96" s="4637"/>
      <c r="AS96" s="4649"/>
      <c r="AT96" s="4637"/>
      <c r="AU96" s="4649"/>
      <c r="AV96" s="4637"/>
      <c r="AW96" s="4649"/>
      <c r="AX96" s="4637"/>
      <c r="AY96" s="4649"/>
      <c r="AZ96" s="4637"/>
      <c r="BA96" s="4649"/>
      <c r="BB96" s="4637"/>
      <c r="BC96" s="4649"/>
      <c r="BD96" s="4637"/>
      <c r="BE96" s="4649"/>
      <c r="BF96" s="4637"/>
      <c r="BG96" s="4649"/>
      <c r="BH96" s="4655"/>
      <c r="BI96" s="3207"/>
      <c r="BJ96" s="3207"/>
      <c r="BK96" s="3201"/>
      <c r="BL96" s="4652"/>
      <c r="BM96" s="4652"/>
      <c r="BN96" s="4624"/>
      <c r="BO96" s="4624"/>
      <c r="BP96" s="4624"/>
      <c r="BQ96" s="4624"/>
      <c r="BR96" s="4652"/>
    </row>
    <row r="97" spans="1:70" ht="15" customHeight="1" x14ac:dyDescent="0.2">
      <c r="A97" s="2445"/>
      <c r="B97" s="1596"/>
      <c r="C97" s="1737"/>
      <c r="D97" s="1596"/>
      <c r="E97" s="1737"/>
      <c r="G97" s="2406">
        <v>40</v>
      </c>
      <c r="H97" s="2375" t="s">
        <v>2108</v>
      </c>
      <c r="I97" s="2434"/>
      <c r="J97" s="2375"/>
      <c r="K97" s="2407"/>
      <c r="L97" s="2375"/>
      <c r="M97" s="2409"/>
      <c r="N97" s="2409"/>
      <c r="O97" s="2413"/>
      <c r="P97" s="2413"/>
      <c r="Q97" s="2413"/>
      <c r="R97" s="2413"/>
      <c r="S97" s="2413"/>
      <c r="T97" s="2413"/>
      <c r="U97" s="2407"/>
      <c r="V97" s="2413"/>
      <c r="W97" s="2412"/>
      <c r="X97" s="2412"/>
      <c r="Y97" s="2412"/>
      <c r="Z97" s="2413"/>
      <c r="AA97" s="2413"/>
      <c r="AB97" s="2413"/>
      <c r="AC97" s="2413"/>
      <c r="AD97" s="2413"/>
      <c r="AE97" s="2413"/>
      <c r="AF97" s="2413"/>
      <c r="AG97" s="2413"/>
      <c r="AH97" s="2413"/>
      <c r="AI97" s="2413"/>
      <c r="AJ97" s="2413"/>
      <c r="AK97" s="2413"/>
      <c r="AL97" s="2413"/>
      <c r="AM97" s="2413"/>
      <c r="AN97" s="2413"/>
      <c r="AO97" s="2413"/>
      <c r="AP97" s="2413"/>
      <c r="AQ97" s="2413"/>
      <c r="AR97" s="2413"/>
      <c r="AS97" s="2413"/>
      <c r="AT97" s="2413"/>
      <c r="AU97" s="2413"/>
      <c r="AV97" s="2413"/>
      <c r="AW97" s="2413"/>
      <c r="AX97" s="2413"/>
      <c r="AY97" s="2413"/>
      <c r="AZ97" s="2413"/>
      <c r="BA97" s="2413"/>
      <c r="BB97" s="2413"/>
      <c r="BC97" s="2413"/>
      <c r="BD97" s="2413"/>
      <c r="BE97" s="2413"/>
      <c r="BF97" s="2413"/>
      <c r="BG97" s="2413"/>
      <c r="BH97" s="2413"/>
      <c r="BI97" s="2412"/>
      <c r="BJ97" s="2412"/>
      <c r="BK97" s="2413"/>
      <c r="BL97" s="2413"/>
      <c r="BM97" s="2413"/>
      <c r="BN97" s="2413"/>
      <c r="BO97" s="2413"/>
      <c r="BP97" s="2413"/>
      <c r="BQ97" s="2413"/>
      <c r="BR97" s="2441"/>
    </row>
    <row r="98" spans="1:70" ht="45" x14ac:dyDescent="0.2">
      <c r="A98" s="2445"/>
      <c r="B98" s="1596"/>
      <c r="C98" s="1737"/>
      <c r="D98" s="1596"/>
      <c r="E98" s="1737"/>
      <c r="G98" s="2425"/>
      <c r="H98" s="2425"/>
      <c r="I98" s="2426"/>
      <c r="J98" s="4599">
        <v>142</v>
      </c>
      <c r="K98" s="4657" t="s">
        <v>2109</v>
      </c>
      <c r="L98" s="4605" t="s">
        <v>1974</v>
      </c>
      <c r="M98" s="3289">
        <v>12</v>
      </c>
      <c r="N98" s="3289">
        <v>0</v>
      </c>
      <c r="O98" s="4605" t="s">
        <v>2110</v>
      </c>
      <c r="P98" s="4605" t="s">
        <v>2111</v>
      </c>
      <c r="Q98" s="4602" t="s">
        <v>2112</v>
      </c>
      <c r="R98" s="4656">
        <f>+(W98+W99+W100+W101)/S98</f>
        <v>0.91205079945823297</v>
      </c>
      <c r="S98" s="4641">
        <f>SUM(W98:W105)</f>
        <v>113702000</v>
      </c>
      <c r="T98" s="4602" t="s">
        <v>2113</v>
      </c>
      <c r="U98" s="4602" t="s">
        <v>2114</v>
      </c>
      <c r="V98" s="2446" t="s">
        <v>2115</v>
      </c>
      <c r="W98" s="992">
        <v>25000000</v>
      </c>
      <c r="X98" s="1621">
        <v>15513750</v>
      </c>
      <c r="Y98" s="1621">
        <v>3802250</v>
      </c>
      <c r="Z98" s="2385">
        <v>61</v>
      </c>
      <c r="AA98" s="2437" t="s">
        <v>1981</v>
      </c>
      <c r="AB98" s="4660" t="s">
        <v>2015</v>
      </c>
      <c r="AC98" s="4660" t="s">
        <v>2015</v>
      </c>
      <c r="AD98" s="4660" t="s">
        <v>2015</v>
      </c>
      <c r="AE98" s="4660" t="s">
        <v>2015</v>
      </c>
      <c r="AF98" s="4660">
        <v>64149</v>
      </c>
      <c r="AG98" s="4660">
        <f>SUM(AF98*0.57)</f>
        <v>36564.93</v>
      </c>
      <c r="AH98" s="4660" t="s">
        <v>2015</v>
      </c>
      <c r="AI98" s="4660" t="s">
        <v>2015</v>
      </c>
      <c r="AJ98" s="4660" t="s">
        <v>2015</v>
      </c>
      <c r="AK98" s="4660" t="s">
        <v>2015</v>
      </c>
      <c r="AL98" s="4660" t="s">
        <v>2015</v>
      </c>
      <c r="AM98" s="4660" t="s">
        <v>2015</v>
      </c>
      <c r="AN98" s="4660" t="s">
        <v>2015</v>
      </c>
      <c r="AO98" s="4660" t="s">
        <v>2015</v>
      </c>
      <c r="AP98" s="4660" t="s">
        <v>2015</v>
      </c>
      <c r="AQ98" s="4660" t="s">
        <v>2015</v>
      </c>
      <c r="AR98" s="4660" t="s">
        <v>2015</v>
      </c>
      <c r="AS98" s="4660" t="s">
        <v>2015</v>
      </c>
      <c r="AT98" s="4660" t="s">
        <v>2015</v>
      </c>
      <c r="AU98" s="4660" t="s">
        <v>2015</v>
      </c>
      <c r="AV98" s="4660" t="s">
        <v>2015</v>
      </c>
      <c r="AW98" s="4660" t="s">
        <v>2015</v>
      </c>
      <c r="AX98" s="4660" t="s">
        <v>2015</v>
      </c>
      <c r="AY98" s="4660" t="s">
        <v>2015</v>
      </c>
      <c r="AZ98" s="4660" t="s">
        <v>2015</v>
      </c>
      <c r="BA98" s="4660" t="s">
        <v>2015</v>
      </c>
      <c r="BB98" s="4660" t="s">
        <v>2015</v>
      </c>
      <c r="BC98" s="4660" t="s">
        <v>2015</v>
      </c>
      <c r="BD98" s="4660" t="s">
        <v>2015</v>
      </c>
      <c r="BE98" s="4660" t="s">
        <v>2015</v>
      </c>
      <c r="BF98" s="4660" t="s">
        <v>2015</v>
      </c>
      <c r="BG98" s="4660" t="s">
        <v>2015</v>
      </c>
      <c r="BH98" s="4006">
        <v>6</v>
      </c>
      <c r="BI98" s="4667">
        <f>SUM(X98:X105)</f>
        <v>71010000</v>
      </c>
      <c r="BJ98" s="4667">
        <f>SUM(Y98:Y105)</f>
        <v>18791000</v>
      </c>
      <c r="BK98" s="4669">
        <f>+BJ98/BI98</f>
        <v>0.26462470074637373</v>
      </c>
      <c r="BL98" s="4006" t="s">
        <v>2116</v>
      </c>
      <c r="BM98" s="4666" t="s">
        <v>1982</v>
      </c>
      <c r="BN98" s="4623">
        <v>43466</v>
      </c>
      <c r="BO98" s="4623">
        <v>43467</v>
      </c>
      <c r="BP98" s="4623">
        <v>43830</v>
      </c>
      <c r="BQ98" s="4623">
        <v>43830</v>
      </c>
      <c r="BR98" s="3190" t="s">
        <v>1983</v>
      </c>
    </row>
    <row r="99" spans="1:70" ht="60" x14ac:dyDescent="0.2">
      <c r="A99" s="2445"/>
      <c r="B99" s="1596"/>
      <c r="C99" s="1737"/>
      <c r="D99" s="1596"/>
      <c r="E99" s="1737"/>
      <c r="G99" s="2428"/>
      <c r="H99" s="2428"/>
      <c r="I99" s="2429"/>
      <c r="J99" s="4600"/>
      <c r="K99" s="4658"/>
      <c r="L99" s="4606"/>
      <c r="M99" s="3289"/>
      <c r="N99" s="3289"/>
      <c r="O99" s="4606"/>
      <c r="P99" s="4606"/>
      <c r="Q99" s="4603"/>
      <c r="R99" s="4656"/>
      <c r="S99" s="4642"/>
      <c r="T99" s="4603"/>
      <c r="U99" s="4603"/>
      <c r="V99" s="2446" t="s">
        <v>2117</v>
      </c>
      <c r="W99" s="993">
        <v>25000000</v>
      </c>
      <c r="X99" s="1621">
        <v>15513750</v>
      </c>
      <c r="Y99" s="1621">
        <v>3802250</v>
      </c>
      <c r="Z99" s="2385">
        <v>61</v>
      </c>
      <c r="AA99" s="2437" t="s">
        <v>1981</v>
      </c>
      <c r="AB99" s="4661"/>
      <c r="AC99" s="4661"/>
      <c r="AD99" s="4661"/>
      <c r="AE99" s="4661"/>
      <c r="AF99" s="4661"/>
      <c r="AG99" s="4661"/>
      <c r="AH99" s="4661"/>
      <c r="AI99" s="4661"/>
      <c r="AJ99" s="4661"/>
      <c r="AK99" s="4661"/>
      <c r="AL99" s="4661"/>
      <c r="AM99" s="4661"/>
      <c r="AN99" s="4661"/>
      <c r="AO99" s="4661"/>
      <c r="AP99" s="4661"/>
      <c r="AQ99" s="4661"/>
      <c r="AR99" s="4661"/>
      <c r="AS99" s="4661"/>
      <c r="AT99" s="4661"/>
      <c r="AU99" s="4661"/>
      <c r="AV99" s="4661"/>
      <c r="AW99" s="4661"/>
      <c r="AX99" s="4661"/>
      <c r="AY99" s="4661"/>
      <c r="AZ99" s="4661"/>
      <c r="BA99" s="4661"/>
      <c r="BB99" s="4661"/>
      <c r="BC99" s="4661"/>
      <c r="BD99" s="4661"/>
      <c r="BE99" s="4661"/>
      <c r="BF99" s="4661"/>
      <c r="BG99" s="4661"/>
      <c r="BH99" s="4665"/>
      <c r="BI99" s="4668"/>
      <c r="BJ99" s="4668"/>
      <c r="BK99" s="4670"/>
      <c r="BL99" s="4665"/>
      <c r="BM99" s="4365"/>
      <c r="BN99" s="4624"/>
      <c r="BO99" s="4624"/>
      <c r="BP99" s="4624"/>
      <c r="BQ99" s="4624"/>
      <c r="BR99" s="3595"/>
    </row>
    <row r="100" spans="1:70" ht="60" x14ac:dyDescent="0.2">
      <c r="A100" s="2445"/>
      <c r="B100" s="1596"/>
      <c r="C100" s="1737"/>
      <c r="D100" s="1596"/>
      <c r="E100" s="1737"/>
      <c r="G100" s="2428"/>
      <c r="H100" s="2428"/>
      <c r="I100" s="2429"/>
      <c r="J100" s="4600"/>
      <c r="K100" s="4658"/>
      <c r="L100" s="4606"/>
      <c r="M100" s="3289"/>
      <c r="N100" s="3289"/>
      <c r="O100" s="4606"/>
      <c r="P100" s="4606"/>
      <c r="Q100" s="4603"/>
      <c r="R100" s="4656"/>
      <c r="S100" s="4642"/>
      <c r="T100" s="4603"/>
      <c r="U100" s="4603"/>
      <c r="V100" s="2446" t="s">
        <v>2118</v>
      </c>
      <c r="W100" s="993">
        <v>25000000</v>
      </c>
      <c r="X100" s="1621">
        <v>15513750</v>
      </c>
      <c r="Y100" s="1621">
        <v>3802250</v>
      </c>
      <c r="Z100" s="2385">
        <v>61</v>
      </c>
      <c r="AA100" s="2437" t="s">
        <v>1981</v>
      </c>
      <c r="AB100" s="4661"/>
      <c r="AC100" s="4661"/>
      <c r="AD100" s="4661"/>
      <c r="AE100" s="4661"/>
      <c r="AF100" s="4661"/>
      <c r="AG100" s="4661"/>
      <c r="AH100" s="4661"/>
      <c r="AI100" s="4661"/>
      <c r="AJ100" s="4661"/>
      <c r="AK100" s="4661"/>
      <c r="AL100" s="4661"/>
      <c r="AM100" s="4661"/>
      <c r="AN100" s="4661"/>
      <c r="AO100" s="4661"/>
      <c r="AP100" s="4661"/>
      <c r="AQ100" s="4661"/>
      <c r="AR100" s="4661"/>
      <c r="AS100" s="4661"/>
      <c r="AT100" s="4661"/>
      <c r="AU100" s="4661"/>
      <c r="AV100" s="4661"/>
      <c r="AW100" s="4661"/>
      <c r="AX100" s="4661"/>
      <c r="AY100" s="4661"/>
      <c r="AZ100" s="4661"/>
      <c r="BA100" s="4661"/>
      <c r="BB100" s="4661"/>
      <c r="BC100" s="4661"/>
      <c r="BD100" s="4661"/>
      <c r="BE100" s="4661"/>
      <c r="BF100" s="4661"/>
      <c r="BG100" s="4661"/>
      <c r="BH100" s="4665"/>
      <c r="BI100" s="4668"/>
      <c r="BJ100" s="4668"/>
      <c r="BK100" s="4670"/>
      <c r="BL100" s="4665"/>
      <c r="BM100" s="4365"/>
      <c r="BN100" s="4624"/>
      <c r="BO100" s="4624"/>
      <c r="BP100" s="4624"/>
      <c r="BQ100" s="4624"/>
      <c r="BR100" s="3595"/>
    </row>
    <row r="101" spans="1:70" ht="60" x14ac:dyDescent="0.2">
      <c r="A101" s="2445"/>
      <c r="B101" s="1596"/>
      <c r="C101" s="1737"/>
      <c r="D101" s="1596"/>
      <c r="E101" s="1737"/>
      <c r="G101" s="2428"/>
      <c r="H101" s="2428"/>
      <c r="I101" s="2429"/>
      <c r="J101" s="4601"/>
      <c r="K101" s="4659"/>
      <c r="L101" s="4607"/>
      <c r="M101" s="3289"/>
      <c r="N101" s="3289"/>
      <c r="O101" s="4606"/>
      <c r="P101" s="4606"/>
      <c r="Q101" s="4603"/>
      <c r="R101" s="4656"/>
      <c r="S101" s="4642"/>
      <c r="T101" s="4603"/>
      <c r="U101" s="4604"/>
      <c r="V101" s="2446" t="s">
        <v>2119</v>
      </c>
      <c r="W101" s="993">
        <v>28702000</v>
      </c>
      <c r="X101" s="1621">
        <v>15513750</v>
      </c>
      <c r="Y101" s="1621">
        <v>3802250</v>
      </c>
      <c r="Z101" s="2385">
        <v>61</v>
      </c>
      <c r="AA101" s="2437" t="s">
        <v>1981</v>
      </c>
      <c r="AB101" s="4661"/>
      <c r="AC101" s="4661"/>
      <c r="AD101" s="4661"/>
      <c r="AE101" s="4661"/>
      <c r="AF101" s="4661"/>
      <c r="AG101" s="4661"/>
      <c r="AH101" s="4661"/>
      <c r="AI101" s="4661"/>
      <c r="AJ101" s="4661"/>
      <c r="AK101" s="4661"/>
      <c r="AL101" s="4661"/>
      <c r="AM101" s="4661"/>
      <c r="AN101" s="4661"/>
      <c r="AO101" s="4661"/>
      <c r="AP101" s="4661"/>
      <c r="AQ101" s="4661"/>
      <c r="AR101" s="4661"/>
      <c r="AS101" s="4661"/>
      <c r="AT101" s="4661"/>
      <c r="AU101" s="4661"/>
      <c r="AV101" s="4661"/>
      <c r="AW101" s="4661"/>
      <c r="AX101" s="4661"/>
      <c r="AY101" s="4661"/>
      <c r="AZ101" s="4661"/>
      <c r="BA101" s="4661"/>
      <c r="BB101" s="4661"/>
      <c r="BC101" s="4661"/>
      <c r="BD101" s="4661"/>
      <c r="BE101" s="4661"/>
      <c r="BF101" s="4661"/>
      <c r="BG101" s="4661"/>
      <c r="BH101" s="4665"/>
      <c r="BI101" s="4668"/>
      <c r="BJ101" s="4668"/>
      <c r="BK101" s="4670"/>
      <c r="BL101" s="4665"/>
      <c r="BM101" s="4365"/>
      <c r="BN101" s="4624"/>
      <c r="BO101" s="4624"/>
      <c r="BP101" s="4624"/>
      <c r="BQ101" s="4624"/>
      <c r="BR101" s="3595"/>
    </row>
    <row r="102" spans="1:70" ht="45" x14ac:dyDescent="0.2">
      <c r="A102" s="2445"/>
      <c r="B102" s="1596"/>
      <c r="C102" s="1737"/>
      <c r="D102" s="1596"/>
      <c r="E102" s="1737"/>
      <c r="G102" s="2428"/>
      <c r="H102" s="2428"/>
      <c r="I102" s="2429"/>
      <c r="J102" s="4599">
        <v>143</v>
      </c>
      <c r="K102" s="4663" t="s">
        <v>2120</v>
      </c>
      <c r="L102" s="4605" t="s">
        <v>1974</v>
      </c>
      <c r="M102" s="3289">
        <v>1</v>
      </c>
      <c r="N102" s="3289">
        <v>0</v>
      </c>
      <c r="O102" s="4606"/>
      <c r="P102" s="4606"/>
      <c r="Q102" s="4603"/>
      <c r="R102" s="4611">
        <f>+(W102+W103+W104+W105)/S98</f>
        <v>8.7949200541767081E-2</v>
      </c>
      <c r="S102" s="4642"/>
      <c r="T102" s="4603"/>
      <c r="U102" s="4664" t="s">
        <v>2121</v>
      </c>
      <c r="V102" s="2447" t="s">
        <v>2122</v>
      </c>
      <c r="W102" s="993">
        <v>2500000</v>
      </c>
      <c r="X102" s="1621">
        <v>2238750</v>
      </c>
      <c r="Y102" s="1621">
        <v>895500</v>
      </c>
      <c r="Z102" s="2385">
        <v>20</v>
      </c>
      <c r="AA102" s="2437" t="s">
        <v>71</v>
      </c>
      <c r="AB102" s="4661"/>
      <c r="AC102" s="4661"/>
      <c r="AD102" s="4661"/>
      <c r="AE102" s="4661"/>
      <c r="AF102" s="4661"/>
      <c r="AG102" s="4661"/>
      <c r="AH102" s="4661"/>
      <c r="AI102" s="4661"/>
      <c r="AJ102" s="4661"/>
      <c r="AK102" s="4661"/>
      <c r="AL102" s="4661"/>
      <c r="AM102" s="4661"/>
      <c r="AN102" s="4661"/>
      <c r="AO102" s="4661"/>
      <c r="AP102" s="4661"/>
      <c r="AQ102" s="4661"/>
      <c r="AR102" s="4661"/>
      <c r="AS102" s="4661"/>
      <c r="AT102" s="4661"/>
      <c r="AU102" s="4661"/>
      <c r="AV102" s="4661"/>
      <c r="AW102" s="4661"/>
      <c r="AX102" s="4661"/>
      <c r="AY102" s="4661"/>
      <c r="AZ102" s="4661"/>
      <c r="BA102" s="4661"/>
      <c r="BB102" s="4661"/>
      <c r="BC102" s="4661"/>
      <c r="BD102" s="4661"/>
      <c r="BE102" s="4661"/>
      <c r="BF102" s="4661"/>
      <c r="BG102" s="4661"/>
      <c r="BH102" s="4665"/>
      <c r="BI102" s="4668"/>
      <c r="BJ102" s="4668"/>
      <c r="BK102" s="4670"/>
      <c r="BL102" s="4665"/>
      <c r="BM102" s="4365"/>
      <c r="BN102" s="4624"/>
      <c r="BO102" s="4624"/>
      <c r="BP102" s="4624"/>
      <c r="BQ102" s="4624"/>
      <c r="BR102" s="3595"/>
    </row>
    <row r="103" spans="1:70" ht="45" x14ac:dyDescent="0.2">
      <c r="A103" s="2445"/>
      <c r="B103" s="1596"/>
      <c r="C103" s="1737"/>
      <c r="D103" s="1596"/>
      <c r="E103" s="1737"/>
      <c r="G103" s="2428"/>
      <c r="H103" s="2428"/>
      <c r="I103" s="2429"/>
      <c r="J103" s="4600"/>
      <c r="K103" s="4663"/>
      <c r="L103" s="4606"/>
      <c r="M103" s="3289"/>
      <c r="N103" s="3289"/>
      <c r="O103" s="4606"/>
      <c r="P103" s="4606"/>
      <c r="Q103" s="4603"/>
      <c r="R103" s="4612"/>
      <c r="S103" s="4642"/>
      <c r="T103" s="4603"/>
      <c r="U103" s="4664"/>
      <c r="V103" s="2447" t="s">
        <v>2123</v>
      </c>
      <c r="W103" s="993">
        <v>2500000</v>
      </c>
      <c r="X103" s="1621">
        <v>2238750</v>
      </c>
      <c r="Y103" s="1621">
        <v>895500</v>
      </c>
      <c r="Z103" s="2385">
        <v>20</v>
      </c>
      <c r="AA103" s="2437" t="s">
        <v>71</v>
      </c>
      <c r="AB103" s="4661"/>
      <c r="AC103" s="4661"/>
      <c r="AD103" s="4661"/>
      <c r="AE103" s="4661"/>
      <c r="AF103" s="4661"/>
      <c r="AG103" s="4661"/>
      <c r="AH103" s="4661"/>
      <c r="AI103" s="4661"/>
      <c r="AJ103" s="4661"/>
      <c r="AK103" s="4661"/>
      <c r="AL103" s="4661"/>
      <c r="AM103" s="4661"/>
      <c r="AN103" s="4661"/>
      <c r="AO103" s="4661"/>
      <c r="AP103" s="4661"/>
      <c r="AQ103" s="4661"/>
      <c r="AR103" s="4661"/>
      <c r="AS103" s="4661"/>
      <c r="AT103" s="4661"/>
      <c r="AU103" s="4661"/>
      <c r="AV103" s="4661"/>
      <c r="AW103" s="4661"/>
      <c r="AX103" s="4661"/>
      <c r="AY103" s="4661"/>
      <c r="AZ103" s="4661"/>
      <c r="BA103" s="4661"/>
      <c r="BB103" s="4661"/>
      <c r="BC103" s="4661"/>
      <c r="BD103" s="4661"/>
      <c r="BE103" s="4661"/>
      <c r="BF103" s="4661"/>
      <c r="BG103" s="4661"/>
      <c r="BH103" s="4665"/>
      <c r="BI103" s="4668"/>
      <c r="BJ103" s="4668"/>
      <c r="BK103" s="4670"/>
      <c r="BL103" s="4665"/>
      <c r="BM103" s="4365"/>
      <c r="BN103" s="4624"/>
      <c r="BO103" s="4624"/>
      <c r="BP103" s="4624"/>
      <c r="BQ103" s="4624"/>
      <c r="BR103" s="3595"/>
    </row>
    <row r="104" spans="1:70" ht="60" x14ac:dyDescent="0.2">
      <c r="A104" s="2445"/>
      <c r="B104" s="1596"/>
      <c r="C104" s="1737"/>
      <c r="D104" s="1596"/>
      <c r="E104" s="1737"/>
      <c r="G104" s="2428"/>
      <c r="H104" s="2428"/>
      <c r="I104" s="2429"/>
      <c r="J104" s="4600"/>
      <c r="K104" s="4663"/>
      <c r="L104" s="4606"/>
      <c r="M104" s="3289"/>
      <c r="N104" s="3289"/>
      <c r="O104" s="4606"/>
      <c r="P104" s="4606"/>
      <c r="Q104" s="4603"/>
      <c r="R104" s="4612"/>
      <c r="S104" s="4642"/>
      <c r="T104" s="4603"/>
      <c r="U104" s="4664"/>
      <c r="V104" s="2447" t="s">
        <v>2124</v>
      </c>
      <c r="W104" s="993">
        <v>2500000</v>
      </c>
      <c r="X104" s="1621">
        <v>2238750</v>
      </c>
      <c r="Y104" s="1621">
        <v>895500</v>
      </c>
      <c r="Z104" s="2385">
        <v>20</v>
      </c>
      <c r="AA104" s="2437" t="s">
        <v>71</v>
      </c>
      <c r="AB104" s="4661"/>
      <c r="AC104" s="4661"/>
      <c r="AD104" s="4661"/>
      <c r="AE104" s="4661"/>
      <c r="AF104" s="4661"/>
      <c r="AG104" s="4661"/>
      <c r="AH104" s="4661"/>
      <c r="AI104" s="4661"/>
      <c r="AJ104" s="4661"/>
      <c r="AK104" s="4661"/>
      <c r="AL104" s="4661"/>
      <c r="AM104" s="4661"/>
      <c r="AN104" s="4661"/>
      <c r="AO104" s="4661"/>
      <c r="AP104" s="4661"/>
      <c r="AQ104" s="4661"/>
      <c r="AR104" s="4661"/>
      <c r="AS104" s="4661"/>
      <c r="AT104" s="4661"/>
      <c r="AU104" s="4661"/>
      <c r="AV104" s="4661"/>
      <c r="AW104" s="4661"/>
      <c r="AX104" s="4661"/>
      <c r="AY104" s="4661"/>
      <c r="AZ104" s="4661"/>
      <c r="BA104" s="4661"/>
      <c r="BB104" s="4661"/>
      <c r="BC104" s="4661"/>
      <c r="BD104" s="4661"/>
      <c r="BE104" s="4661"/>
      <c r="BF104" s="4661"/>
      <c r="BG104" s="4661"/>
      <c r="BH104" s="4665"/>
      <c r="BI104" s="4668"/>
      <c r="BJ104" s="4668"/>
      <c r="BK104" s="4670"/>
      <c r="BL104" s="4665"/>
      <c r="BM104" s="4365"/>
      <c r="BN104" s="4624"/>
      <c r="BO104" s="4624"/>
      <c r="BP104" s="4624"/>
      <c r="BQ104" s="4624"/>
      <c r="BR104" s="3595"/>
    </row>
    <row r="105" spans="1:70" ht="60" x14ac:dyDescent="0.2">
      <c r="A105" s="2445"/>
      <c r="B105" s="1596"/>
      <c r="C105" s="1737"/>
      <c r="D105" s="1596"/>
      <c r="E105" s="1737"/>
      <c r="G105" s="2428"/>
      <c r="H105" s="2428"/>
      <c r="I105" s="2429"/>
      <c r="J105" s="4601"/>
      <c r="K105" s="4663"/>
      <c r="L105" s="4607"/>
      <c r="M105" s="3289"/>
      <c r="N105" s="3289"/>
      <c r="O105" s="4607"/>
      <c r="P105" s="4607"/>
      <c r="Q105" s="4604"/>
      <c r="R105" s="4613"/>
      <c r="S105" s="4643"/>
      <c r="T105" s="4604"/>
      <c r="U105" s="4664"/>
      <c r="V105" s="2447" t="s">
        <v>2125</v>
      </c>
      <c r="W105" s="992">
        <v>2500000</v>
      </c>
      <c r="X105" s="1621">
        <v>2238750</v>
      </c>
      <c r="Y105" s="1621">
        <v>895500</v>
      </c>
      <c r="Z105" s="2385">
        <v>20</v>
      </c>
      <c r="AA105" s="2437" t="s">
        <v>71</v>
      </c>
      <c r="AB105" s="4662"/>
      <c r="AC105" s="4662"/>
      <c r="AD105" s="4662"/>
      <c r="AE105" s="4662"/>
      <c r="AF105" s="4662"/>
      <c r="AG105" s="4662"/>
      <c r="AH105" s="4662"/>
      <c r="AI105" s="4662"/>
      <c r="AJ105" s="4662"/>
      <c r="AK105" s="4662"/>
      <c r="AL105" s="4662"/>
      <c r="AM105" s="4662"/>
      <c r="AN105" s="4662"/>
      <c r="AO105" s="4662"/>
      <c r="AP105" s="4662"/>
      <c r="AQ105" s="4662"/>
      <c r="AR105" s="4662"/>
      <c r="AS105" s="4662"/>
      <c r="AT105" s="4662"/>
      <c r="AU105" s="4662"/>
      <c r="AV105" s="4662"/>
      <c r="AW105" s="4662"/>
      <c r="AX105" s="4662"/>
      <c r="AY105" s="4662"/>
      <c r="AZ105" s="4662"/>
      <c r="BA105" s="4662"/>
      <c r="BB105" s="4662"/>
      <c r="BC105" s="4662"/>
      <c r="BD105" s="4662"/>
      <c r="BE105" s="4662"/>
      <c r="BF105" s="4662"/>
      <c r="BG105" s="4662"/>
      <c r="BH105" s="4665"/>
      <c r="BI105" s="4668"/>
      <c r="BJ105" s="4668"/>
      <c r="BK105" s="4670"/>
      <c r="BL105" s="4665"/>
      <c r="BM105" s="4365"/>
      <c r="BN105" s="4624"/>
      <c r="BO105" s="4624"/>
      <c r="BP105" s="4624"/>
      <c r="BQ105" s="4624"/>
      <c r="BR105" s="3596"/>
    </row>
    <row r="106" spans="1:70" ht="60" customHeight="1" x14ac:dyDescent="0.2">
      <c r="A106" s="2445"/>
      <c r="B106" s="1596"/>
      <c r="C106" s="1737"/>
      <c r="D106" s="1596"/>
      <c r="E106" s="1737"/>
      <c r="G106" s="2448"/>
      <c r="H106" s="2448"/>
      <c r="I106" s="2449"/>
      <c r="J106" s="4599">
        <v>144</v>
      </c>
      <c r="K106" s="4679" t="s">
        <v>2126</v>
      </c>
      <c r="L106" s="4599" t="s">
        <v>1974</v>
      </c>
      <c r="M106" s="3594">
        <v>5</v>
      </c>
      <c r="N106" s="3594">
        <v>2</v>
      </c>
      <c r="O106" s="4671" t="s">
        <v>2127</v>
      </c>
      <c r="P106" s="4671" t="s">
        <v>2128</v>
      </c>
      <c r="Q106" s="4602" t="s">
        <v>2129</v>
      </c>
      <c r="R106" s="4674">
        <f>+(W106+W107+W108+W109+W110+W111+W112+W113+W114+W115+W116+W117+W118+W119)/S106</f>
        <v>0.78874688239295443</v>
      </c>
      <c r="S106" s="4641">
        <v>552359943</v>
      </c>
      <c r="T106" s="4677" t="s">
        <v>2130</v>
      </c>
      <c r="U106" s="4679" t="s">
        <v>2131</v>
      </c>
      <c r="V106" s="4692" t="s">
        <v>2132</v>
      </c>
      <c r="W106" s="2427">
        <v>242840543</v>
      </c>
      <c r="X106" s="1621">
        <v>0</v>
      </c>
      <c r="Y106" s="1621">
        <v>0</v>
      </c>
      <c r="Z106" s="2450">
        <v>111</v>
      </c>
      <c r="AA106" s="2451" t="s">
        <v>2133</v>
      </c>
      <c r="AB106" s="4686">
        <v>292684</v>
      </c>
      <c r="AC106" s="4689">
        <f>SUM(AB106*0.33)</f>
        <v>96585.72</v>
      </c>
      <c r="AD106" s="4686">
        <v>282326</v>
      </c>
      <c r="AE106" s="4689">
        <f>SUM(AD106*0.33)</f>
        <v>93167.58</v>
      </c>
      <c r="AF106" s="4686">
        <v>135912</v>
      </c>
      <c r="AG106" s="4689">
        <f>SUM(AF106*0.33)</f>
        <v>44850.96</v>
      </c>
      <c r="AH106" s="4686">
        <v>45122</v>
      </c>
      <c r="AI106" s="4689">
        <f>SUM(AH106*0.33)</f>
        <v>14890.26</v>
      </c>
      <c r="AJ106" s="4686">
        <v>307101</v>
      </c>
      <c r="AK106" s="4689">
        <f>SUM(AJ106*0.33)</f>
        <v>101343.33</v>
      </c>
      <c r="AL106" s="4686">
        <v>86875</v>
      </c>
      <c r="AM106" s="4689">
        <f>SUM(AL106*0.33)</f>
        <v>28668.75</v>
      </c>
      <c r="AN106" s="4686">
        <v>2145</v>
      </c>
      <c r="AO106" s="4689">
        <f>SUM(AN106*0.33)</f>
        <v>707.85</v>
      </c>
      <c r="AP106" s="4686">
        <v>12718</v>
      </c>
      <c r="AQ106" s="4689">
        <f>SUM(AP106*0.33)</f>
        <v>4196.9400000000005</v>
      </c>
      <c r="AR106" s="4686">
        <v>26</v>
      </c>
      <c r="AS106" s="4689">
        <f>SUM(AR106*0.33)</f>
        <v>8.58</v>
      </c>
      <c r="AT106" s="4686">
        <v>37</v>
      </c>
      <c r="AU106" s="4689">
        <f>SUM(AT106*0.33)</f>
        <v>12.21</v>
      </c>
      <c r="AV106" s="4686" t="s">
        <v>2015</v>
      </c>
      <c r="AW106" s="4689" t="s">
        <v>2015</v>
      </c>
      <c r="AX106" s="4686" t="s">
        <v>2015</v>
      </c>
      <c r="AY106" s="4689" t="s">
        <v>2015</v>
      </c>
      <c r="AZ106" s="4686">
        <v>53164</v>
      </c>
      <c r="BA106" s="4689">
        <f>SUM(AZ106*0.33)</f>
        <v>17544.120000000003</v>
      </c>
      <c r="BB106" s="4686">
        <v>16982</v>
      </c>
      <c r="BC106" s="4689">
        <f>SUM(BB106*0.33)</f>
        <v>5604.06</v>
      </c>
      <c r="BD106" s="4686">
        <v>60013</v>
      </c>
      <c r="BE106" s="4689">
        <f>SUM(BD106*0.33)</f>
        <v>19804.29</v>
      </c>
      <c r="BF106" s="4686">
        <v>575010</v>
      </c>
      <c r="BG106" s="4689">
        <f>SUM(BF106*0.33)</f>
        <v>189753.30000000002</v>
      </c>
      <c r="BH106" s="3594">
        <v>10</v>
      </c>
      <c r="BI106" s="3408">
        <f>SUM(X106:X127)</f>
        <v>162825486</v>
      </c>
      <c r="BJ106" s="3408">
        <f>SUM(Y106:Y127)</f>
        <v>62112486</v>
      </c>
      <c r="BK106" s="4698">
        <f>+BJ106/BI106</f>
        <v>0.38146660898036566</v>
      </c>
      <c r="BL106" s="3190" t="s">
        <v>2134</v>
      </c>
      <c r="BM106" s="3190" t="s">
        <v>1982</v>
      </c>
      <c r="BN106" s="4623">
        <v>43466</v>
      </c>
      <c r="BO106" s="4623">
        <v>43467</v>
      </c>
      <c r="BP106" s="4623">
        <v>43830</v>
      </c>
      <c r="BQ106" s="4623">
        <v>43830</v>
      </c>
      <c r="BR106" s="3190" t="s">
        <v>1983</v>
      </c>
    </row>
    <row r="107" spans="1:70" ht="45" customHeight="1" x14ac:dyDescent="0.2">
      <c r="A107" s="2445"/>
      <c r="B107" s="1596"/>
      <c r="C107" s="1737"/>
      <c r="D107" s="1596"/>
      <c r="E107" s="1737"/>
      <c r="G107" s="2448"/>
      <c r="H107" s="2448"/>
      <c r="I107" s="2449"/>
      <c r="J107" s="4600"/>
      <c r="K107" s="4680"/>
      <c r="L107" s="4600"/>
      <c r="M107" s="3595"/>
      <c r="N107" s="3595"/>
      <c r="O107" s="4672"/>
      <c r="P107" s="4672"/>
      <c r="Q107" s="4603"/>
      <c r="R107" s="4675"/>
      <c r="S107" s="4642"/>
      <c r="T107" s="4678"/>
      <c r="U107" s="4680"/>
      <c r="V107" s="4692"/>
      <c r="W107" s="2427">
        <v>4271940</v>
      </c>
      <c r="X107" s="1621">
        <v>4271940</v>
      </c>
      <c r="Y107" s="1621">
        <v>4271940</v>
      </c>
      <c r="Z107" s="2450">
        <v>107</v>
      </c>
      <c r="AA107" s="2451" t="s">
        <v>2135</v>
      </c>
      <c r="AB107" s="4687"/>
      <c r="AC107" s="4690"/>
      <c r="AD107" s="4687"/>
      <c r="AE107" s="4690"/>
      <c r="AF107" s="4687"/>
      <c r="AG107" s="4690"/>
      <c r="AH107" s="4687"/>
      <c r="AI107" s="4690"/>
      <c r="AJ107" s="4687"/>
      <c r="AK107" s="4690"/>
      <c r="AL107" s="4687"/>
      <c r="AM107" s="4690"/>
      <c r="AN107" s="4687"/>
      <c r="AO107" s="4690"/>
      <c r="AP107" s="4687"/>
      <c r="AQ107" s="4690"/>
      <c r="AR107" s="4687"/>
      <c r="AS107" s="4690"/>
      <c r="AT107" s="4687"/>
      <c r="AU107" s="4690"/>
      <c r="AV107" s="4687"/>
      <c r="AW107" s="4690"/>
      <c r="AX107" s="4687"/>
      <c r="AY107" s="4690"/>
      <c r="AZ107" s="4687"/>
      <c r="BA107" s="4690"/>
      <c r="BB107" s="4687"/>
      <c r="BC107" s="4690"/>
      <c r="BD107" s="4687"/>
      <c r="BE107" s="4690"/>
      <c r="BF107" s="4687"/>
      <c r="BG107" s="4690"/>
      <c r="BH107" s="3595"/>
      <c r="BI107" s="3409"/>
      <c r="BJ107" s="3409"/>
      <c r="BK107" s="4699"/>
      <c r="BL107" s="3191"/>
      <c r="BM107" s="3191"/>
      <c r="BN107" s="4624"/>
      <c r="BO107" s="4624"/>
      <c r="BP107" s="4624"/>
      <c r="BQ107" s="4624"/>
      <c r="BR107" s="3595"/>
    </row>
    <row r="108" spans="1:70" ht="42.75" customHeight="1" x14ac:dyDescent="0.2">
      <c r="A108" s="2445"/>
      <c r="B108" s="1596"/>
      <c r="C108" s="1737"/>
      <c r="D108" s="1596"/>
      <c r="E108" s="1737"/>
      <c r="G108" s="2448"/>
      <c r="H108" s="2448"/>
      <c r="I108" s="2449"/>
      <c r="J108" s="4600"/>
      <c r="K108" s="4680"/>
      <c r="L108" s="4600"/>
      <c r="M108" s="3595"/>
      <c r="N108" s="3595"/>
      <c r="O108" s="4672"/>
      <c r="P108" s="4672"/>
      <c r="Q108" s="4603"/>
      <c r="R108" s="4675"/>
      <c r="S108" s="4642"/>
      <c r="T108" s="4678"/>
      <c r="U108" s="4680"/>
      <c r="V108" s="4692"/>
      <c r="W108" s="2427">
        <v>80200000</v>
      </c>
      <c r="X108" s="1621">
        <v>41765000</v>
      </c>
      <c r="Y108" s="1621">
        <v>2724000</v>
      </c>
      <c r="Z108" s="2452">
        <v>61</v>
      </c>
      <c r="AA108" s="2451" t="s">
        <v>1981</v>
      </c>
      <c r="AB108" s="4687"/>
      <c r="AC108" s="4690"/>
      <c r="AD108" s="4687"/>
      <c r="AE108" s="4690"/>
      <c r="AF108" s="4687"/>
      <c r="AG108" s="4690"/>
      <c r="AH108" s="4687"/>
      <c r="AI108" s="4690"/>
      <c r="AJ108" s="4687"/>
      <c r="AK108" s="4690"/>
      <c r="AL108" s="4687"/>
      <c r="AM108" s="4690"/>
      <c r="AN108" s="4687"/>
      <c r="AO108" s="4690"/>
      <c r="AP108" s="4687"/>
      <c r="AQ108" s="4690"/>
      <c r="AR108" s="4687"/>
      <c r="AS108" s="4690"/>
      <c r="AT108" s="4687"/>
      <c r="AU108" s="4690"/>
      <c r="AV108" s="4687"/>
      <c r="AW108" s="4690"/>
      <c r="AX108" s="4687"/>
      <c r="AY108" s="4690"/>
      <c r="AZ108" s="4687"/>
      <c r="BA108" s="4690"/>
      <c r="BB108" s="4687"/>
      <c r="BC108" s="4690"/>
      <c r="BD108" s="4687"/>
      <c r="BE108" s="4690"/>
      <c r="BF108" s="4687"/>
      <c r="BG108" s="4690"/>
      <c r="BH108" s="3595"/>
      <c r="BI108" s="3409"/>
      <c r="BJ108" s="3409"/>
      <c r="BK108" s="4699"/>
      <c r="BL108" s="3191"/>
      <c r="BM108" s="3191"/>
      <c r="BN108" s="4624"/>
      <c r="BO108" s="4624"/>
      <c r="BP108" s="4624"/>
      <c r="BQ108" s="4624"/>
      <c r="BR108" s="3595"/>
    </row>
    <row r="109" spans="1:70" ht="60" customHeight="1" x14ac:dyDescent="0.2">
      <c r="A109" s="2445"/>
      <c r="B109" s="1596"/>
      <c r="C109" s="1737"/>
      <c r="D109" s="1596"/>
      <c r="E109" s="1737"/>
      <c r="G109" s="2448"/>
      <c r="H109" s="2448"/>
      <c r="I109" s="2449"/>
      <c r="J109" s="4600"/>
      <c r="K109" s="4680"/>
      <c r="L109" s="4600"/>
      <c r="M109" s="3595"/>
      <c r="N109" s="3595"/>
      <c r="O109" s="4672"/>
      <c r="P109" s="4672"/>
      <c r="Q109" s="4603"/>
      <c r="R109" s="4675"/>
      <c r="S109" s="4642"/>
      <c r="T109" s="4678"/>
      <c r="U109" s="4680"/>
      <c r="V109" s="4692" t="s">
        <v>2136</v>
      </c>
      <c r="W109" s="2427">
        <v>7000000</v>
      </c>
      <c r="X109" s="1621">
        <v>7000000</v>
      </c>
      <c r="Y109" s="1621">
        <v>2724000</v>
      </c>
      <c r="Z109" s="2452">
        <v>61</v>
      </c>
      <c r="AA109" s="2451" t="s">
        <v>1981</v>
      </c>
      <c r="AB109" s="4687"/>
      <c r="AC109" s="4690"/>
      <c r="AD109" s="4687"/>
      <c r="AE109" s="4690"/>
      <c r="AF109" s="4687"/>
      <c r="AG109" s="4690"/>
      <c r="AH109" s="4687"/>
      <c r="AI109" s="4690"/>
      <c r="AJ109" s="4687"/>
      <c r="AK109" s="4690"/>
      <c r="AL109" s="4687"/>
      <c r="AM109" s="4690"/>
      <c r="AN109" s="4687"/>
      <c r="AO109" s="4690"/>
      <c r="AP109" s="4687"/>
      <c r="AQ109" s="4690"/>
      <c r="AR109" s="4687"/>
      <c r="AS109" s="4690"/>
      <c r="AT109" s="4687"/>
      <c r="AU109" s="4690"/>
      <c r="AV109" s="4687"/>
      <c r="AW109" s="4690"/>
      <c r="AX109" s="4687"/>
      <c r="AY109" s="4690"/>
      <c r="AZ109" s="4687"/>
      <c r="BA109" s="4690"/>
      <c r="BB109" s="4687"/>
      <c r="BC109" s="4690"/>
      <c r="BD109" s="4687"/>
      <c r="BE109" s="4690"/>
      <c r="BF109" s="4687"/>
      <c r="BG109" s="4690"/>
      <c r="BH109" s="3595"/>
      <c r="BI109" s="3409"/>
      <c r="BJ109" s="3409"/>
      <c r="BK109" s="4699"/>
      <c r="BL109" s="3191"/>
      <c r="BM109" s="3191"/>
      <c r="BN109" s="4624"/>
      <c r="BO109" s="4624"/>
      <c r="BP109" s="4624"/>
      <c r="BQ109" s="4624"/>
      <c r="BR109" s="3595"/>
    </row>
    <row r="110" spans="1:70" ht="90" customHeight="1" x14ac:dyDescent="0.2">
      <c r="A110" s="2445"/>
      <c r="B110" s="1596"/>
      <c r="C110" s="1737"/>
      <c r="D110" s="1596"/>
      <c r="E110" s="1737"/>
      <c r="G110" s="2448"/>
      <c r="H110" s="2448"/>
      <c r="I110" s="2449"/>
      <c r="J110" s="4600"/>
      <c r="K110" s="4680"/>
      <c r="L110" s="4600"/>
      <c r="M110" s="3595"/>
      <c r="N110" s="3595"/>
      <c r="O110" s="4672"/>
      <c r="P110" s="4672"/>
      <c r="Q110" s="4603"/>
      <c r="R110" s="4675"/>
      <c r="S110" s="4642"/>
      <c r="T110" s="4678"/>
      <c r="U110" s="4680"/>
      <c r="V110" s="4692"/>
      <c r="W110" s="2427">
        <v>4271940</v>
      </c>
      <c r="X110" s="1621">
        <v>4271940</v>
      </c>
      <c r="Y110" s="1621">
        <v>4271940</v>
      </c>
      <c r="Z110" s="2450">
        <v>107</v>
      </c>
      <c r="AA110" s="2451" t="s">
        <v>2135</v>
      </c>
      <c r="AB110" s="4687"/>
      <c r="AC110" s="4690"/>
      <c r="AD110" s="4687"/>
      <c r="AE110" s="4690"/>
      <c r="AF110" s="4687"/>
      <c r="AG110" s="4690"/>
      <c r="AH110" s="4687"/>
      <c r="AI110" s="4690"/>
      <c r="AJ110" s="4687"/>
      <c r="AK110" s="4690"/>
      <c r="AL110" s="4687"/>
      <c r="AM110" s="4690"/>
      <c r="AN110" s="4687"/>
      <c r="AO110" s="4690"/>
      <c r="AP110" s="4687"/>
      <c r="AQ110" s="4690"/>
      <c r="AR110" s="4687"/>
      <c r="AS110" s="4690"/>
      <c r="AT110" s="4687"/>
      <c r="AU110" s="4690"/>
      <c r="AV110" s="4687"/>
      <c r="AW110" s="4690"/>
      <c r="AX110" s="4687"/>
      <c r="AY110" s="4690"/>
      <c r="AZ110" s="4687"/>
      <c r="BA110" s="4690"/>
      <c r="BB110" s="4687"/>
      <c r="BC110" s="4690"/>
      <c r="BD110" s="4687"/>
      <c r="BE110" s="4690"/>
      <c r="BF110" s="4687"/>
      <c r="BG110" s="4690"/>
      <c r="BH110" s="3595"/>
      <c r="BI110" s="3409"/>
      <c r="BJ110" s="3409"/>
      <c r="BK110" s="4699"/>
      <c r="BL110" s="3191"/>
      <c r="BM110" s="3191"/>
      <c r="BN110" s="4624"/>
      <c r="BO110" s="4624"/>
      <c r="BP110" s="4624"/>
      <c r="BQ110" s="4624"/>
      <c r="BR110" s="3595"/>
    </row>
    <row r="111" spans="1:70" ht="36" customHeight="1" x14ac:dyDescent="0.2">
      <c r="A111" s="2445"/>
      <c r="B111" s="1596"/>
      <c r="C111" s="1737"/>
      <c r="D111" s="1596"/>
      <c r="E111" s="1737"/>
      <c r="G111" s="2448"/>
      <c r="H111" s="2448"/>
      <c r="I111" s="2449"/>
      <c r="J111" s="4600"/>
      <c r="K111" s="4680"/>
      <c r="L111" s="4600"/>
      <c r="M111" s="3595"/>
      <c r="N111" s="3595"/>
      <c r="O111" s="4672"/>
      <c r="P111" s="4672"/>
      <c r="Q111" s="4603"/>
      <c r="R111" s="4675"/>
      <c r="S111" s="4642"/>
      <c r="T111" s="4678"/>
      <c r="U111" s="4680"/>
      <c r="V111" s="4695" t="s">
        <v>2137</v>
      </c>
      <c r="W111" s="2427">
        <v>10000000</v>
      </c>
      <c r="X111" s="1621">
        <v>10000000</v>
      </c>
      <c r="Y111" s="1621">
        <v>2723000</v>
      </c>
      <c r="Z111" s="2452">
        <v>61</v>
      </c>
      <c r="AA111" s="2451" t="s">
        <v>1981</v>
      </c>
      <c r="AB111" s="4687"/>
      <c r="AC111" s="4690"/>
      <c r="AD111" s="4687"/>
      <c r="AE111" s="4690"/>
      <c r="AF111" s="4687"/>
      <c r="AG111" s="4690"/>
      <c r="AH111" s="4687"/>
      <c r="AI111" s="4690"/>
      <c r="AJ111" s="4687"/>
      <c r="AK111" s="4690"/>
      <c r="AL111" s="4687"/>
      <c r="AM111" s="4690"/>
      <c r="AN111" s="4687"/>
      <c r="AO111" s="4690"/>
      <c r="AP111" s="4687"/>
      <c r="AQ111" s="4690"/>
      <c r="AR111" s="4687"/>
      <c r="AS111" s="4690"/>
      <c r="AT111" s="4687"/>
      <c r="AU111" s="4690"/>
      <c r="AV111" s="4687"/>
      <c r="AW111" s="4690"/>
      <c r="AX111" s="4687"/>
      <c r="AY111" s="4690"/>
      <c r="AZ111" s="4687"/>
      <c r="BA111" s="4690"/>
      <c r="BB111" s="4687"/>
      <c r="BC111" s="4690"/>
      <c r="BD111" s="4687"/>
      <c r="BE111" s="4690"/>
      <c r="BF111" s="4687"/>
      <c r="BG111" s="4690"/>
      <c r="BH111" s="3595"/>
      <c r="BI111" s="3409"/>
      <c r="BJ111" s="3409"/>
      <c r="BK111" s="4699"/>
      <c r="BL111" s="3191"/>
      <c r="BM111" s="3191"/>
      <c r="BN111" s="4624"/>
      <c r="BO111" s="4624"/>
      <c r="BP111" s="4624"/>
      <c r="BQ111" s="4624"/>
      <c r="BR111" s="3595"/>
    </row>
    <row r="112" spans="1:70" ht="69" customHeight="1" x14ac:dyDescent="0.2">
      <c r="A112" s="2445"/>
      <c r="B112" s="1596"/>
      <c r="C112" s="1737"/>
      <c r="D112" s="1596"/>
      <c r="E112" s="1737"/>
      <c r="G112" s="2448"/>
      <c r="H112" s="2448"/>
      <c r="I112" s="2449"/>
      <c r="J112" s="4600"/>
      <c r="K112" s="4680"/>
      <c r="L112" s="4600"/>
      <c r="M112" s="3595"/>
      <c r="N112" s="3595"/>
      <c r="O112" s="4672"/>
      <c r="P112" s="4672"/>
      <c r="Q112" s="4603"/>
      <c r="R112" s="4675"/>
      <c r="S112" s="4642"/>
      <c r="T112" s="4678"/>
      <c r="U112" s="4680"/>
      <c r="V112" s="4696"/>
      <c r="W112" s="2427">
        <v>4271940</v>
      </c>
      <c r="X112" s="1621">
        <v>4271940</v>
      </c>
      <c r="Y112" s="1621">
        <v>4271940</v>
      </c>
      <c r="Z112" s="2450">
        <v>107</v>
      </c>
      <c r="AA112" s="2451" t="s">
        <v>2135</v>
      </c>
      <c r="AB112" s="4687"/>
      <c r="AC112" s="4690"/>
      <c r="AD112" s="4687"/>
      <c r="AE112" s="4690"/>
      <c r="AF112" s="4687"/>
      <c r="AG112" s="4690"/>
      <c r="AH112" s="4687"/>
      <c r="AI112" s="4690"/>
      <c r="AJ112" s="4687"/>
      <c r="AK112" s="4690"/>
      <c r="AL112" s="4687"/>
      <c r="AM112" s="4690"/>
      <c r="AN112" s="4687"/>
      <c r="AO112" s="4690"/>
      <c r="AP112" s="4687"/>
      <c r="AQ112" s="4690"/>
      <c r="AR112" s="4687"/>
      <c r="AS112" s="4690"/>
      <c r="AT112" s="4687"/>
      <c r="AU112" s="4690"/>
      <c r="AV112" s="4687"/>
      <c r="AW112" s="4690"/>
      <c r="AX112" s="4687"/>
      <c r="AY112" s="4690"/>
      <c r="AZ112" s="4687"/>
      <c r="BA112" s="4690"/>
      <c r="BB112" s="4687"/>
      <c r="BC112" s="4690"/>
      <c r="BD112" s="4687"/>
      <c r="BE112" s="4690"/>
      <c r="BF112" s="4687"/>
      <c r="BG112" s="4690"/>
      <c r="BH112" s="3595"/>
      <c r="BI112" s="3409"/>
      <c r="BJ112" s="3409"/>
      <c r="BK112" s="4699"/>
      <c r="BL112" s="3191"/>
      <c r="BM112" s="3191"/>
      <c r="BN112" s="4624"/>
      <c r="BO112" s="4624"/>
      <c r="BP112" s="4624"/>
      <c r="BQ112" s="4624"/>
      <c r="BR112" s="3595"/>
    </row>
    <row r="113" spans="1:70" ht="27.75" customHeight="1" x14ac:dyDescent="0.2">
      <c r="A113" s="2445"/>
      <c r="B113" s="1596"/>
      <c r="C113" s="1737"/>
      <c r="D113" s="1596"/>
      <c r="E113" s="1737"/>
      <c r="G113" s="2448"/>
      <c r="H113" s="2448"/>
      <c r="I113" s="2449"/>
      <c r="J113" s="4600"/>
      <c r="K113" s="4680"/>
      <c r="L113" s="4600"/>
      <c r="M113" s="3595"/>
      <c r="N113" s="3595"/>
      <c r="O113" s="4672"/>
      <c r="P113" s="4672"/>
      <c r="Q113" s="4603"/>
      <c r="R113" s="4675"/>
      <c r="S113" s="4642"/>
      <c r="T113" s="4678"/>
      <c r="U113" s="4680"/>
      <c r="V113" s="4697"/>
      <c r="W113" s="2427">
        <v>10000000</v>
      </c>
      <c r="X113" s="1621">
        <v>931086</v>
      </c>
      <c r="Y113" s="1621">
        <v>931086</v>
      </c>
      <c r="Z113" s="2452">
        <v>20</v>
      </c>
      <c r="AA113" s="2451" t="s">
        <v>71</v>
      </c>
      <c r="AB113" s="4687"/>
      <c r="AC113" s="4690"/>
      <c r="AD113" s="4687"/>
      <c r="AE113" s="4690"/>
      <c r="AF113" s="4687"/>
      <c r="AG113" s="4690"/>
      <c r="AH113" s="4687"/>
      <c r="AI113" s="4690"/>
      <c r="AJ113" s="4687"/>
      <c r="AK113" s="4690"/>
      <c r="AL113" s="4687"/>
      <c r="AM113" s="4690"/>
      <c r="AN113" s="4687"/>
      <c r="AO113" s="4690"/>
      <c r="AP113" s="4687"/>
      <c r="AQ113" s="4690"/>
      <c r="AR113" s="4687"/>
      <c r="AS113" s="4690"/>
      <c r="AT113" s="4687"/>
      <c r="AU113" s="4690"/>
      <c r="AV113" s="4687"/>
      <c r="AW113" s="4690"/>
      <c r="AX113" s="4687"/>
      <c r="AY113" s="4690"/>
      <c r="AZ113" s="4687"/>
      <c r="BA113" s="4690"/>
      <c r="BB113" s="4687"/>
      <c r="BC113" s="4690"/>
      <c r="BD113" s="4687"/>
      <c r="BE113" s="4690"/>
      <c r="BF113" s="4687"/>
      <c r="BG113" s="4690"/>
      <c r="BH113" s="3595"/>
      <c r="BI113" s="3409"/>
      <c r="BJ113" s="3409"/>
      <c r="BK113" s="4699"/>
      <c r="BL113" s="3191"/>
      <c r="BM113" s="3191"/>
      <c r="BN113" s="4624"/>
      <c r="BO113" s="4624"/>
      <c r="BP113" s="4624"/>
      <c r="BQ113" s="4624"/>
      <c r="BR113" s="3595"/>
    </row>
    <row r="114" spans="1:70" ht="75" customHeight="1" x14ac:dyDescent="0.2">
      <c r="A114" s="2445"/>
      <c r="B114" s="1596"/>
      <c r="C114" s="1737"/>
      <c r="D114" s="1596"/>
      <c r="E114" s="1737"/>
      <c r="G114" s="2448"/>
      <c r="H114" s="2448"/>
      <c r="I114" s="2449"/>
      <c r="J114" s="4600"/>
      <c r="K114" s="4680"/>
      <c r="L114" s="4600"/>
      <c r="M114" s="3595"/>
      <c r="N114" s="3595"/>
      <c r="O114" s="4672"/>
      <c r="P114" s="4672"/>
      <c r="Q114" s="4603"/>
      <c r="R114" s="4675"/>
      <c r="S114" s="4642"/>
      <c r="T114" s="4678"/>
      <c r="U114" s="4680"/>
      <c r="V114" s="4692" t="s">
        <v>2138</v>
      </c>
      <c r="W114" s="2427">
        <v>20000000</v>
      </c>
      <c r="X114" s="1621">
        <v>0</v>
      </c>
      <c r="Y114" s="1621">
        <v>0</v>
      </c>
      <c r="Z114" s="2452">
        <v>20</v>
      </c>
      <c r="AA114" s="2451" t="s">
        <v>71</v>
      </c>
      <c r="AB114" s="4687"/>
      <c r="AC114" s="4690"/>
      <c r="AD114" s="4687"/>
      <c r="AE114" s="4690"/>
      <c r="AF114" s="4687"/>
      <c r="AG114" s="4690"/>
      <c r="AH114" s="4687"/>
      <c r="AI114" s="4690"/>
      <c r="AJ114" s="4687"/>
      <c r="AK114" s="4690"/>
      <c r="AL114" s="4687"/>
      <c r="AM114" s="4690"/>
      <c r="AN114" s="4687"/>
      <c r="AO114" s="4690"/>
      <c r="AP114" s="4687"/>
      <c r="AQ114" s="4690"/>
      <c r="AR114" s="4687"/>
      <c r="AS114" s="4690"/>
      <c r="AT114" s="4687"/>
      <c r="AU114" s="4690"/>
      <c r="AV114" s="4687"/>
      <c r="AW114" s="4690"/>
      <c r="AX114" s="4687"/>
      <c r="AY114" s="4690"/>
      <c r="AZ114" s="4687"/>
      <c r="BA114" s="4690"/>
      <c r="BB114" s="4687"/>
      <c r="BC114" s="4690"/>
      <c r="BD114" s="4687"/>
      <c r="BE114" s="4690"/>
      <c r="BF114" s="4687"/>
      <c r="BG114" s="4690"/>
      <c r="BH114" s="3595"/>
      <c r="BI114" s="3409"/>
      <c r="BJ114" s="3409"/>
      <c r="BK114" s="4699"/>
      <c r="BL114" s="3191"/>
      <c r="BM114" s="3191"/>
      <c r="BN114" s="4624"/>
      <c r="BO114" s="4624"/>
      <c r="BP114" s="4624"/>
      <c r="BQ114" s="4624"/>
      <c r="BR114" s="3595"/>
    </row>
    <row r="115" spans="1:70" ht="60" customHeight="1" x14ac:dyDescent="0.2">
      <c r="A115" s="2445"/>
      <c r="B115" s="1596"/>
      <c r="C115" s="1737"/>
      <c r="D115" s="1596"/>
      <c r="E115" s="1737"/>
      <c r="G115" s="2448"/>
      <c r="H115" s="2448"/>
      <c r="I115" s="2449"/>
      <c r="J115" s="4600"/>
      <c r="K115" s="4680"/>
      <c r="L115" s="4600"/>
      <c r="M115" s="3595"/>
      <c r="N115" s="3595"/>
      <c r="O115" s="4672"/>
      <c r="P115" s="4672"/>
      <c r="Q115" s="4603"/>
      <c r="R115" s="4675"/>
      <c r="S115" s="4642"/>
      <c r="T115" s="4678"/>
      <c r="U115" s="4680"/>
      <c r="V115" s="4692"/>
      <c r="W115" s="2427">
        <v>4271940</v>
      </c>
      <c r="X115" s="1621">
        <v>4271940</v>
      </c>
      <c r="Y115" s="1621">
        <v>4271940</v>
      </c>
      <c r="Z115" s="2450">
        <v>107</v>
      </c>
      <c r="AA115" s="2451" t="s">
        <v>2135</v>
      </c>
      <c r="AB115" s="4687"/>
      <c r="AC115" s="4690"/>
      <c r="AD115" s="4687"/>
      <c r="AE115" s="4690"/>
      <c r="AF115" s="4687"/>
      <c r="AG115" s="4690"/>
      <c r="AH115" s="4687"/>
      <c r="AI115" s="4690"/>
      <c r="AJ115" s="4687"/>
      <c r="AK115" s="4690"/>
      <c r="AL115" s="4687"/>
      <c r="AM115" s="4690"/>
      <c r="AN115" s="4687"/>
      <c r="AO115" s="4690"/>
      <c r="AP115" s="4687"/>
      <c r="AQ115" s="4690"/>
      <c r="AR115" s="4687"/>
      <c r="AS115" s="4690"/>
      <c r="AT115" s="4687"/>
      <c r="AU115" s="4690"/>
      <c r="AV115" s="4687"/>
      <c r="AW115" s="4690"/>
      <c r="AX115" s="4687"/>
      <c r="AY115" s="4690"/>
      <c r="AZ115" s="4687"/>
      <c r="BA115" s="4690"/>
      <c r="BB115" s="4687"/>
      <c r="BC115" s="4690"/>
      <c r="BD115" s="4687"/>
      <c r="BE115" s="4690"/>
      <c r="BF115" s="4687"/>
      <c r="BG115" s="4690"/>
      <c r="BH115" s="3595"/>
      <c r="BI115" s="3409"/>
      <c r="BJ115" s="3409"/>
      <c r="BK115" s="4699"/>
      <c r="BL115" s="3191"/>
      <c r="BM115" s="3191"/>
      <c r="BN115" s="4624"/>
      <c r="BO115" s="4624"/>
      <c r="BP115" s="4624"/>
      <c r="BQ115" s="4624"/>
      <c r="BR115" s="3595"/>
    </row>
    <row r="116" spans="1:70" ht="39" customHeight="1" x14ac:dyDescent="0.2">
      <c r="A116" s="2445"/>
      <c r="B116" s="1596"/>
      <c r="C116" s="1737"/>
      <c r="D116" s="1596"/>
      <c r="E116" s="1737"/>
      <c r="G116" s="2448"/>
      <c r="H116" s="2448"/>
      <c r="I116" s="2449"/>
      <c r="J116" s="4600"/>
      <c r="K116" s="4680"/>
      <c r="L116" s="4600"/>
      <c r="M116" s="3595"/>
      <c r="N116" s="3595"/>
      <c r="O116" s="4672"/>
      <c r="P116" s="4672"/>
      <c r="Q116" s="4603"/>
      <c r="R116" s="4675"/>
      <c r="S116" s="4642"/>
      <c r="T116" s="4678"/>
      <c r="U116" s="4680"/>
      <c r="V116" s="4692" t="s">
        <v>2139</v>
      </c>
      <c r="W116" s="2427">
        <v>20000000</v>
      </c>
      <c r="X116" s="1621">
        <v>0</v>
      </c>
      <c r="Y116" s="1621">
        <v>0</v>
      </c>
      <c r="Z116" s="2452">
        <v>20</v>
      </c>
      <c r="AA116" s="2451" t="s">
        <v>71</v>
      </c>
      <c r="AB116" s="4687"/>
      <c r="AC116" s="4690"/>
      <c r="AD116" s="4687"/>
      <c r="AE116" s="4690"/>
      <c r="AF116" s="4687"/>
      <c r="AG116" s="4690"/>
      <c r="AH116" s="4687"/>
      <c r="AI116" s="4690"/>
      <c r="AJ116" s="4687"/>
      <c r="AK116" s="4690"/>
      <c r="AL116" s="4687"/>
      <c r="AM116" s="4690"/>
      <c r="AN116" s="4687"/>
      <c r="AO116" s="4690"/>
      <c r="AP116" s="4687"/>
      <c r="AQ116" s="4690"/>
      <c r="AR116" s="4687"/>
      <c r="AS116" s="4690"/>
      <c r="AT116" s="4687"/>
      <c r="AU116" s="4690"/>
      <c r="AV116" s="4687"/>
      <c r="AW116" s="4690"/>
      <c r="AX116" s="4687"/>
      <c r="AY116" s="4690"/>
      <c r="AZ116" s="4687"/>
      <c r="BA116" s="4690"/>
      <c r="BB116" s="4687"/>
      <c r="BC116" s="4690"/>
      <c r="BD116" s="4687"/>
      <c r="BE116" s="4690"/>
      <c r="BF116" s="4687"/>
      <c r="BG116" s="4690"/>
      <c r="BH116" s="3595"/>
      <c r="BI116" s="3409"/>
      <c r="BJ116" s="3409"/>
      <c r="BK116" s="4699"/>
      <c r="BL116" s="3191"/>
      <c r="BM116" s="3191"/>
      <c r="BN116" s="4624"/>
      <c r="BO116" s="4624"/>
      <c r="BP116" s="4624"/>
      <c r="BQ116" s="4624"/>
      <c r="BR116" s="3595"/>
    </row>
    <row r="117" spans="1:70" ht="81.75" customHeight="1" x14ac:dyDescent="0.2">
      <c r="A117" s="2445"/>
      <c r="B117" s="1596"/>
      <c r="C117" s="1737"/>
      <c r="D117" s="1596"/>
      <c r="E117" s="1737"/>
      <c r="G117" s="2448"/>
      <c r="H117" s="2448"/>
      <c r="I117" s="2449"/>
      <c r="J117" s="4600"/>
      <c r="K117" s="4680"/>
      <c r="L117" s="4600"/>
      <c r="M117" s="3595"/>
      <c r="N117" s="3595"/>
      <c r="O117" s="4672"/>
      <c r="P117" s="4672"/>
      <c r="Q117" s="4603"/>
      <c r="R117" s="4675"/>
      <c r="S117" s="4642"/>
      <c r="T117" s="4678"/>
      <c r="U117" s="4680"/>
      <c r="V117" s="4692"/>
      <c r="W117" s="2427">
        <v>4271940</v>
      </c>
      <c r="X117" s="1621">
        <v>4271940</v>
      </c>
      <c r="Y117" s="1621">
        <v>4271940</v>
      </c>
      <c r="Z117" s="2450">
        <v>107</v>
      </c>
      <c r="AA117" s="2451" t="s">
        <v>2135</v>
      </c>
      <c r="AB117" s="4687"/>
      <c r="AC117" s="4690"/>
      <c r="AD117" s="4687"/>
      <c r="AE117" s="4690"/>
      <c r="AF117" s="4687"/>
      <c r="AG117" s="4690"/>
      <c r="AH117" s="4687"/>
      <c r="AI117" s="4690"/>
      <c r="AJ117" s="4687"/>
      <c r="AK117" s="4690"/>
      <c r="AL117" s="4687"/>
      <c r="AM117" s="4690"/>
      <c r="AN117" s="4687"/>
      <c r="AO117" s="4690"/>
      <c r="AP117" s="4687"/>
      <c r="AQ117" s="4690"/>
      <c r="AR117" s="4687"/>
      <c r="AS117" s="4690"/>
      <c r="AT117" s="4687"/>
      <c r="AU117" s="4690"/>
      <c r="AV117" s="4687"/>
      <c r="AW117" s="4690"/>
      <c r="AX117" s="4687"/>
      <c r="AY117" s="4690"/>
      <c r="AZ117" s="4687"/>
      <c r="BA117" s="4690"/>
      <c r="BB117" s="4687"/>
      <c r="BC117" s="4690"/>
      <c r="BD117" s="4687"/>
      <c r="BE117" s="4690"/>
      <c r="BF117" s="4687"/>
      <c r="BG117" s="4690"/>
      <c r="BH117" s="3595"/>
      <c r="BI117" s="3409"/>
      <c r="BJ117" s="3409"/>
      <c r="BK117" s="4699"/>
      <c r="BL117" s="3191"/>
      <c r="BM117" s="3191"/>
      <c r="BN117" s="4624"/>
      <c r="BO117" s="4624"/>
      <c r="BP117" s="4624"/>
      <c r="BQ117" s="4624"/>
      <c r="BR117" s="3595"/>
    </row>
    <row r="118" spans="1:70" ht="90" customHeight="1" x14ac:dyDescent="0.2">
      <c r="A118" s="2445"/>
      <c r="B118" s="1596"/>
      <c r="C118" s="1737"/>
      <c r="D118" s="1596"/>
      <c r="E118" s="1737"/>
      <c r="G118" s="2448"/>
      <c r="H118" s="2448"/>
      <c r="I118" s="2449"/>
      <c r="J118" s="4600"/>
      <c r="K118" s="4680"/>
      <c r="L118" s="4600"/>
      <c r="M118" s="3595"/>
      <c r="N118" s="3595"/>
      <c r="O118" s="4672"/>
      <c r="P118" s="4672"/>
      <c r="Q118" s="4603"/>
      <c r="R118" s="4675"/>
      <c r="S118" s="4642"/>
      <c r="T118" s="4678"/>
      <c r="U118" s="4680"/>
      <c r="V118" s="4693" t="s">
        <v>2140</v>
      </c>
      <c r="W118" s="2427">
        <v>20000000</v>
      </c>
      <c r="X118" s="1621">
        <v>0</v>
      </c>
      <c r="Y118" s="1621">
        <v>0</v>
      </c>
      <c r="Z118" s="2452">
        <v>20</v>
      </c>
      <c r="AA118" s="2451" t="s">
        <v>71</v>
      </c>
      <c r="AB118" s="4687"/>
      <c r="AC118" s="4690"/>
      <c r="AD118" s="4687"/>
      <c r="AE118" s="4690"/>
      <c r="AF118" s="4687"/>
      <c r="AG118" s="4690"/>
      <c r="AH118" s="4687"/>
      <c r="AI118" s="4690"/>
      <c r="AJ118" s="4687"/>
      <c r="AK118" s="4690"/>
      <c r="AL118" s="4687"/>
      <c r="AM118" s="4690"/>
      <c r="AN118" s="4687"/>
      <c r="AO118" s="4690"/>
      <c r="AP118" s="4687"/>
      <c r="AQ118" s="4690"/>
      <c r="AR118" s="4687"/>
      <c r="AS118" s="4690"/>
      <c r="AT118" s="4687"/>
      <c r="AU118" s="4690"/>
      <c r="AV118" s="4687"/>
      <c r="AW118" s="4690"/>
      <c r="AX118" s="4687"/>
      <c r="AY118" s="4690"/>
      <c r="AZ118" s="4687"/>
      <c r="BA118" s="4690"/>
      <c r="BB118" s="4687"/>
      <c r="BC118" s="4690"/>
      <c r="BD118" s="4687"/>
      <c r="BE118" s="4690"/>
      <c r="BF118" s="4687"/>
      <c r="BG118" s="4690"/>
      <c r="BH118" s="3595"/>
      <c r="BI118" s="3409"/>
      <c r="BJ118" s="3409"/>
      <c r="BK118" s="4699"/>
      <c r="BL118" s="3191"/>
      <c r="BM118" s="3191"/>
      <c r="BN118" s="4624"/>
      <c r="BO118" s="4624"/>
      <c r="BP118" s="4624"/>
      <c r="BQ118" s="4624"/>
      <c r="BR118" s="3595"/>
    </row>
    <row r="119" spans="1:70" ht="54" customHeight="1" x14ac:dyDescent="0.2">
      <c r="A119" s="2445"/>
      <c r="B119" s="1596"/>
      <c r="C119" s="1737"/>
      <c r="D119" s="1596"/>
      <c r="E119" s="1737"/>
      <c r="G119" s="2448"/>
      <c r="H119" s="2448"/>
      <c r="I119" s="2449"/>
      <c r="J119" s="4601"/>
      <c r="K119" s="4681"/>
      <c r="L119" s="4601"/>
      <c r="M119" s="3596"/>
      <c r="N119" s="3596"/>
      <c r="O119" s="4672"/>
      <c r="P119" s="4672"/>
      <c r="Q119" s="4603"/>
      <c r="R119" s="4676"/>
      <c r="S119" s="4642"/>
      <c r="T119" s="4678"/>
      <c r="U119" s="4681"/>
      <c r="V119" s="4694"/>
      <c r="W119" s="2427">
        <v>4271940</v>
      </c>
      <c r="X119" s="1621">
        <v>4271940</v>
      </c>
      <c r="Y119" s="1621">
        <v>4271940</v>
      </c>
      <c r="Z119" s="2450">
        <v>107</v>
      </c>
      <c r="AA119" s="2451" t="s">
        <v>2135</v>
      </c>
      <c r="AB119" s="4687"/>
      <c r="AC119" s="4690"/>
      <c r="AD119" s="4687"/>
      <c r="AE119" s="4690"/>
      <c r="AF119" s="4687"/>
      <c r="AG119" s="4690"/>
      <c r="AH119" s="4687"/>
      <c r="AI119" s="4690"/>
      <c r="AJ119" s="4687"/>
      <c r="AK119" s="4690"/>
      <c r="AL119" s="4687"/>
      <c r="AM119" s="4690"/>
      <c r="AN119" s="4687"/>
      <c r="AO119" s="4690"/>
      <c r="AP119" s="4687"/>
      <c r="AQ119" s="4690"/>
      <c r="AR119" s="4687"/>
      <c r="AS119" s="4690"/>
      <c r="AT119" s="4687"/>
      <c r="AU119" s="4690"/>
      <c r="AV119" s="4687"/>
      <c r="AW119" s="4690"/>
      <c r="AX119" s="4687"/>
      <c r="AY119" s="4690"/>
      <c r="AZ119" s="4687"/>
      <c r="BA119" s="4690"/>
      <c r="BB119" s="4687"/>
      <c r="BC119" s="4690"/>
      <c r="BD119" s="4687"/>
      <c r="BE119" s="4690"/>
      <c r="BF119" s="4687"/>
      <c r="BG119" s="4690"/>
      <c r="BH119" s="3595"/>
      <c r="BI119" s="3409"/>
      <c r="BJ119" s="3409"/>
      <c r="BK119" s="4699"/>
      <c r="BL119" s="3191"/>
      <c r="BM119" s="3191"/>
      <c r="BN119" s="4624"/>
      <c r="BO119" s="4624"/>
      <c r="BP119" s="4624"/>
      <c r="BQ119" s="4624"/>
      <c r="BR119" s="3595"/>
    </row>
    <row r="120" spans="1:70" ht="47.25" customHeight="1" x14ac:dyDescent="0.2">
      <c r="A120" s="2445"/>
      <c r="B120" s="1596"/>
      <c r="C120" s="1737"/>
      <c r="D120" s="1596"/>
      <c r="E120" s="1737"/>
      <c r="G120" s="2453"/>
      <c r="H120" s="2453"/>
      <c r="I120" s="2454"/>
      <c r="J120" s="4599">
        <v>145</v>
      </c>
      <c r="K120" s="4677" t="s">
        <v>2141</v>
      </c>
      <c r="L120" s="4671" t="s">
        <v>1974</v>
      </c>
      <c r="M120" s="3594">
        <v>1</v>
      </c>
      <c r="N120" s="3594">
        <v>0.6</v>
      </c>
      <c r="O120" s="4672"/>
      <c r="P120" s="4672"/>
      <c r="Q120" s="4603"/>
      <c r="R120" s="4683">
        <f>+(W120+W121+W122+W123+W124+W125+W126+W127)/S106</f>
        <v>0.2112531176070456</v>
      </c>
      <c r="S120" s="4642"/>
      <c r="T120" s="4678"/>
      <c r="U120" s="4602" t="s">
        <v>2142</v>
      </c>
      <c r="V120" s="4693" t="s">
        <v>2143</v>
      </c>
      <c r="W120" s="2427">
        <v>33000000</v>
      </c>
      <c r="X120" s="1621">
        <v>19937000</v>
      </c>
      <c r="Y120" s="1621">
        <v>3231000</v>
      </c>
      <c r="Z120" s="2455">
        <v>61</v>
      </c>
      <c r="AA120" s="2456" t="s">
        <v>1981</v>
      </c>
      <c r="AB120" s="4687"/>
      <c r="AC120" s="4690"/>
      <c r="AD120" s="4687"/>
      <c r="AE120" s="4690"/>
      <c r="AF120" s="4687"/>
      <c r="AG120" s="4690"/>
      <c r="AH120" s="4687"/>
      <c r="AI120" s="4690"/>
      <c r="AJ120" s="4687"/>
      <c r="AK120" s="4690"/>
      <c r="AL120" s="4687"/>
      <c r="AM120" s="4690"/>
      <c r="AN120" s="4687"/>
      <c r="AO120" s="4690"/>
      <c r="AP120" s="4687"/>
      <c r="AQ120" s="4690"/>
      <c r="AR120" s="4687"/>
      <c r="AS120" s="4690"/>
      <c r="AT120" s="4687"/>
      <c r="AU120" s="4690"/>
      <c r="AV120" s="4687"/>
      <c r="AW120" s="4690"/>
      <c r="AX120" s="4687"/>
      <c r="AY120" s="4690"/>
      <c r="AZ120" s="4687"/>
      <c r="BA120" s="4690"/>
      <c r="BB120" s="4687"/>
      <c r="BC120" s="4690"/>
      <c r="BD120" s="4687"/>
      <c r="BE120" s="4690"/>
      <c r="BF120" s="4687"/>
      <c r="BG120" s="4690"/>
      <c r="BH120" s="3595"/>
      <c r="BI120" s="3409"/>
      <c r="BJ120" s="3409"/>
      <c r="BK120" s="4699"/>
      <c r="BL120" s="3191"/>
      <c r="BM120" s="3191"/>
      <c r="BN120" s="4624"/>
      <c r="BO120" s="4624"/>
      <c r="BP120" s="4624"/>
      <c r="BQ120" s="4624"/>
      <c r="BR120" s="3595"/>
    </row>
    <row r="121" spans="1:70" ht="58.5" customHeight="1" x14ac:dyDescent="0.2">
      <c r="A121" s="2445"/>
      <c r="B121" s="1596"/>
      <c r="C121" s="1737"/>
      <c r="D121" s="1596"/>
      <c r="E121" s="1737"/>
      <c r="G121" s="2453"/>
      <c r="H121" s="2453"/>
      <c r="I121" s="2454"/>
      <c r="J121" s="4600"/>
      <c r="K121" s="4678"/>
      <c r="L121" s="4672"/>
      <c r="M121" s="3595"/>
      <c r="N121" s="3595"/>
      <c r="O121" s="4672"/>
      <c r="P121" s="4672"/>
      <c r="Q121" s="4603"/>
      <c r="R121" s="4684"/>
      <c r="S121" s="4642"/>
      <c r="T121" s="4678"/>
      <c r="U121" s="4603"/>
      <c r="V121" s="4694"/>
      <c r="W121" s="2427">
        <v>4271940</v>
      </c>
      <c r="X121" s="1621">
        <v>4271940</v>
      </c>
      <c r="Y121" s="1621">
        <v>4271940</v>
      </c>
      <c r="Z121" s="2450">
        <v>107</v>
      </c>
      <c r="AA121" s="2451" t="s">
        <v>2135</v>
      </c>
      <c r="AB121" s="4687"/>
      <c r="AC121" s="4690"/>
      <c r="AD121" s="4687"/>
      <c r="AE121" s="4690"/>
      <c r="AF121" s="4687"/>
      <c r="AG121" s="4690"/>
      <c r="AH121" s="4687"/>
      <c r="AI121" s="4690"/>
      <c r="AJ121" s="4687"/>
      <c r="AK121" s="4690"/>
      <c r="AL121" s="4687"/>
      <c r="AM121" s="4690"/>
      <c r="AN121" s="4687"/>
      <c r="AO121" s="4690"/>
      <c r="AP121" s="4687"/>
      <c r="AQ121" s="4690"/>
      <c r="AR121" s="4687"/>
      <c r="AS121" s="4690"/>
      <c r="AT121" s="4687"/>
      <c r="AU121" s="4690"/>
      <c r="AV121" s="4687"/>
      <c r="AW121" s="4690"/>
      <c r="AX121" s="4687"/>
      <c r="AY121" s="4690"/>
      <c r="AZ121" s="4687"/>
      <c r="BA121" s="4690"/>
      <c r="BB121" s="4687"/>
      <c r="BC121" s="4690"/>
      <c r="BD121" s="4687"/>
      <c r="BE121" s="4690"/>
      <c r="BF121" s="4687"/>
      <c r="BG121" s="4690"/>
      <c r="BH121" s="3595"/>
      <c r="BI121" s="3409"/>
      <c r="BJ121" s="3409"/>
      <c r="BK121" s="4699"/>
      <c r="BL121" s="3191"/>
      <c r="BM121" s="3191"/>
      <c r="BN121" s="4624"/>
      <c r="BO121" s="4624"/>
      <c r="BP121" s="4624"/>
      <c r="BQ121" s="4624"/>
      <c r="BR121" s="3595"/>
    </row>
    <row r="122" spans="1:70" ht="41.25" customHeight="1" x14ac:dyDescent="0.2">
      <c r="A122" s="2445"/>
      <c r="B122" s="1596"/>
      <c r="C122" s="1737"/>
      <c r="D122" s="1596"/>
      <c r="E122" s="1737"/>
      <c r="G122" s="2453"/>
      <c r="H122" s="2453"/>
      <c r="I122" s="2454"/>
      <c r="J122" s="4600"/>
      <c r="K122" s="4678"/>
      <c r="L122" s="4672"/>
      <c r="M122" s="3595"/>
      <c r="N122" s="3595"/>
      <c r="O122" s="4672"/>
      <c r="P122" s="4672"/>
      <c r="Q122" s="4603"/>
      <c r="R122" s="4684"/>
      <c r="S122" s="4642"/>
      <c r="T122" s="4678"/>
      <c r="U122" s="4603"/>
      <c r="V122" s="4693" t="s">
        <v>2144</v>
      </c>
      <c r="W122" s="2427">
        <v>33000000</v>
      </c>
      <c r="X122" s="1621">
        <v>19937000</v>
      </c>
      <c r="Y122" s="1621">
        <v>3230000</v>
      </c>
      <c r="Z122" s="2455">
        <v>61</v>
      </c>
      <c r="AA122" s="2456" t="s">
        <v>1981</v>
      </c>
      <c r="AB122" s="4687"/>
      <c r="AC122" s="4690"/>
      <c r="AD122" s="4687"/>
      <c r="AE122" s="4690"/>
      <c r="AF122" s="4687"/>
      <c r="AG122" s="4690"/>
      <c r="AH122" s="4687"/>
      <c r="AI122" s="4690"/>
      <c r="AJ122" s="4687"/>
      <c r="AK122" s="4690"/>
      <c r="AL122" s="4687"/>
      <c r="AM122" s="4690"/>
      <c r="AN122" s="4687"/>
      <c r="AO122" s="4690"/>
      <c r="AP122" s="4687"/>
      <c r="AQ122" s="4690"/>
      <c r="AR122" s="4687"/>
      <c r="AS122" s="4690"/>
      <c r="AT122" s="4687"/>
      <c r="AU122" s="4690"/>
      <c r="AV122" s="4687"/>
      <c r="AW122" s="4690"/>
      <c r="AX122" s="4687"/>
      <c r="AY122" s="4690"/>
      <c r="AZ122" s="4687"/>
      <c r="BA122" s="4690"/>
      <c r="BB122" s="4687"/>
      <c r="BC122" s="4690"/>
      <c r="BD122" s="4687"/>
      <c r="BE122" s="4690"/>
      <c r="BF122" s="4687"/>
      <c r="BG122" s="4690"/>
      <c r="BH122" s="3595"/>
      <c r="BI122" s="3409"/>
      <c r="BJ122" s="3409"/>
      <c r="BK122" s="4699"/>
      <c r="BL122" s="3191"/>
      <c r="BM122" s="3191"/>
      <c r="BN122" s="4624"/>
      <c r="BO122" s="4624"/>
      <c r="BP122" s="4624"/>
      <c r="BQ122" s="4624"/>
      <c r="BR122" s="3595"/>
    </row>
    <row r="123" spans="1:70" ht="45" x14ac:dyDescent="0.2">
      <c r="A123" s="2445"/>
      <c r="B123" s="1596"/>
      <c r="C123" s="1737"/>
      <c r="D123" s="1596"/>
      <c r="E123" s="1737"/>
      <c r="G123" s="2453"/>
      <c r="H123" s="2453"/>
      <c r="I123" s="2454"/>
      <c r="J123" s="4600"/>
      <c r="K123" s="4678"/>
      <c r="L123" s="4672"/>
      <c r="M123" s="3595"/>
      <c r="N123" s="3595"/>
      <c r="O123" s="4672"/>
      <c r="P123" s="4672"/>
      <c r="Q123" s="4603"/>
      <c r="R123" s="4684"/>
      <c r="S123" s="4642"/>
      <c r="T123" s="4678"/>
      <c r="U123" s="4603"/>
      <c r="V123" s="4694"/>
      <c r="W123" s="2427">
        <v>4271940</v>
      </c>
      <c r="X123" s="1621">
        <v>4271940</v>
      </c>
      <c r="Y123" s="1621">
        <v>4271940</v>
      </c>
      <c r="Z123" s="2450">
        <v>107</v>
      </c>
      <c r="AA123" s="2451" t="s">
        <v>2135</v>
      </c>
      <c r="AB123" s="4687"/>
      <c r="AC123" s="4690"/>
      <c r="AD123" s="4687"/>
      <c r="AE123" s="4690"/>
      <c r="AF123" s="4687"/>
      <c r="AG123" s="4690"/>
      <c r="AH123" s="4687"/>
      <c r="AI123" s="4690"/>
      <c r="AJ123" s="4687"/>
      <c r="AK123" s="4690"/>
      <c r="AL123" s="4687"/>
      <c r="AM123" s="4690"/>
      <c r="AN123" s="4687"/>
      <c r="AO123" s="4690"/>
      <c r="AP123" s="4687"/>
      <c r="AQ123" s="4690"/>
      <c r="AR123" s="4687"/>
      <c r="AS123" s="4690"/>
      <c r="AT123" s="4687"/>
      <c r="AU123" s="4690"/>
      <c r="AV123" s="4687"/>
      <c r="AW123" s="4690"/>
      <c r="AX123" s="4687"/>
      <c r="AY123" s="4690"/>
      <c r="AZ123" s="4687"/>
      <c r="BA123" s="4690"/>
      <c r="BB123" s="4687"/>
      <c r="BC123" s="4690"/>
      <c r="BD123" s="4687"/>
      <c r="BE123" s="4690"/>
      <c r="BF123" s="4687"/>
      <c r="BG123" s="4690"/>
      <c r="BH123" s="3595"/>
      <c r="BI123" s="3409"/>
      <c r="BJ123" s="3409"/>
      <c r="BK123" s="4699"/>
      <c r="BL123" s="3191"/>
      <c r="BM123" s="3191"/>
      <c r="BN123" s="4624"/>
      <c r="BO123" s="4624"/>
      <c r="BP123" s="4624"/>
      <c r="BQ123" s="4624"/>
      <c r="BR123" s="3595"/>
    </row>
    <row r="124" spans="1:70" ht="41.25" customHeight="1" x14ac:dyDescent="0.2">
      <c r="A124" s="2445"/>
      <c r="B124" s="1596"/>
      <c r="C124" s="1737"/>
      <c r="D124" s="1596"/>
      <c r="E124" s="1737"/>
      <c r="G124" s="2453"/>
      <c r="H124" s="2453"/>
      <c r="I124" s="2454"/>
      <c r="J124" s="4600"/>
      <c r="K124" s="4678"/>
      <c r="L124" s="4672"/>
      <c r="M124" s="3595"/>
      <c r="N124" s="3595"/>
      <c r="O124" s="4672"/>
      <c r="P124" s="4672"/>
      <c r="Q124" s="4603"/>
      <c r="R124" s="4684"/>
      <c r="S124" s="4642"/>
      <c r="T124" s="4678"/>
      <c r="U124" s="4603"/>
      <c r="V124" s="4693" t="s">
        <v>2145</v>
      </c>
      <c r="W124" s="2427">
        <v>600000</v>
      </c>
      <c r="X124" s="1621">
        <v>600000</v>
      </c>
      <c r="Y124" s="1621">
        <v>600000</v>
      </c>
      <c r="Z124" s="2455">
        <v>61</v>
      </c>
      <c r="AA124" s="2456" t="s">
        <v>1981</v>
      </c>
      <c r="AB124" s="4687"/>
      <c r="AC124" s="4690"/>
      <c r="AD124" s="4687"/>
      <c r="AE124" s="4690"/>
      <c r="AF124" s="4687"/>
      <c r="AG124" s="4690"/>
      <c r="AH124" s="4687"/>
      <c r="AI124" s="4690"/>
      <c r="AJ124" s="4687"/>
      <c r="AK124" s="4690"/>
      <c r="AL124" s="4687"/>
      <c r="AM124" s="4690"/>
      <c r="AN124" s="4687"/>
      <c r="AO124" s="4690"/>
      <c r="AP124" s="4687"/>
      <c r="AQ124" s="4690"/>
      <c r="AR124" s="4687"/>
      <c r="AS124" s="4690"/>
      <c r="AT124" s="4687"/>
      <c r="AU124" s="4690"/>
      <c r="AV124" s="4687"/>
      <c r="AW124" s="4690"/>
      <c r="AX124" s="4687"/>
      <c r="AY124" s="4690"/>
      <c r="AZ124" s="4687"/>
      <c r="BA124" s="4690"/>
      <c r="BB124" s="4687"/>
      <c r="BC124" s="4690"/>
      <c r="BD124" s="4687"/>
      <c r="BE124" s="4690"/>
      <c r="BF124" s="4687"/>
      <c r="BG124" s="4690"/>
      <c r="BH124" s="3595"/>
      <c r="BI124" s="3409"/>
      <c r="BJ124" s="3409"/>
      <c r="BK124" s="4699"/>
      <c r="BL124" s="3191"/>
      <c r="BM124" s="3191"/>
      <c r="BN124" s="4624"/>
      <c r="BO124" s="4624"/>
      <c r="BP124" s="4624"/>
      <c r="BQ124" s="4624"/>
      <c r="BR124" s="3595"/>
    </row>
    <row r="125" spans="1:70" ht="45" x14ac:dyDescent="0.2">
      <c r="A125" s="2445"/>
      <c r="B125" s="1596"/>
      <c r="C125" s="1737"/>
      <c r="D125" s="1596"/>
      <c r="E125" s="1737"/>
      <c r="G125" s="2453"/>
      <c r="H125" s="2453"/>
      <c r="I125" s="2454"/>
      <c r="J125" s="4600"/>
      <c r="K125" s="4678"/>
      <c r="L125" s="4672"/>
      <c r="M125" s="3595"/>
      <c r="N125" s="3595"/>
      <c r="O125" s="4672"/>
      <c r="P125" s="4672"/>
      <c r="Q125" s="4603"/>
      <c r="R125" s="4684"/>
      <c r="S125" s="4642"/>
      <c r="T125" s="4678"/>
      <c r="U125" s="4603"/>
      <c r="V125" s="4694"/>
      <c r="W125" s="2427">
        <v>4271940</v>
      </c>
      <c r="X125" s="1621">
        <v>4271940</v>
      </c>
      <c r="Y125" s="1621">
        <v>4271940</v>
      </c>
      <c r="Z125" s="2450">
        <v>107</v>
      </c>
      <c r="AA125" s="2451" t="s">
        <v>2135</v>
      </c>
      <c r="AB125" s="4687"/>
      <c r="AC125" s="4690"/>
      <c r="AD125" s="4687"/>
      <c r="AE125" s="4690"/>
      <c r="AF125" s="4687"/>
      <c r="AG125" s="4690"/>
      <c r="AH125" s="4687"/>
      <c r="AI125" s="4690"/>
      <c r="AJ125" s="4687"/>
      <c r="AK125" s="4690"/>
      <c r="AL125" s="4687"/>
      <c r="AM125" s="4690"/>
      <c r="AN125" s="4687"/>
      <c r="AO125" s="4690"/>
      <c r="AP125" s="4687"/>
      <c r="AQ125" s="4690"/>
      <c r="AR125" s="4687"/>
      <c r="AS125" s="4690"/>
      <c r="AT125" s="4687"/>
      <c r="AU125" s="4690"/>
      <c r="AV125" s="4687"/>
      <c r="AW125" s="4690"/>
      <c r="AX125" s="4687"/>
      <c r="AY125" s="4690"/>
      <c r="AZ125" s="4687"/>
      <c r="BA125" s="4690"/>
      <c r="BB125" s="4687"/>
      <c r="BC125" s="4690"/>
      <c r="BD125" s="4687"/>
      <c r="BE125" s="4690"/>
      <c r="BF125" s="4687"/>
      <c r="BG125" s="4690"/>
      <c r="BH125" s="3595"/>
      <c r="BI125" s="3409"/>
      <c r="BJ125" s="3409"/>
      <c r="BK125" s="4699"/>
      <c r="BL125" s="3191"/>
      <c r="BM125" s="3191"/>
      <c r="BN125" s="4624"/>
      <c r="BO125" s="4624"/>
      <c r="BP125" s="4624"/>
      <c r="BQ125" s="4624"/>
      <c r="BR125" s="3595"/>
    </row>
    <row r="126" spans="1:70" ht="60" customHeight="1" x14ac:dyDescent="0.2">
      <c r="A126" s="2445"/>
      <c r="B126" s="1596"/>
      <c r="C126" s="1737"/>
      <c r="D126" s="1596"/>
      <c r="E126" s="1737"/>
      <c r="G126" s="2453"/>
      <c r="H126" s="2453"/>
      <c r="I126" s="2454"/>
      <c r="J126" s="4600"/>
      <c r="K126" s="4678"/>
      <c r="L126" s="4672"/>
      <c r="M126" s="3595"/>
      <c r="N126" s="3595"/>
      <c r="O126" s="4672"/>
      <c r="P126" s="4672"/>
      <c r="Q126" s="4603"/>
      <c r="R126" s="4684"/>
      <c r="S126" s="4642"/>
      <c r="T126" s="4678"/>
      <c r="U126" s="4603"/>
      <c r="V126" s="4599" t="s">
        <v>2146</v>
      </c>
      <c r="W126" s="2427">
        <v>33000000</v>
      </c>
      <c r="X126" s="1621">
        <v>19936000</v>
      </c>
      <c r="Y126" s="1621">
        <v>3230000</v>
      </c>
      <c r="Z126" s="2455">
        <v>61</v>
      </c>
      <c r="AA126" s="2456" t="s">
        <v>1981</v>
      </c>
      <c r="AB126" s="4687"/>
      <c r="AC126" s="4690"/>
      <c r="AD126" s="4687"/>
      <c r="AE126" s="4690"/>
      <c r="AF126" s="4687"/>
      <c r="AG126" s="4690"/>
      <c r="AH126" s="4687"/>
      <c r="AI126" s="4690"/>
      <c r="AJ126" s="4687"/>
      <c r="AK126" s="4690"/>
      <c r="AL126" s="4687"/>
      <c r="AM126" s="4690"/>
      <c r="AN126" s="4687"/>
      <c r="AO126" s="4690"/>
      <c r="AP126" s="4687"/>
      <c r="AQ126" s="4690"/>
      <c r="AR126" s="4687"/>
      <c r="AS126" s="4690"/>
      <c r="AT126" s="4687"/>
      <c r="AU126" s="4690"/>
      <c r="AV126" s="4687"/>
      <c r="AW126" s="4690"/>
      <c r="AX126" s="4687"/>
      <c r="AY126" s="4690"/>
      <c r="AZ126" s="4687"/>
      <c r="BA126" s="4690"/>
      <c r="BB126" s="4687"/>
      <c r="BC126" s="4690"/>
      <c r="BD126" s="4687"/>
      <c r="BE126" s="4690"/>
      <c r="BF126" s="4687"/>
      <c r="BG126" s="4690"/>
      <c r="BH126" s="3595"/>
      <c r="BI126" s="3409"/>
      <c r="BJ126" s="3409"/>
      <c r="BK126" s="4699"/>
      <c r="BL126" s="3191"/>
      <c r="BM126" s="3191"/>
      <c r="BN126" s="4624"/>
      <c r="BO126" s="4624"/>
      <c r="BP126" s="4624"/>
      <c r="BQ126" s="4624"/>
      <c r="BR126" s="3595"/>
    </row>
    <row r="127" spans="1:70" ht="45" x14ac:dyDescent="0.2">
      <c r="A127" s="2445"/>
      <c r="B127" s="1596"/>
      <c r="C127" s="1737"/>
      <c r="D127" s="1596"/>
      <c r="E127" s="1737"/>
      <c r="G127" s="2453"/>
      <c r="H127" s="2453"/>
      <c r="I127" s="2454"/>
      <c r="J127" s="4601"/>
      <c r="K127" s="4682"/>
      <c r="L127" s="4673"/>
      <c r="M127" s="3596"/>
      <c r="N127" s="3596"/>
      <c r="O127" s="4673"/>
      <c r="P127" s="4673"/>
      <c r="Q127" s="2457"/>
      <c r="R127" s="4685"/>
      <c r="S127" s="4643"/>
      <c r="T127" s="2458"/>
      <c r="U127" s="4604"/>
      <c r="V127" s="4601"/>
      <c r="W127" s="2427">
        <v>4271940</v>
      </c>
      <c r="X127" s="1621">
        <v>4271940</v>
      </c>
      <c r="Y127" s="1621">
        <v>4271940</v>
      </c>
      <c r="Z127" s="2450">
        <v>107</v>
      </c>
      <c r="AA127" s="2451" t="s">
        <v>2135</v>
      </c>
      <c r="AB127" s="4688"/>
      <c r="AC127" s="4691"/>
      <c r="AD127" s="4688"/>
      <c r="AE127" s="4691"/>
      <c r="AF127" s="4688"/>
      <c r="AG127" s="4691"/>
      <c r="AH127" s="4688"/>
      <c r="AI127" s="4691"/>
      <c r="AJ127" s="4688"/>
      <c r="AK127" s="4691"/>
      <c r="AL127" s="4688"/>
      <c r="AM127" s="4691"/>
      <c r="AN127" s="4688"/>
      <c r="AO127" s="4691"/>
      <c r="AP127" s="4688"/>
      <c r="AQ127" s="4691"/>
      <c r="AR127" s="4688"/>
      <c r="AS127" s="4691"/>
      <c r="AT127" s="4688"/>
      <c r="AU127" s="4691"/>
      <c r="AV127" s="4688"/>
      <c r="AW127" s="4691"/>
      <c r="AX127" s="4688"/>
      <c r="AY127" s="4691"/>
      <c r="AZ127" s="4688"/>
      <c r="BA127" s="4691"/>
      <c r="BB127" s="4688"/>
      <c r="BC127" s="4691"/>
      <c r="BD127" s="4688"/>
      <c r="BE127" s="4691"/>
      <c r="BF127" s="4688"/>
      <c r="BG127" s="4691"/>
      <c r="BH127" s="3596"/>
      <c r="BI127" s="3410"/>
      <c r="BJ127" s="3410"/>
      <c r="BK127" s="4700"/>
      <c r="BL127" s="3192"/>
      <c r="BM127" s="3192"/>
      <c r="BN127" s="4625"/>
      <c r="BO127" s="4625"/>
      <c r="BP127" s="4625"/>
      <c r="BQ127" s="4625"/>
      <c r="BR127" s="3596"/>
    </row>
    <row r="128" spans="1:70" ht="58.5" customHeight="1" x14ac:dyDescent="0.2">
      <c r="A128" s="2445"/>
      <c r="B128" s="1596"/>
      <c r="C128" s="1737"/>
      <c r="D128" s="1596"/>
      <c r="E128" s="1737"/>
      <c r="G128" s="2453"/>
      <c r="H128" s="2453"/>
      <c r="I128" s="2454"/>
      <c r="J128" s="4705">
        <v>146</v>
      </c>
      <c r="K128" s="4677" t="s">
        <v>2147</v>
      </c>
      <c r="L128" s="4671" t="s">
        <v>1974</v>
      </c>
      <c r="M128" s="4708"/>
      <c r="N128" s="4708"/>
      <c r="O128" s="2459"/>
      <c r="P128" s="4671" t="s">
        <v>2148</v>
      </c>
      <c r="Q128" s="4602" t="s">
        <v>2149</v>
      </c>
      <c r="R128" s="4683">
        <v>1</v>
      </c>
      <c r="S128" s="4641">
        <f>SUM(W128:W150)</f>
        <v>221605362</v>
      </c>
      <c r="T128" s="4677" t="s">
        <v>2150</v>
      </c>
      <c r="U128" s="4701" t="s">
        <v>2151</v>
      </c>
      <c r="V128" s="4693" t="s">
        <v>2152</v>
      </c>
      <c r="W128" s="2460">
        <v>10000000</v>
      </c>
      <c r="X128" s="1621">
        <f>8003500</f>
        <v>8003500</v>
      </c>
      <c r="Y128" s="1621">
        <v>2798000</v>
      </c>
      <c r="Z128" s="2452">
        <v>61</v>
      </c>
      <c r="AA128" s="2456" t="s">
        <v>2153</v>
      </c>
      <c r="AB128" s="4686">
        <v>292684</v>
      </c>
      <c r="AC128" s="4689">
        <f>SUM(AB128*0.49)</f>
        <v>143415.16</v>
      </c>
      <c r="AD128" s="4686">
        <v>282326</v>
      </c>
      <c r="AE128" s="4689">
        <f>SUM(AD128*0.49)</f>
        <v>138339.74</v>
      </c>
      <c r="AF128" s="4686">
        <v>135912</v>
      </c>
      <c r="AG128" s="4689">
        <f>SUM(AF128*0.49)</f>
        <v>66596.88</v>
      </c>
      <c r="AH128" s="4686">
        <v>45122</v>
      </c>
      <c r="AI128" s="4689">
        <f>SUM(AH128*0.49)</f>
        <v>22109.78</v>
      </c>
      <c r="AJ128" s="4686">
        <v>307101</v>
      </c>
      <c r="AK128" s="4689">
        <v>150479.49</v>
      </c>
      <c r="AL128" s="4686">
        <v>86875</v>
      </c>
      <c r="AM128" s="4689">
        <v>42568.75</v>
      </c>
      <c r="AN128" s="4686">
        <v>2145</v>
      </c>
      <c r="AO128" s="4689">
        <f>SUM(AN128*0.49)</f>
        <v>1051.05</v>
      </c>
      <c r="AP128" s="4686">
        <v>12718</v>
      </c>
      <c r="AQ128" s="4689">
        <f>SUM(AP128*0.49)</f>
        <v>6231.82</v>
      </c>
      <c r="AR128" s="4686">
        <v>26</v>
      </c>
      <c r="AS128" s="4689">
        <f>SUM(AR128*0.49)</f>
        <v>12.74</v>
      </c>
      <c r="AT128" s="4686">
        <v>37</v>
      </c>
      <c r="AU128" s="4689">
        <f>SUM(AT128*0.49)</f>
        <v>18.13</v>
      </c>
      <c r="AV128" s="4686" t="s">
        <v>2015</v>
      </c>
      <c r="AW128" s="4689" t="s">
        <v>2015</v>
      </c>
      <c r="AX128" s="4686" t="s">
        <v>2015</v>
      </c>
      <c r="AY128" s="4689" t="s">
        <v>2015</v>
      </c>
      <c r="AZ128" s="4686">
        <v>53164</v>
      </c>
      <c r="BA128" s="4689">
        <f>SUM(AZ128*0.49)</f>
        <v>26050.36</v>
      </c>
      <c r="BB128" s="4686">
        <v>16982</v>
      </c>
      <c r="BC128" s="4689">
        <f>SUM(BB128*0.49)</f>
        <v>8321.18</v>
      </c>
      <c r="BD128" s="4686">
        <v>60013</v>
      </c>
      <c r="BE128" s="4689">
        <f>SUM(BD128*0.49)</f>
        <v>29406.37</v>
      </c>
      <c r="BF128" s="4686">
        <v>575010</v>
      </c>
      <c r="BG128" s="4689">
        <f>SUM(BF128*0.49)</f>
        <v>281754.90000000002</v>
      </c>
      <c r="BH128" s="3594">
        <v>9</v>
      </c>
      <c r="BI128" s="3408">
        <f>SUM(X128:X148)</f>
        <v>100458219</v>
      </c>
      <c r="BJ128" s="3408">
        <f>SUM(Y128:Y148)</f>
        <v>7387000</v>
      </c>
      <c r="BK128" s="4698">
        <f>+BJ128/BI128</f>
        <v>7.3533057558983803E-2</v>
      </c>
      <c r="BL128" s="3594" t="s">
        <v>2154</v>
      </c>
      <c r="BM128" s="3190" t="s">
        <v>1982</v>
      </c>
      <c r="BN128" s="4623">
        <v>43466</v>
      </c>
      <c r="BO128" s="4623">
        <v>43467</v>
      </c>
      <c r="BP128" s="4623">
        <v>43830</v>
      </c>
      <c r="BQ128" s="4623">
        <v>43830</v>
      </c>
      <c r="BR128" s="3190" t="s">
        <v>1983</v>
      </c>
    </row>
    <row r="129" spans="1:70" ht="47.25" customHeight="1" x14ac:dyDescent="0.2">
      <c r="A129" s="2445"/>
      <c r="B129" s="1596"/>
      <c r="C129" s="1737"/>
      <c r="D129" s="1596"/>
      <c r="E129" s="1737"/>
      <c r="G129" s="2453"/>
      <c r="H129" s="2453"/>
      <c r="I129" s="2454"/>
      <c r="J129" s="4706"/>
      <c r="K129" s="4678"/>
      <c r="L129" s="4672"/>
      <c r="M129" s="4709"/>
      <c r="N129" s="4709"/>
      <c r="O129" s="2461"/>
      <c r="P129" s="4672"/>
      <c r="Q129" s="4603"/>
      <c r="R129" s="4684"/>
      <c r="S129" s="4642"/>
      <c r="T129" s="4678"/>
      <c r="U129" s="4702"/>
      <c r="V129" s="4704"/>
      <c r="W129" s="2460">
        <v>40000000</v>
      </c>
      <c r="X129" s="1621">
        <v>8217000</v>
      </c>
      <c r="Y129" s="1621">
        <v>1000000</v>
      </c>
      <c r="Z129" s="2452">
        <v>113</v>
      </c>
      <c r="AA129" s="2456" t="s">
        <v>2155</v>
      </c>
      <c r="AB129" s="4687"/>
      <c r="AC129" s="4690"/>
      <c r="AD129" s="4687"/>
      <c r="AE129" s="4690"/>
      <c r="AF129" s="4687"/>
      <c r="AG129" s="4690"/>
      <c r="AH129" s="4687"/>
      <c r="AI129" s="4690"/>
      <c r="AJ129" s="4687"/>
      <c r="AK129" s="4690"/>
      <c r="AL129" s="4687"/>
      <c r="AM129" s="4690"/>
      <c r="AN129" s="4687"/>
      <c r="AO129" s="4690"/>
      <c r="AP129" s="4687"/>
      <c r="AQ129" s="4690"/>
      <c r="AR129" s="4687"/>
      <c r="AS129" s="4690"/>
      <c r="AT129" s="4687"/>
      <c r="AU129" s="4690"/>
      <c r="AV129" s="4687"/>
      <c r="AW129" s="4690"/>
      <c r="AX129" s="4687"/>
      <c r="AY129" s="4690"/>
      <c r="AZ129" s="4687"/>
      <c r="BA129" s="4690"/>
      <c r="BB129" s="4687"/>
      <c r="BC129" s="4690"/>
      <c r="BD129" s="4687"/>
      <c r="BE129" s="4690"/>
      <c r="BF129" s="4687"/>
      <c r="BG129" s="4690"/>
      <c r="BH129" s="3595"/>
      <c r="BI129" s="3409"/>
      <c r="BJ129" s="3409"/>
      <c r="BK129" s="4699"/>
      <c r="BL129" s="3595"/>
      <c r="BM129" s="3191"/>
      <c r="BN129" s="4624"/>
      <c r="BO129" s="4624"/>
      <c r="BP129" s="4624"/>
      <c r="BQ129" s="4624"/>
      <c r="BR129" s="3191"/>
    </row>
    <row r="130" spans="1:70" ht="54" customHeight="1" x14ac:dyDescent="0.2">
      <c r="A130" s="2445"/>
      <c r="B130" s="1596"/>
      <c r="C130" s="1737"/>
      <c r="D130" s="1596"/>
      <c r="E130" s="1737"/>
      <c r="G130" s="2453"/>
      <c r="H130" s="2453"/>
      <c r="I130" s="2454"/>
      <c r="J130" s="4706"/>
      <c r="K130" s="4678"/>
      <c r="L130" s="4672"/>
      <c r="M130" s="4709"/>
      <c r="N130" s="4709"/>
      <c r="O130" s="2461"/>
      <c r="P130" s="4672"/>
      <c r="Q130" s="4603"/>
      <c r="R130" s="4684"/>
      <c r="S130" s="4642"/>
      <c r="T130" s="4678"/>
      <c r="U130" s="4702"/>
      <c r="V130" s="4694"/>
      <c r="W130" s="2460">
        <v>4000000</v>
      </c>
      <c r="X130" s="1621">
        <f>2178800+1000000</f>
        <v>3178800</v>
      </c>
      <c r="Y130" s="1621">
        <v>0</v>
      </c>
      <c r="Z130" s="2452">
        <v>114</v>
      </c>
      <c r="AA130" s="2456" t="s">
        <v>2156</v>
      </c>
      <c r="AB130" s="4687"/>
      <c r="AC130" s="4690"/>
      <c r="AD130" s="4687"/>
      <c r="AE130" s="4690"/>
      <c r="AF130" s="4687"/>
      <c r="AG130" s="4690"/>
      <c r="AH130" s="4687"/>
      <c r="AI130" s="4690"/>
      <c r="AJ130" s="4687"/>
      <c r="AK130" s="4690"/>
      <c r="AL130" s="4687"/>
      <c r="AM130" s="4690"/>
      <c r="AN130" s="4687"/>
      <c r="AO130" s="4690"/>
      <c r="AP130" s="4687"/>
      <c r="AQ130" s="4690"/>
      <c r="AR130" s="4687"/>
      <c r="AS130" s="4690"/>
      <c r="AT130" s="4687"/>
      <c r="AU130" s="4690"/>
      <c r="AV130" s="4687"/>
      <c r="AW130" s="4690"/>
      <c r="AX130" s="4687"/>
      <c r="AY130" s="4690"/>
      <c r="AZ130" s="4687"/>
      <c r="BA130" s="4690"/>
      <c r="BB130" s="4687"/>
      <c r="BC130" s="4690"/>
      <c r="BD130" s="4687"/>
      <c r="BE130" s="4690"/>
      <c r="BF130" s="4687"/>
      <c r="BG130" s="4690"/>
      <c r="BH130" s="3595"/>
      <c r="BI130" s="3409"/>
      <c r="BJ130" s="3409"/>
      <c r="BK130" s="4699"/>
      <c r="BL130" s="3595"/>
      <c r="BM130" s="3191"/>
      <c r="BN130" s="4624"/>
      <c r="BO130" s="4624"/>
      <c r="BP130" s="4624"/>
      <c r="BQ130" s="4624"/>
      <c r="BR130" s="3191"/>
    </row>
    <row r="131" spans="1:70" ht="42.75" customHeight="1" x14ac:dyDescent="0.2">
      <c r="A131" s="2445"/>
      <c r="B131" s="1596"/>
      <c r="C131" s="1737"/>
      <c r="D131" s="1596"/>
      <c r="E131" s="1737"/>
      <c r="G131" s="2453"/>
      <c r="H131" s="2453"/>
      <c r="I131" s="2454"/>
      <c r="J131" s="4706"/>
      <c r="K131" s="4678"/>
      <c r="L131" s="4672"/>
      <c r="M131" s="4709"/>
      <c r="N131" s="4709"/>
      <c r="O131" s="2461"/>
      <c r="P131" s="4672"/>
      <c r="Q131" s="4603"/>
      <c r="R131" s="4684"/>
      <c r="S131" s="4642"/>
      <c r="T131" s="4678"/>
      <c r="U131" s="4702"/>
      <c r="V131" s="4693" t="s">
        <v>2157</v>
      </c>
      <c r="W131" s="2460">
        <v>1750000</v>
      </c>
      <c r="X131" s="1621">
        <f>1750000</f>
        <v>1750000</v>
      </c>
      <c r="Y131" s="1621">
        <v>0</v>
      </c>
      <c r="Z131" s="2452">
        <v>61</v>
      </c>
      <c r="AA131" s="2456" t="s">
        <v>2153</v>
      </c>
      <c r="AB131" s="4687"/>
      <c r="AC131" s="4690"/>
      <c r="AD131" s="4687"/>
      <c r="AE131" s="4690"/>
      <c r="AF131" s="4687"/>
      <c r="AG131" s="4690"/>
      <c r="AH131" s="4687"/>
      <c r="AI131" s="4690"/>
      <c r="AJ131" s="4687"/>
      <c r="AK131" s="4690"/>
      <c r="AL131" s="4687"/>
      <c r="AM131" s="4690"/>
      <c r="AN131" s="4687"/>
      <c r="AO131" s="4690"/>
      <c r="AP131" s="4687"/>
      <c r="AQ131" s="4690"/>
      <c r="AR131" s="4687"/>
      <c r="AS131" s="4690"/>
      <c r="AT131" s="4687"/>
      <c r="AU131" s="4690"/>
      <c r="AV131" s="4687"/>
      <c r="AW131" s="4690"/>
      <c r="AX131" s="4687"/>
      <c r="AY131" s="4690"/>
      <c r="AZ131" s="4687"/>
      <c r="BA131" s="4690"/>
      <c r="BB131" s="4687"/>
      <c r="BC131" s="4690"/>
      <c r="BD131" s="4687"/>
      <c r="BE131" s="4690"/>
      <c r="BF131" s="4687"/>
      <c r="BG131" s="4690"/>
      <c r="BH131" s="3595"/>
      <c r="BI131" s="3409"/>
      <c r="BJ131" s="3409"/>
      <c r="BK131" s="4699"/>
      <c r="BL131" s="3595"/>
      <c r="BM131" s="3191"/>
      <c r="BN131" s="4624"/>
      <c r="BO131" s="4624"/>
      <c r="BP131" s="4624"/>
      <c r="BQ131" s="4624"/>
      <c r="BR131" s="3191"/>
    </row>
    <row r="132" spans="1:70" ht="46.5" customHeight="1" x14ac:dyDescent="0.2">
      <c r="A132" s="2445"/>
      <c r="B132" s="1596"/>
      <c r="C132" s="1737"/>
      <c r="D132" s="1596"/>
      <c r="E132" s="1737"/>
      <c r="G132" s="2453"/>
      <c r="H132" s="2453"/>
      <c r="I132" s="2454"/>
      <c r="J132" s="4706"/>
      <c r="K132" s="4678"/>
      <c r="L132" s="4672"/>
      <c r="M132" s="4709"/>
      <c r="N132" s="4709"/>
      <c r="O132" s="2461"/>
      <c r="P132" s="4672"/>
      <c r="Q132" s="4603"/>
      <c r="R132" s="4684"/>
      <c r="S132" s="4642"/>
      <c r="T132" s="4678"/>
      <c r="U132" s="4702"/>
      <c r="V132" s="4704"/>
      <c r="W132" s="2460">
        <v>3000000</v>
      </c>
      <c r="X132" s="1621">
        <f>3000000-1000000</f>
        <v>2000000</v>
      </c>
      <c r="Y132" s="1621">
        <v>250000</v>
      </c>
      <c r="Z132" s="2452">
        <v>113</v>
      </c>
      <c r="AA132" s="2456" t="s">
        <v>2155</v>
      </c>
      <c r="AB132" s="4687"/>
      <c r="AC132" s="4690"/>
      <c r="AD132" s="4687"/>
      <c r="AE132" s="4690"/>
      <c r="AF132" s="4687"/>
      <c r="AG132" s="4690"/>
      <c r="AH132" s="4687"/>
      <c r="AI132" s="4690"/>
      <c r="AJ132" s="4687"/>
      <c r="AK132" s="4690"/>
      <c r="AL132" s="4687"/>
      <c r="AM132" s="4690"/>
      <c r="AN132" s="4687"/>
      <c r="AO132" s="4690"/>
      <c r="AP132" s="4687"/>
      <c r="AQ132" s="4690"/>
      <c r="AR132" s="4687"/>
      <c r="AS132" s="4690"/>
      <c r="AT132" s="4687"/>
      <c r="AU132" s="4690"/>
      <c r="AV132" s="4687"/>
      <c r="AW132" s="4690"/>
      <c r="AX132" s="4687"/>
      <c r="AY132" s="4690"/>
      <c r="AZ132" s="4687"/>
      <c r="BA132" s="4690"/>
      <c r="BB132" s="4687"/>
      <c r="BC132" s="4690"/>
      <c r="BD132" s="4687"/>
      <c r="BE132" s="4690"/>
      <c r="BF132" s="4687"/>
      <c r="BG132" s="4690"/>
      <c r="BH132" s="3595"/>
      <c r="BI132" s="3409"/>
      <c r="BJ132" s="3409"/>
      <c r="BK132" s="4699"/>
      <c r="BL132" s="3595"/>
      <c r="BM132" s="3191"/>
      <c r="BN132" s="4624"/>
      <c r="BO132" s="4624"/>
      <c r="BP132" s="4624"/>
      <c r="BQ132" s="4624"/>
      <c r="BR132" s="3191"/>
    </row>
    <row r="133" spans="1:70" ht="56.25" customHeight="1" x14ac:dyDescent="0.2">
      <c r="A133" s="2445"/>
      <c r="B133" s="1596"/>
      <c r="C133" s="1737"/>
      <c r="D133" s="1596"/>
      <c r="E133" s="1737"/>
      <c r="G133" s="2453"/>
      <c r="H133" s="2453"/>
      <c r="I133" s="2454"/>
      <c r="J133" s="4706"/>
      <c r="K133" s="4678"/>
      <c r="L133" s="4672"/>
      <c r="M133" s="4709"/>
      <c r="N133" s="4709"/>
      <c r="O133" s="2461"/>
      <c r="P133" s="4672"/>
      <c r="Q133" s="4603"/>
      <c r="R133" s="4684"/>
      <c r="S133" s="4642"/>
      <c r="T133" s="4678"/>
      <c r="U133" s="4702"/>
      <c r="V133" s="4694"/>
      <c r="W133" s="2460">
        <v>250000</v>
      </c>
      <c r="X133" s="1621">
        <v>250000</v>
      </c>
      <c r="Y133" s="1621">
        <v>0</v>
      </c>
      <c r="Z133" s="2452">
        <v>114</v>
      </c>
      <c r="AA133" s="2456" t="s">
        <v>2156</v>
      </c>
      <c r="AB133" s="4687"/>
      <c r="AC133" s="4690"/>
      <c r="AD133" s="4687"/>
      <c r="AE133" s="4690"/>
      <c r="AF133" s="4687"/>
      <c r="AG133" s="4690"/>
      <c r="AH133" s="4687"/>
      <c r="AI133" s="4690"/>
      <c r="AJ133" s="4687"/>
      <c r="AK133" s="4690"/>
      <c r="AL133" s="4687"/>
      <c r="AM133" s="4690"/>
      <c r="AN133" s="4687"/>
      <c r="AO133" s="4690"/>
      <c r="AP133" s="4687"/>
      <c r="AQ133" s="4690"/>
      <c r="AR133" s="4687"/>
      <c r="AS133" s="4690"/>
      <c r="AT133" s="4687"/>
      <c r="AU133" s="4690"/>
      <c r="AV133" s="4687"/>
      <c r="AW133" s="4690"/>
      <c r="AX133" s="4687"/>
      <c r="AY133" s="4690"/>
      <c r="AZ133" s="4687"/>
      <c r="BA133" s="4690"/>
      <c r="BB133" s="4687"/>
      <c r="BC133" s="4690"/>
      <c r="BD133" s="4687"/>
      <c r="BE133" s="4690"/>
      <c r="BF133" s="4687"/>
      <c r="BG133" s="4690"/>
      <c r="BH133" s="3595"/>
      <c r="BI133" s="3409"/>
      <c r="BJ133" s="3409"/>
      <c r="BK133" s="4699"/>
      <c r="BL133" s="3595"/>
      <c r="BM133" s="3191"/>
      <c r="BN133" s="4624"/>
      <c r="BO133" s="4624"/>
      <c r="BP133" s="4624"/>
      <c r="BQ133" s="4624"/>
      <c r="BR133" s="3191"/>
    </row>
    <row r="134" spans="1:70" ht="60" x14ac:dyDescent="0.2">
      <c r="A134" s="2445"/>
      <c r="B134" s="1596"/>
      <c r="C134" s="1737"/>
      <c r="D134" s="1596"/>
      <c r="E134" s="1737"/>
      <c r="G134" s="2453"/>
      <c r="H134" s="2453"/>
      <c r="I134" s="2454"/>
      <c r="J134" s="4706"/>
      <c r="K134" s="4678"/>
      <c r="L134" s="4672"/>
      <c r="M134" s="4709"/>
      <c r="N134" s="4709"/>
      <c r="O134" s="2461" t="s">
        <v>2158</v>
      </c>
      <c r="P134" s="4672"/>
      <c r="Q134" s="4603"/>
      <c r="R134" s="4684"/>
      <c r="S134" s="4642"/>
      <c r="T134" s="4678"/>
      <c r="U134" s="4702"/>
      <c r="V134" s="2384" t="s">
        <v>2159</v>
      </c>
      <c r="W134" s="2460">
        <v>8000000</v>
      </c>
      <c r="X134" s="1621">
        <v>5140524</v>
      </c>
      <c r="Y134" s="1621">
        <v>0</v>
      </c>
      <c r="Z134" s="2452">
        <v>113</v>
      </c>
      <c r="AA134" s="2456" t="s">
        <v>2160</v>
      </c>
      <c r="AB134" s="4687"/>
      <c r="AC134" s="4690"/>
      <c r="AD134" s="4687"/>
      <c r="AE134" s="4690"/>
      <c r="AF134" s="4687"/>
      <c r="AG134" s="4690"/>
      <c r="AH134" s="4687"/>
      <c r="AI134" s="4690"/>
      <c r="AJ134" s="4687"/>
      <c r="AK134" s="4690"/>
      <c r="AL134" s="4687"/>
      <c r="AM134" s="4690"/>
      <c r="AN134" s="4687"/>
      <c r="AO134" s="4690"/>
      <c r="AP134" s="4687"/>
      <c r="AQ134" s="4690"/>
      <c r="AR134" s="4687"/>
      <c r="AS134" s="4690"/>
      <c r="AT134" s="4687"/>
      <c r="AU134" s="4690"/>
      <c r="AV134" s="4687"/>
      <c r="AW134" s="4690"/>
      <c r="AX134" s="4687"/>
      <c r="AY134" s="4690"/>
      <c r="AZ134" s="4687"/>
      <c r="BA134" s="4690"/>
      <c r="BB134" s="4687"/>
      <c r="BC134" s="4690"/>
      <c r="BD134" s="4687"/>
      <c r="BE134" s="4690"/>
      <c r="BF134" s="4687"/>
      <c r="BG134" s="4690"/>
      <c r="BH134" s="3595"/>
      <c r="BI134" s="3409"/>
      <c r="BJ134" s="3409"/>
      <c r="BK134" s="4699"/>
      <c r="BL134" s="3595"/>
      <c r="BM134" s="3191"/>
      <c r="BN134" s="4624"/>
      <c r="BO134" s="4624"/>
      <c r="BP134" s="4624"/>
      <c r="BQ134" s="4624"/>
      <c r="BR134" s="3191"/>
    </row>
    <row r="135" spans="1:70" ht="43.5" customHeight="1" x14ac:dyDescent="0.2">
      <c r="A135" s="2445"/>
      <c r="B135" s="1596"/>
      <c r="C135" s="1737"/>
      <c r="D135" s="1596"/>
      <c r="E135" s="1737"/>
      <c r="G135" s="2453"/>
      <c r="H135" s="2453"/>
      <c r="I135" s="2454"/>
      <c r="J135" s="4706"/>
      <c r="K135" s="4678"/>
      <c r="L135" s="4672"/>
      <c r="M135" s="4709"/>
      <c r="N135" s="4709"/>
      <c r="O135" s="2461" t="s">
        <v>2161</v>
      </c>
      <c r="P135" s="4672"/>
      <c r="Q135" s="4603"/>
      <c r="R135" s="4684"/>
      <c r="S135" s="4642"/>
      <c r="T135" s="4678"/>
      <c r="U135" s="4702"/>
      <c r="V135" s="4693" t="s">
        <v>2162</v>
      </c>
      <c r="W135" s="2460">
        <v>500000</v>
      </c>
      <c r="X135" s="1621">
        <f>500000</f>
        <v>500000</v>
      </c>
      <c r="Y135" s="1621">
        <v>0</v>
      </c>
      <c r="Z135" s="2452">
        <v>61</v>
      </c>
      <c r="AA135" s="2456" t="s">
        <v>2163</v>
      </c>
      <c r="AB135" s="4687"/>
      <c r="AC135" s="4690"/>
      <c r="AD135" s="4687"/>
      <c r="AE135" s="4690"/>
      <c r="AF135" s="4687"/>
      <c r="AG135" s="4690"/>
      <c r="AH135" s="4687"/>
      <c r="AI135" s="4690"/>
      <c r="AJ135" s="4687"/>
      <c r="AK135" s="4690"/>
      <c r="AL135" s="4687"/>
      <c r="AM135" s="4690"/>
      <c r="AN135" s="4687"/>
      <c r="AO135" s="4690"/>
      <c r="AP135" s="4687"/>
      <c r="AQ135" s="4690"/>
      <c r="AR135" s="4687"/>
      <c r="AS135" s="4690"/>
      <c r="AT135" s="4687"/>
      <c r="AU135" s="4690"/>
      <c r="AV135" s="4687"/>
      <c r="AW135" s="4690"/>
      <c r="AX135" s="4687"/>
      <c r="AY135" s="4690"/>
      <c r="AZ135" s="4687"/>
      <c r="BA135" s="4690"/>
      <c r="BB135" s="4687"/>
      <c r="BC135" s="4690"/>
      <c r="BD135" s="4687"/>
      <c r="BE135" s="4690"/>
      <c r="BF135" s="4687"/>
      <c r="BG135" s="4690"/>
      <c r="BH135" s="3595"/>
      <c r="BI135" s="3409"/>
      <c r="BJ135" s="3409"/>
      <c r="BK135" s="4699"/>
      <c r="BL135" s="3595"/>
      <c r="BM135" s="3191"/>
      <c r="BN135" s="4624"/>
      <c r="BO135" s="4624"/>
      <c r="BP135" s="4624"/>
      <c r="BQ135" s="4624"/>
      <c r="BR135" s="3191"/>
    </row>
    <row r="136" spans="1:70" ht="30" x14ac:dyDescent="0.2">
      <c r="A136" s="2445"/>
      <c r="B136" s="1596"/>
      <c r="C136" s="1737"/>
      <c r="D136" s="1596"/>
      <c r="E136" s="1737"/>
      <c r="G136" s="2453"/>
      <c r="H136" s="2453"/>
      <c r="I136" s="2454"/>
      <c r="J136" s="4706"/>
      <c r="K136" s="4678"/>
      <c r="L136" s="4672"/>
      <c r="M136" s="4709"/>
      <c r="N136" s="4709"/>
      <c r="O136" s="2461"/>
      <c r="P136" s="4672"/>
      <c r="Q136" s="4603"/>
      <c r="R136" s="4684"/>
      <c r="S136" s="4642"/>
      <c r="T136" s="4678"/>
      <c r="U136" s="4702"/>
      <c r="V136" s="4704"/>
      <c r="W136" s="2460">
        <v>1911543</v>
      </c>
      <c r="X136" s="1621">
        <v>1911543</v>
      </c>
      <c r="Y136" s="1621">
        <v>193819</v>
      </c>
      <c r="Z136" s="2452">
        <v>113</v>
      </c>
      <c r="AA136" s="2456" t="s">
        <v>2155</v>
      </c>
      <c r="AB136" s="4687"/>
      <c r="AC136" s="4690"/>
      <c r="AD136" s="4687"/>
      <c r="AE136" s="4690"/>
      <c r="AF136" s="4687"/>
      <c r="AG136" s="4690"/>
      <c r="AH136" s="4687"/>
      <c r="AI136" s="4690"/>
      <c r="AJ136" s="4687"/>
      <c r="AK136" s="4690"/>
      <c r="AL136" s="4687"/>
      <c r="AM136" s="4690"/>
      <c r="AN136" s="4687"/>
      <c r="AO136" s="4690"/>
      <c r="AP136" s="4687"/>
      <c r="AQ136" s="4690"/>
      <c r="AR136" s="4687"/>
      <c r="AS136" s="4690"/>
      <c r="AT136" s="4687"/>
      <c r="AU136" s="4690"/>
      <c r="AV136" s="4687"/>
      <c r="AW136" s="4690"/>
      <c r="AX136" s="4687"/>
      <c r="AY136" s="4690"/>
      <c r="AZ136" s="4687"/>
      <c r="BA136" s="4690"/>
      <c r="BB136" s="4687"/>
      <c r="BC136" s="4690"/>
      <c r="BD136" s="4687"/>
      <c r="BE136" s="4690"/>
      <c r="BF136" s="4687"/>
      <c r="BG136" s="4690"/>
      <c r="BH136" s="3595"/>
      <c r="BI136" s="3409"/>
      <c r="BJ136" s="3409"/>
      <c r="BK136" s="4699"/>
      <c r="BL136" s="3595"/>
      <c r="BM136" s="3191"/>
      <c r="BN136" s="4624"/>
      <c r="BO136" s="4624"/>
      <c r="BP136" s="4624"/>
      <c r="BQ136" s="4624"/>
      <c r="BR136" s="3191"/>
    </row>
    <row r="137" spans="1:70" ht="67.5" customHeight="1" x14ac:dyDescent="0.2">
      <c r="A137" s="2445"/>
      <c r="B137" s="1596"/>
      <c r="C137" s="1737"/>
      <c r="D137" s="1596"/>
      <c r="E137" s="1737"/>
      <c r="G137" s="2453"/>
      <c r="H137" s="2453"/>
      <c r="I137" s="2454"/>
      <c r="J137" s="4706"/>
      <c r="K137" s="4678"/>
      <c r="L137" s="4672"/>
      <c r="M137" s="4709"/>
      <c r="N137" s="4709"/>
      <c r="O137" s="2461"/>
      <c r="P137" s="4672"/>
      <c r="Q137" s="4603"/>
      <c r="R137" s="4684"/>
      <c r="S137" s="4642"/>
      <c r="T137" s="4678"/>
      <c r="U137" s="4703"/>
      <c r="V137" s="4694"/>
      <c r="W137" s="2460">
        <v>193819</v>
      </c>
      <c r="X137" s="1621">
        <v>193819</v>
      </c>
      <c r="Y137" s="1621">
        <v>0</v>
      </c>
      <c r="Z137" s="2452">
        <v>114</v>
      </c>
      <c r="AA137" s="2456" t="s">
        <v>2156</v>
      </c>
      <c r="AB137" s="4687"/>
      <c r="AC137" s="4690"/>
      <c r="AD137" s="4687"/>
      <c r="AE137" s="4690"/>
      <c r="AF137" s="4687"/>
      <c r="AG137" s="4690"/>
      <c r="AH137" s="4687"/>
      <c r="AI137" s="4690"/>
      <c r="AJ137" s="4687"/>
      <c r="AK137" s="4690"/>
      <c r="AL137" s="4687"/>
      <c r="AM137" s="4690"/>
      <c r="AN137" s="4687"/>
      <c r="AO137" s="4690"/>
      <c r="AP137" s="4687"/>
      <c r="AQ137" s="4690"/>
      <c r="AR137" s="4687"/>
      <c r="AS137" s="4690"/>
      <c r="AT137" s="4687"/>
      <c r="AU137" s="4690"/>
      <c r="AV137" s="4687"/>
      <c r="AW137" s="4690"/>
      <c r="AX137" s="4687"/>
      <c r="AY137" s="4690"/>
      <c r="AZ137" s="4687"/>
      <c r="BA137" s="4690"/>
      <c r="BB137" s="4687"/>
      <c r="BC137" s="4690"/>
      <c r="BD137" s="4687"/>
      <c r="BE137" s="4690"/>
      <c r="BF137" s="4687"/>
      <c r="BG137" s="4690"/>
      <c r="BH137" s="3595"/>
      <c r="BI137" s="3409"/>
      <c r="BJ137" s="3409"/>
      <c r="BK137" s="4699"/>
      <c r="BL137" s="3595"/>
      <c r="BM137" s="3191"/>
      <c r="BN137" s="4624"/>
      <c r="BO137" s="4624"/>
      <c r="BP137" s="4624"/>
      <c r="BQ137" s="4624"/>
      <c r="BR137" s="3191"/>
    </row>
    <row r="138" spans="1:70" ht="36" customHeight="1" x14ac:dyDescent="0.2">
      <c r="A138" s="2445"/>
      <c r="B138" s="1596"/>
      <c r="C138" s="1737"/>
      <c r="D138" s="1596"/>
      <c r="E138" s="1737"/>
      <c r="G138" s="2453"/>
      <c r="H138" s="2453"/>
      <c r="I138" s="2454"/>
      <c r="J138" s="4706"/>
      <c r="K138" s="4678"/>
      <c r="L138" s="4672"/>
      <c r="M138" s="4709"/>
      <c r="N138" s="4709"/>
      <c r="O138" s="2461" t="s">
        <v>2164</v>
      </c>
      <c r="P138" s="4672"/>
      <c r="Q138" s="4603"/>
      <c r="R138" s="4684"/>
      <c r="S138" s="4642"/>
      <c r="T138" s="4678"/>
      <c r="U138" s="4701" t="s">
        <v>2165</v>
      </c>
      <c r="V138" s="4693" t="s">
        <v>2166</v>
      </c>
      <c r="W138" s="2460">
        <v>1750000</v>
      </c>
      <c r="X138" s="1621">
        <f>1750000</f>
        <v>1750000</v>
      </c>
      <c r="Y138" s="1621">
        <v>0</v>
      </c>
      <c r="Z138" s="2452">
        <v>61</v>
      </c>
      <c r="AA138" s="2456" t="s">
        <v>2153</v>
      </c>
      <c r="AB138" s="4687"/>
      <c r="AC138" s="4690"/>
      <c r="AD138" s="4687"/>
      <c r="AE138" s="4690"/>
      <c r="AF138" s="4687"/>
      <c r="AG138" s="4690"/>
      <c r="AH138" s="4687"/>
      <c r="AI138" s="4690"/>
      <c r="AJ138" s="4687"/>
      <c r="AK138" s="4690"/>
      <c r="AL138" s="4687"/>
      <c r="AM138" s="4690"/>
      <c r="AN138" s="4687"/>
      <c r="AO138" s="4690"/>
      <c r="AP138" s="4687"/>
      <c r="AQ138" s="4690"/>
      <c r="AR138" s="4687"/>
      <c r="AS138" s="4690"/>
      <c r="AT138" s="4687"/>
      <c r="AU138" s="4690"/>
      <c r="AV138" s="4687"/>
      <c r="AW138" s="4690"/>
      <c r="AX138" s="4687"/>
      <c r="AY138" s="4690"/>
      <c r="AZ138" s="4687"/>
      <c r="BA138" s="4690"/>
      <c r="BB138" s="4687"/>
      <c r="BC138" s="4690"/>
      <c r="BD138" s="4687"/>
      <c r="BE138" s="4690"/>
      <c r="BF138" s="4687"/>
      <c r="BG138" s="4690"/>
      <c r="BH138" s="3595"/>
      <c r="BI138" s="3409"/>
      <c r="BJ138" s="3409"/>
      <c r="BK138" s="4699"/>
      <c r="BL138" s="3595"/>
      <c r="BM138" s="3191"/>
      <c r="BN138" s="4624"/>
      <c r="BO138" s="4624"/>
      <c r="BP138" s="4624"/>
      <c r="BQ138" s="4624"/>
      <c r="BR138" s="3191"/>
    </row>
    <row r="139" spans="1:70" ht="51" customHeight="1" x14ac:dyDescent="0.2">
      <c r="A139" s="2445"/>
      <c r="B139" s="1596"/>
      <c r="C139" s="1737"/>
      <c r="D139" s="1596"/>
      <c r="E139" s="1737"/>
      <c r="G139" s="2453"/>
      <c r="H139" s="2453"/>
      <c r="I139" s="2454"/>
      <c r="J139" s="4706"/>
      <c r="K139" s="4678"/>
      <c r="L139" s="4672"/>
      <c r="M139" s="4709"/>
      <c r="N139" s="4709"/>
      <c r="O139" s="2461"/>
      <c r="P139" s="4672"/>
      <c r="Q139" s="4603"/>
      <c r="R139" s="4684"/>
      <c r="S139" s="4642"/>
      <c r="T139" s="4678"/>
      <c r="U139" s="4702"/>
      <c r="V139" s="4704"/>
      <c r="W139" s="2460">
        <v>3000000</v>
      </c>
      <c r="X139" s="1621">
        <f>3000000-281048</f>
        <v>2718952</v>
      </c>
      <c r="Y139" s="1621">
        <v>250000</v>
      </c>
      <c r="Z139" s="2452">
        <v>113</v>
      </c>
      <c r="AA139" s="2456" t="s">
        <v>2155</v>
      </c>
      <c r="AB139" s="4687"/>
      <c r="AC139" s="4690"/>
      <c r="AD139" s="4687"/>
      <c r="AE139" s="4690"/>
      <c r="AF139" s="4687"/>
      <c r="AG139" s="4690"/>
      <c r="AH139" s="4687"/>
      <c r="AI139" s="4690"/>
      <c r="AJ139" s="4687"/>
      <c r="AK139" s="4690"/>
      <c r="AL139" s="4687"/>
      <c r="AM139" s="4690"/>
      <c r="AN139" s="4687"/>
      <c r="AO139" s="4690"/>
      <c r="AP139" s="4687"/>
      <c r="AQ139" s="4690"/>
      <c r="AR139" s="4687"/>
      <c r="AS139" s="4690"/>
      <c r="AT139" s="4687"/>
      <c r="AU139" s="4690"/>
      <c r="AV139" s="4687"/>
      <c r="AW139" s="4690"/>
      <c r="AX139" s="4687"/>
      <c r="AY139" s="4690"/>
      <c r="AZ139" s="4687"/>
      <c r="BA139" s="4690"/>
      <c r="BB139" s="4687"/>
      <c r="BC139" s="4690"/>
      <c r="BD139" s="4687"/>
      <c r="BE139" s="4690"/>
      <c r="BF139" s="4687"/>
      <c r="BG139" s="4690"/>
      <c r="BH139" s="3595"/>
      <c r="BI139" s="3409"/>
      <c r="BJ139" s="3409"/>
      <c r="BK139" s="4699"/>
      <c r="BL139" s="3595"/>
      <c r="BM139" s="3191"/>
      <c r="BN139" s="4624"/>
      <c r="BO139" s="4624"/>
      <c r="BP139" s="4624"/>
      <c r="BQ139" s="4624"/>
      <c r="BR139" s="3191"/>
    </row>
    <row r="140" spans="1:70" ht="46.5" customHeight="1" x14ac:dyDescent="0.2">
      <c r="A140" s="2445"/>
      <c r="B140" s="1596"/>
      <c r="C140" s="1737"/>
      <c r="D140" s="1596"/>
      <c r="E140" s="1737"/>
      <c r="G140" s="2453"/>
      <c r="H140" s="2453"/>
      <c r="I140" s="2454"/>
      <c r="J140" s="4706"/>
      <c r="K140" s="4678"/>
      <c r="L140" s="4672"/>
      <c r="M140" s="4709"/>
      <c r="N140" s="4709"/>
      <c r="O140" s="2461"/>
      <c r="P140" s="4672"/>
      <c r="Q140" s="4603"/>
      <c r="R140" s="4684"/>
      <c r="S140" s="4642"/>
      <c r="T140" s="4678"/>
      <c r="U140" s="4702"/>
      <c r="V140" s="4694"/>
      <c r="W140" s="2460">
        <v>250000</v>
      </c>
      <c r="X140" s="1621">
        <v>250000</v>
      </c>
      <c r="Y140" s="1621">
        <v>0</v>
      </c>
      <c r="Z140" s="2452">
        <v>114</v>
      </c>
      <c r="AA140" s="2456" t="s">
        <v>2156</v>
      </c>
      <c r="AB140" s="4687"/>
      <c r="AC140" s="4690"/>
      <c r="AD140" s="4687"/>
      <c r="AE140" s="4690"/>
      <c r="AF140" s="4687"/>
      <c r="AG140" s="4690"/>
      <c r="AH140" s="4687"/>
      <c r="AI140" s="4690"/>
      <c r="AJ140" s="4687"/>
      <c r="AK140" s="4690"/>
      <c r="AL140" s="4687"/>
      <c r="AM140" s="4690"/>
      <c r="AN140" s="4687"/>
      <c r="AO140" s="4690"/>
      <c r="AP140" s="4687"/>
      <c r="AQ140" s="4690"/>
      <c r="AR140" s="4687"/>
      <c r="AS140" s="4690"/>
      <c r="AT140" s="4687"/>
      <c r="AU140" s="4690"/>
      <c r="AV140" s="4687"/>
      <c r="AW140" s="4690"/>
      <c r="AX140" s="4687"/>
      <c r="AY140" s="4690"/>
      <c r="AZ140" s="4687"/>
      <c r="BA140" s="4690"/>
      <c r="BB140" s="4687"/>
      <c r="BC140" s="4690"/>
      <c r="BD140" s="4687"/>
      <c r="BE140" s="4690"/>
      <c r="BF140" s="4687"/>
      <c r="BG140" s="4690"/>
      <c r="BH140" s="3595"/>
      <c r="BI140" s="3409"/>
      <c r="BJ140" s="3409"/>
      <c r="BK140" s="4699"/>
      <c r="BL140" s="3595"/>
      <c r="BM140" s="3191"/>
      <c r="BN140" s="4624"/>
      <c r="BO140" s="4624"/>
      <c r="BP140" s="4624"/>
      <c r="BQ140" s="4624"/>
      <c r="BR140" s="3191"/>
    </row>
    <row r="141" spans="1:70" ht="48.75" customHeight="1" x14ac:dyDescent="0.2">
      <c r="A141" s="2445"/>
      <c r="B141" s="1596"/>
      <c r="C141" s="1737"/>
      <c r="D141" s="1596"/>
      <c r="E141" s="1737"/>
      <c r="G141" s="2453"/>
      <c r="H141" s="2453"/>
      <c r="I141" s="2454"/>
      <c r="J141" s="4706"/>
      <c r="K141" s="4678"/>
      <c r="L141" s="4672"/>
      <c r="M141" s="4709"/>
      <c r="N141" s="4709"/>
      <c r="O141" s="2461"/>
      <c r="P141" s="4672"/>
      <c r="Q141" s="4603"/>
      <c r="R141" s="4684"/>
      <c r="S141" s="4642"/>
      <c r="T141" s="4678"/>
      <c r="U141" s="4702"/>
      <c r="V141" s="4693" t="s">
        <v>2167</v>
      </c>
      <c r="W141" s="2460">
        <v>10000000</v>
      </c>
      <c r="X141" s="1621">
        <f>8003500</f>
        <v>8003500</v>
      </c>
      <c r="Y141" s="1621">
        <v>0</v>
      </c>
      <c r="Z141" s="2452">
        <v>61</v>
      </c>
      <c r="AA141" s="2456" t="s">
        <v>2153</v>
      </c>
      <c r="AB141" s="4687"/>
      <c r="AC141" s="4690"/>
      <c r="AD141" s="4687"/>
      <c r="AE141" s="4690"/>
      <c r="AF141" s="4687"/>
      <c r="AG141" s="4690"/>
      <c r="AH141" s="4687"/>
      <c r="AI141" s="4690"/>
      <c r="AJ141" s="4687"/>
      <c r="AK141" s="4690"/>
      <c r="AL141" s="4687"/>
      <c r="AM141" s="4690"/>
      <c r="AN141" s="4687"/>
      <c r="AO141" s="4690"/>
      <c r="AP141" s="4687"/>
      <c r="AQ141" s="4690"/>
      <c r="AR141" s="4687"/>
      <c r="AS141" s="4690"/>
      <c r="AT141" s="4687"/>
      <c r="AU141" s="4690"/>
      <c r="AV141" s="4687"/>
      <c r="AW141" s="4690"/>
      <c r="AX141" s="4687"/>
      <c r="AY141" s="4690"/>
      <c r="AZ141" s="4687"/>
      <c r="BA141" s="4690"/>
      <c r="BB141" s="4687"/>
      <c r="BC141" s="4690"/>
      <c r="BD141" s="4687"/>
      <c r="BE141" s="4690"/>
      <c r="BF141" s="4687"/>
      <c r="BG141" s="4690"/>
      <c r="BH141" s="3595"/>
      <c r="BI141" s="3409"/>
      <c r="BJ141" s="3409"/>
      <c r="BK141" s="4699"/>
      <c r="BL141" s="3595"/>
      <c r="BM141" s="3191"/>
      <c r="BN141" s="4624"/>
      <c r="BO141" s="4624"/>
      <c r="BP141" s="4624"/>
      <c r="BQ141" s="4624"/>
      <c r="BR141" s="3191"/>
    </row>
    <row r="142" spans="1:70" ht="57.75" customHeight="1" x14ac:dyDescent="0.2">
      <c r="A142" s="2445"/>
      <c r="B142" s="1596"/>
      <c r="C142" s="1737"/>
      <c r="D142" s="1596"/>
      <c r="E142" s="1737"/>
      <c r="G142" s="2453"/>
      <c r="H142" s="2453"/>
      <c r="I142" s="2454"/>
      <c r="J142" s="4706"/>
      <c r="K142" s="4678"/>
      <c r="L142" s="4672"/>
      <c r="M142" s="4709"/>
      <c r="N142" s="4709"/>
      <c r="O142" s="2461"/>
      <c r="P142" s="4672"/>
      <c r="Q142" s="4603"/>
      <c r="R142" s="4684"/>
      <c r="S142" s="4642"/>
      <c r="T142" s="4678"/>
      <c r="U142" s="4702"/>
      <c r="V142" s="4704"/>
      <c r="W142" s="2460">
        <v>40000000</v>
      </c>
      <c r="X142" s="1621">
        <f>8217000+8217000</f>
        <v>16434000</v>
      </c>
      <c r="Y142" s="1621">
        <v>1500000</v>
      </c>
      <c r="Z142" s="2452">
        <v>113</v>
      </c>
      <c r="AA142" s="2456" t="s">
        <v>2155</v>
      </c>
      <c r="AB142" s="4687"/>
      <c r="AC142" s="4690"/>
      <c r="AD142" s="4687"/>
      <c r="AE142" s="4690"/>
      <c r="AF142" s="4687"/>
      <c r="AG142" s="4690"/>
      <c r="AH142" s="4687"/>
      <c r="AI142" s="4690"/>
      <c r="AJ142" s="4687"/>
      <c r="AK142" s="4690"/>
      <c r="AL142" s="4687"/>
      <c r="AM142" s="4690"/>
      <c r="AN142" s="4687"/>
      <c r="AO142" s="4690"/>
      <c r="AP142" s="4687"/>
      <c r="AQ142" s="4690"/>
      <c r="AR142" s="4687"/>
      <c r="AS142" s="4690"/>
      <c r="AT142" s="4687"/>
      <c r="AU142" s="4690"/>
      <c r="AV142" s="4687"/>
      <c r="AW142" s="4690"/>
      <c r="AX142" s="4687"/>
      <c r="AY142" s="4690"/>
      <c r="AZ142" s="4687"/>
      <c r="BA142" s="4690"/>
      <c r="BB142" s="4687"/>
      <c r="BC142" s="4690"/>
      <c r="BD142" s="4687"/>
      <c r="BE142" s="4690"/>
      <c r="BF142" s="4687"/>
      <c r="BG142" s="4690"/>
      <c r="BH142" s="3595"/>
      <c r="BI142" s="3409"/>
      <c r="BJ142" s="3409"/>
      <c r="BK142" s="4699"/>
      <c r="BL142" s="3595"/>
      <c r="BM142" s="3191"/>
      <c r="BN142" s="4624"/>
      <c r="BO142" s="4624"/>
      <c r="BP142" s="4624"/>
      <c r="BQ142" s="4624"/>
      <c r="BR142" s="3191"/>
    </row>
    <row r="143" spans="1:70" ht="50.25" customHeight="1" x14ac:dyDescent="0.2">
      <c r="A143" s="2445"/>
      <c r="B143" s="1596"/>
      <c r="C143" s="1737"/>
      <c r="D143" s="1596"/>
      <c r="E143" s="1737"/>
      <c r="G143" s="2453"/>
      <c r="H143" s="2453"/>
      <c r="I143" s="2454"/>
      <c r="J143" s="4706"/>
      <c r="K143" s="4678"/>
      <c r="L143" s="4672"/>
      <c r="M143" s="4709"/>
      <c r="N143" s="4709"/>
      <c r="O143" s="2461"/>
      <c r="P143" s="4672"/>
      <c r="Q143" s="4603"/>
      <c r="R143" s="4684"/>
      <c r="S143" s="4642"/>
      <c r="T143" s="4678"/>
      <c r="U143" s="4703"/>
      <c r="V143" s="4694"/>
      <c r="W143" s="2460">
        <v>4000000</v>
      </c>
      <c r="X143" s="1621">
        <f>2178800+1000000</f>
        <v>3178800</v>
      </c>
      <c r="Y143" s="1621">
        <v>0</v>
      </c>
      <c r="Z143" s="2452">
        <v>114</v>
      </c>
      <c r="AA143" s="2456" t="s">
        <v>2156</v>
      </c>
      <c r="AB143" s="4687"/>
      <c r="AC143" s="4690"/>
      <c r="AD143" s="4687"/>
      <c r="AE143" s="4690"/>
      <c r="AF143" s="4687"/>
      <c r="AG143" s="4690"/>
      <c r="AH143" s="4687"/>
      <c r="AI143" s="4690"/>
      <c r="AJ143" s="4687"/>
      <c r="AK143" s="4690"/>
      <c r="AL143" s="4687"/>
      <c r="AM143" s="4690"/>
      <c r="AN143" s="4687"/>
      <c r="AO143" s="4690"/>
      <c r="AP143" s="4687"/>
      <c r="AQ143" s="4690"/>
      <c r="AR143" s="4687"/>
      <c r="AS143" s="4690"/>
      <c r="AT143" s="4687"/>
      <c r="AU143" s="4690"/>
      <c r="AV143" s="4687"/>
      <c r="AW143" s="4690"/>
      <c r="AX143" s="4687"/>
      <c r="AY143" s="4690"/>
      <c r="AZ143" s="4687"/>
      <c r="BA143" s="4690"/>
      <c r="BB143" s="4687"/>
      <c r="BC143" s="4690"/>
      <c r="BD143" s="4687"/>
      <c r="BE143" s="4690"/>
      <c r="BF143" s="4687"/>
      <c r="BG143" s="4690"/>
      <c r="BH143" s="3595"/>
      <c r="BI143" s="3409"/>
      <c r="BJ143" s="3409"/>
      <c r="BK143" s="4699"/>
      <c r="BL143" s="3595"/>
      <c r="BM143" s="3191"/>
      <c r="BN143" s="4624"/>
      <c r="BO143" s="4624"/>
      <c r="BP143" s="4624"/>
      <c r="BQ143" s="4624"/>
      <c r="BR143" s="3191"/>
    </row>
    <row r="144" spans="1:70" ht="61.5" customHeight="1" x14ac:dyDescent="0.2">
      <c r="A144" s="2445"/>
      <c r="B144" s="1596"/>
      <c r="C144" s="1737"/>
      <c r="D144" s="1596"/>
      <c r="E144" s="1737"/>
      <c r="G144" s="2453"/>
      <c r="H144" s="2453"/>
      <c r="I144" s="2454"/>
      <c r="J144" s="4706"/>
      <c r="K144" s="4678"/>
      <c r="L144" s="4672"/>
      <c r="M144" s="4709"/>
      <c r="N144" s="4709"/>
      <c r="O144" s="2461"/>
      <c r="P144" s="4672"/>
      <c r="Q144" s="4603"/>
      <c r="R144" s="4684"/>
      <c r="S144" s="4642"/>
      <c r="T144" s="4678"/>
      <c r="U144" s="4711" t="s">
        <v>2168</v>
      </c>
      <c r="V144" s="2384" t="s">
        <v>2169</v>
      </c>
      <c r="W144" s="2460">
        <v>18000000</v>
      </c>
      <c r="X144" s="1621">
        <f>8217000</f>
        <v>8217000</v>
      </c>
      <c r="Y144" s="1621">
        <v>1395181</v>
      </c>
      <c r="Z144" s="2452">
        <v>113</v>
      </c>
      <c r="AA144" s="2456" t="s">
        <v>2160</v>
      </c>
      <c r="AB144" s="4687"/>
      <c r="AC144" s="4690"/>
      <c r="AD144" s="4687"/>
      <c r="AE144" s="4690"/>
      <c r="AF144" s="4687"/>
      <c r="AG144" s="4690"/>
      <c r="AH144" s="4687"/>
      <c r="AI144" s="4690"/>
      <c r="AJ144" s="4687"/>
      <c r="AK144" s="4690"/>
      <c r="AL144" s="4687"/>
      <c r="AM144" s="4690"/>
      <c r="AN144" s="4687"/>
      <c r="AO144" s="4690"/>
      <c r="AP144" s="4687"/>
      <c r="AQ144" s="4690"/>
      <c r="AR144" s="4687"/>
      <c r="AS144" s="4690"/>
      <c r="AT144" s="4687"/>
      <c r="AU144" s="4690"/>
      <c r="AV144" s="4687"/>
      <c r="AW144" s="4690"/>
      <c r="AX144" s="4687"/>
      <c r="AY144" s="4690"/>
      <c r="AZ144" s="4687"/>
      <c r="BA144" s="4690"/>
      <c r="BB144" s="4687"/>
      <c r="BC144" s="4690"/>
      <c r="BD144" s="4687"/>
      <c r="BE144" s="4690"/>
      <c r="BF144" s="4687"/>
      <c r="BG144" s="4690"/>
      <c r="BH144" s="3595"/>
      <c r="BI144" s="3409"/>
      <c r="BJ144" s="3409"/>
      <c r="BK144" s="4699"/>
      <c r="BL144" s="3595"/>
      <c r="BM144" s="3191"/>
      <c r="BN144" s="4624"/>
      <c r="BO144" s="4624"/>
      <c r="BP144" s="4624"/>
      <c r="BQ144" s="4624"/>
      <c r="BR144" s="3191"/>
    </row>
    <row r="145" spans="1:70" ht="47.25" customHeight="1" x14ac:dyDescent="0.2">
      <c r="A145" s="2445"/>
      <c r="B145" s="1596"/>
      <c r="C145" s="1737"/>
      <c r="D145" s="1596"/>
      <c r="E145" s="1737"/>
      <c r="G145" s="2453"/>
      <c r="H145" s="2453"/>
      <c r="I145" s="2454"/>
      <c r="J145" s="4706"/>
      <c r="K145" s="4678"/>
      <c r="L145" s="4672"/>
      <c r="M145" s="4709"/>
      <c r="N145" s="4709"/>
      <c r="O145" s="2461"/>
      <c r="P145" s="4672"/>
      <c r="Q145" s="4603"/>
      <c r="R145" s="4684"/>
      <c r="S145" s="4642"/>
      <c r="T145" s="4678"/>
      <c r="U145" s="4712"/>
      <c r="V145" s="4693" t="s">
        <v>2170</v>
      </c>
      <c r="W145" s="2460">
        <v>9000000</v>
      </c>
      <c r="X145" s="1621">
        <f>8003500</f>
        <v>8003500</v>
      </c>
      <c r="Y145" s="1621">
        <v>0</v>
      </c>
      <c r="Z145" s="2452">
        <v>61</v>
      </c>
      <c r="AA145" s="2456" t="s">
        <v>2153</v>
      </c>
      <c r="AB145" s="4687"/>
      <c r="AC145" s="4690"/>
      <c r="AD145" s="4687"/>
      <c r="AE145" s="4690"/>
      <c r="AF145" s="4687"/>
      <c r="AG145" s="4690"/>
      <c r="AH145" s="4687"/>
      <c r="AI145" s="4690"/>
      <c r="AJ145" s="4687"/>
      <c r="AK145" s="4690"/>
      <c r="AL145" s="4687"/>
      <c r="AM145" s="4690"/>
      <c r="AN145" s="4687"/>
      <c r="AO145" s="4690"/>
      <c r="AP145" s="4687"/>
      <c r="AQ145" s="4690"/>
      <c r="AR145" s="4687"/>
      <c r="AS145" s="4690"/>
      <c r="AT145" s="4687"/>
      <c r="AU145" s="4690"/>
      <c r="AV145" s="4687"/>
      <c r="AW145" s="4690"/>
      <c r="AX145" s="4687"/>
      <c r="AY145" s="4690"/>
      <c r="AZ145" s="4687"/>
      <c r="BA145" s="4690"/>
      <c r="BB145" s="4687"/>
      <c r="BC145" s="4690"/>
      <c r="BD145" s="4687"/>
      <c r="BE145" s="4690"/>
      <c r="BF145" s="4687"/>
      <c r="BG145" s="4690"/>
      <c r="BH145" s="3595"/>
      <c r="BI145" s="3409"/>
      <c r="BJ145" s="3409"/>
      <c r="BK145" s="4699"/>
      <c r="BL145" s="3595"/>
      <c r="BM145" s="3191"/>
      <c r="BN145" s="4624"/>
      <c r="BO145" s="4624"/>
      <c r="BP145" s="4624"/>
      <c r="BQ145" s="4624"/>
      <c r="BR145" s="3191"/>
    </row>
    <row r="146" spans="1:70" ht="57.75" customHeight="1" x14ac:dyDescent="0.2">
      <c r="A146" s="2445"/>
      <c r="B146" s="1596"/>
      <c r="C146" s="1737"/>
      <c r="D146" s="1596"/>
      <c r="E146" s="1737"/>
      <c r="G146" s="2453"/>
      <c r="H146" s="2453"/>
      <c r="I146" s="2454"/>
      <c r="J146" s="4706"/>
      <c r="K146" s="4678"/>
      <c r="L146" s="4672"/>
      <c r="M146" s="4709"/>
      <c r="N146" s="4709"/>
      <c r="O146" s="2461"/>
      <c r="P146" s="4672"/>
      <c r="Q146" s="4603"/>
      <c r="R146" s="4684"/>
      <c r="S146" s="4642"/>
      <c r="T146" s="4678"/>
      <c r="U146" s="4712"/>
      <c r="V146" s="4704"/>
      <c r="W146" s="2460">
        <v>21000000</v>
      </c>
      <c r="X146" s="1621">
        <f>8217000</f>
        <v>8217000</v>
      </c>
      <c r="Y146" s="1621">
        <v>0</v>
      </c>
      <c r="Z146" s="2452">
        <v>113</v>
      </c>
      <c r="AA146" s="2456" t="s">
        <v>2155</v>
      </c>
      <c r="AB146" s="4687"/>
      <c r="AC146" s="4690"/>
      <c r="AD146" s="4687"/>
      <c r="AE146" s="4690"/>
      <c r="AF146" s="4687"/>
      <c r="AG146" s="4690"/>
      <c r="AH146" s="4687"/>
      <c r="AI146" s="4690"/>
      <c r="AJ146" s="4687"/>
      <c r="AK146" s="4690"/>
      <c r="AL146" s="4687"/>
      <c r="AM146" s="4690"/>
      <c r="AN146" s="4687"/>
      <c r="AO146" s="4690"/>
      <c r="AP146" s="4687"/>
      <c r="AQ146" s="4690"/>
      <c r="AR146" s="4687"/>
      <c r="AS146" s="4690"/>
      <c r="AT146" s="4687"/>
      <c r="AU146" s="4690"/>
      <c r="AV146" s="4687"/>
      <c r="AW146" s="4690"/>
      <c r="AX146" s="4687"/>
      <c r="AY146" s="4690"/>
      <c r="AZ146" s="4687"/>
      <c r="BA146" s="4690"/>
      <c r="BB146" s="4687"/>
      <c r="BC146" s="4690"/>
      <c r="BD146" s="4687"/>
      <c r="BE146" s="4690"/>
      <c r="BF146" s="4687"/>
      <c r="BG146" s="4690"/>
      <c r="BH146" s="3595"/>
      <c r="BI146" s="3409"/>
      <c r="BJ146" s="3409"/>
      <c r="BK146" s="4699"/>
      <c r="BL146" s="3595"/>
      <c r="BM146" s="3191"/>
      <c r="BN146" s="4624"/>
      <c r="BO146" s="4624"/>
      <c r="BP146" s="4624"/>
      <c r="BQ146" s="4624"/>
      <c r="BR146" s="3191"/>
    </row>
    <row r="147" spans="1:70" ht="41.25" customHeight="1" x14ac:dyDescent="0.2">
      <c r="A147" s="2445"/>
      <c r="B147" s="1596"/>
      <c r="C147" s="1737"/>
      <c r="D147" s="1596"/>
      <c r="E147" s="1737"/>
      <c r="G147" s="2453"/>
      <c r="H147" s="2453"/>
      <c r="I147" s="2454"/>
      <c r="J147" s="4706"/>
      <c r="K147" s="4678"/>
      <c r="L147" s="4672"/>
      <c r="M147" s="4709"/>
      <c r="N147" s="4709"/>
      <c r="O147" s="2461"/>
      <c r="P147" s="4672"/>
      <c r="Q147" s="4603"/>
      <c r="R147" s="4684"/>
      <c r="S147" s="4642"/>
      <c r="T147" s="4678"/>
      <c r="U147" s="4712"/>
      <c r="V147" s="4694"/>
      <c r="W147" s="2460">
        <v>7500000</v>
      </c>
      <c r="X147" s="1621">
        <f>2178800+2357981</f>
        <v>4536781</v>
      </c>
      <c r="Y147" s="1621">
        <v>0</v>
      </c>
      <c r="Z147" s="2452">
        <v>114</v>
      </c>
      <c r="AA147" s="2456" t="s">
        <v>2156</v>
      </c>
      <c r="AB147" s="4687"/>
      <c r="AC147" s="4690"/>
      <c r="AD147" s="4687"/>
      <c r="AE147" s="4690"/>
      <c r="AF147" s="4687"/>
      <c r="AG147" s="4690"/>
      <c r="AH147" s="4687"/>
      <c r="AI147" s="4690"/>
      <c r="AJ147" s="4687"/>
      <c r="AK147" s="4690"/>
      <c r="AL147" s="4687"/>
      <c r="AM147" s="4690"/>
      <c r="AN147" s="4687"/>
      <c r="AO147" s="4690"/>
      <c r="AP147" s="4687"/>
      <c r="AQ147" s="4690"/>
      <c r="AR147" s="4687"/>
      <c r="AS147" s="4690"/>
      <c r="AT147" s="4687"/>
      <c r="AU147" s="4690"/>
      <c r="AV147" s="4687"/>
      <c r="AW147" s="4690"/>
      <c r="AX147" s="4687"/>
      <c r="AY147" s="4690"/>
      <c r="AZ147" s="4687"/>
      <c r="BA147" s="4690"/>
      <c r="BB147" s="4687"/>
      <c r="BC147" s="4690"/>
      <c r="BD147" s="4687"/>
      <c r="BE147" s="4690"/>
      <c r="BF147" s="4687"/>
      <c r="BG147" s="4690"/>
      <c r="BH147" s="3595"/>
      <c r="BI147" s="3409"/>
      <c r="BJ147" s="3409"/>
      <c r="BK147" s="4699"/>
      <c r="BL147" s="3595"/>
      <c r="BM147" s="3191"/>
      <c r="BN147" s="4624"/>
      <c r="BO147" s="4624"/>
      <c r="BP147" s="4624"/>
      <c r="BQ147" s="4624"/>
      <c r="BR147" s="3191"/>
    </row>
    <row r="148" spans="1:70" ht="39.75" customHeight="1" x14ac:dyDescent="0.2">
      <c r="A148" s="2445"/>
      <c r="B148" s="1596"/>
      <c r="C148" s="1737"/>
      <c r="D148" s="1596"/>
      <c r="E148" s="1737"/>
      <c r="G148" s="2453"/>
      <c r="H148" s="2453"/>
      <c r="I148" s="2454"/>
      <c r="J148" s="4706"/>
      <c r="K148" s="4678"/>
      <c r="L148" s="4672"/>
      <c r="M148" s="4709"/>
      <c r="N148" s="4709"/>
      <c r="O148" s="2461"/>
      <c r="P148" s="4672"/>
      <c r="Q148" s="4603"/>
      <c r="R148" s="4684"/>
      <c r="S148" s="4642"/>
      <c r="T148" s="4678"/>
      <c r="U148" s="4712"/>
      <c r="V148" s="4693" t="s">
        <v>2171</v>
      </c>
      <c r="W148" s="992">
        <v>9000000</v>
      </c>
      <c r="X148" s="1621">
        <f>8003500</f>
        <v>8003500</v>
      </c>
      <c r="Y148" s="1621">
        <v>0</v>
      </c>
      <c r="Z148" s="2452">
        <v>61</v>
      </c>
      <c r="AA148" s="2456" t="s">
        <v>2153</v>
      </c>
      <c r="AB148" s="4687"/>
      <c r="AC148" s="4690"/>
      <c r="AD148" s="4687"/>
      <c r="AE148" s="4690"/>
      <c r="AF148" s="4687"/>
      <c r="AG148" s="4690"/>
      <c r="AH148" s="4687"/>
      <c r="AI148" s="4690"/>
      <c r="AJ148" s="4687"/>
      <c r="AK148" s="4690"/>
      <c r="AL148" s="4687"/>
      <c r="AM148" s="4690"/>
      <c r="AN148" s="4687"/>
      <c r="AO148" s="4690"/>
      <c r="AP148" s="4687"/>
      <c r="AQ148" s="4690"/>
      <c r="AR148" s="4687"/>
      <c r="AS148" s="4690"/>
      <c r="AT148" s="4687"/>
      <c r="AU148" s="4690"/>
      <c r="AV148" s="4687"/>
      <c r="AW148" s="4690"/>
      <c r="AX148" s="4687"/>
      <c r="AY148" s="4690"/>
      <c r="AZ148" s="4687"/>
      <c r="BA148" s="4690"/>
      <c r="BB148" s="4687"/>
      <c r="BC148" s="4690"/>
      <c r="BD148" s="4687"/>
      <c r="BE148" s="4690"/>
      <c r="BF148" s="4687"/>
      <c r="BG148" s="4690"/>
      <c r="BH148" s="3595"/>
      <c r="BI148" s="3409"/>
      <c r="BJ148" s="3409"/>
      <c r="BK148" s="4699"/>
      <c r="BL148" s="3595"/>
      <c r="BM148" s="3191"/>
      <c r="BN148" s="4624"/>
      <c r="BO148" s="4624"/>
      <c r="BP148" s="4624"/>
      <c r="BQ148" s="4624"/>
      <c r="BR148" s="3191"/>
    </row>
    <row r="149" spans="1:70" ht="42.75" customHeight="1" x14ac:dyDescent="0.2">
      <c r="A149" s="2445"/>
      <c r="B149" s="1596"/>
      <c r="C149" s="1737"/>
      <c r="D149" s="1596"/>
      <c r="E149" s="1737"/>
      <c r="G149" s="2453"/>
      <c r="H149" s="2453"/>
      <c r="I149" s="2454"/>
      <c r="J149" s="4706"/>
      <c r="K149" s="4678"/>
      <c r="L149" s="4672"/>
      <c r="M149" s="4709"/>
      <c r="N149" s="4709"/>
      <c r="O149" s="2461"/>
      <c r="P149" s="4672"/>
      <c r="Q149" s="4603"/>
      <c r="R149" s="4684"/>
      <c r="S149" s="4642"/>
      <c r="T149" s="4678"/>
      <c r="U149" s="4712"/>
      <c r="V149" s="4704"/>
      <c r="W149" s="992">
        <v>21000000</v>
      </c>
      <c r="X149" s="1621">
        <f>2178800+2178800+381</f>
        <v>4357981</v>
      </c>
      <c r="Y149" s="1621">
        <v>0</v>
      </c>
      <c r="Z149" s="2452">
        <v>113</v>
      </c>
      <c r="AA149" s="2456" t="s">
        <v>2155</v>
      </c>
      <c r="AB149" s="4687"/>
      <c r="AC149" s="4690"/>
      <c r="AD149" s="4687"/>
      <c r="AE149" s="4690"/>
      <c r="AF149" s="4687"/>
      <c r="AG149" s="4690"/>
      <c r="AH149" s="4687"/>
      <c r="AI149" s="4690"/>
      <c r="AJ149" s="4687"/>
      <c r="AK149" s="4690"/>
      <c r="AL149" s="4687"/>
      <c r="AM149" s="4690"/>
      <c r="AN149" s="4687"/>
      <c r="AO149" s="4690"/>
      <c r="AP149" s="4687"/>
      <c r="AQ149" s="4690"/>
      <c r="AR149" s="4687"/>
      <c r="AS149" s="4690"/>
      <c r="AT149" s="4687"/>
      <c r="AU149" s="4690"/>
      <c r="AV149" s="4687"/>
      <c r="AW149" s="4690"/>
      <c r="AX149" s="4687"/>
      <c r="AY149" s="4690"/>
      <c r="AZ149" s="4687"/>
      <c r="BA149" s="4690"/>
      <c r="BB149" s="4687"/>
      <c r="BC149" s="4690"/>
      <c r="BD149" s="4687"/>
      <c r="BE149" s="4690"/>
      <c r="BF149" s="4687"/>
      <c r="BG149" s="4690"/>
      <c r="BH149" s="3595"/>
      <c r="BI149" s="3409"/>
      <c r="BJ149" s="3409"/>
      <c r="BK149" s="4699"/>
      <c r="BL149" s="3595"/>
      <c r="BM149" s="3191"/>
      <c r="BN149" s="4624"/>
      <c r="BO149" s="4624"/>
      <c r="BP149" s="4624"/>
      <c r="BQ149" s="4624"/>
      <c r="BR149" s="3191"/>
    </row>
    <row r="150" spans="1:70" ht="46.5" customHeight="1" x14ac:dyDescent="0.2">
      <c r="A150" s="2445"/>
      <c r="B150" s="1596"/>
      <c r="C150" s="1737"/>
      <c r="D150" s="1596"/>
      <c r="E150" s="1737"/>
      <c r="G150" s="2453"/>
      <c r="H150" s="2453"/>
      <c r="I150" s="2454"/>
      <c r="J150" s="4707"/>
      <c r="K150" s="4682"/>
      <c r="L150" s="4673"/>
      <c r="M150" s="4710"/>
      <c r="N150" s="4710"/>
      <c r="O150" s="2461"/>
      <c r="P150" s="4673"/>
      <c r="Q150" s="4604"/>
      <c r="R150" s="4685"/>
      <c r="S150" s="4643"/>
      <c r="T150" s="4682"/>
      <c r="U150" s="4713"/>
      <c r="V150" s="4694"/>
      <c r="W150" s="992">
        <v>7500000</v>
      </c>
      <c r="X150" s="1621">
        <v>2178800</v>
      </c>
      <c r="Y150" s="1621">
        <v>0</v>
      </c>
      <c r="Z150" s="2452">
        <v>114</v>
      </c>
      <c r="AA150" s="2456" t="s">
        <v>2156</v>
      </c>
      <c r="AB150" s="4688"/>
      <c r="AC150" s="4691"/>
      <c r="AD150" s="4688"/>
      <c r="AE150" s="4691"/>
      <c r="AF150" s="4688"/>
      <c r="AG150" s="4691"/>
      <c r="AH150" s="4688"/>
      <c r="AI150" s="4691"/>
      <c r="AJ150" s="4688"/>
      <c r="AK150" s="4691"/>
      <c r="AL150" s="4688"/>
      <c r="AM150" s="4691"/>
      <c r="AN150" s="4688"/>
      <c r="AO150" s="4691"/>
      <c r="AP150" s="4688"/>
      <c r="AQ150" s="4691"/>
      <c r="AR150" s="4688"/>
      <c r="AS150" s="4691"/>
      <c r="AT150" s="4688"/>
      <c r="AU150" s="4691"/>
      <c r="AV150" s="4688"/>
      <c r="AW150" s="4691"/>
      <c r="AX150" s="4688"/>
      <c r="AY150" s="4691"/>
      <c r="AZ150" s="4688"/>
      <c r="BA150" s="4691"/>
      <c r="BB150" s="4688"/>
      <c r="BC150" s="4691"/>
      <c r="BD150" s="4688"/>
      <c r="BE150" s="4691"/>
      <c r="BF150" s="4688"/>
      <c r="BG150" s="4691"/>
      <c r="BH150" s="3596"/>
      <c r="BI150" s="3410"/>
      <c r="BJ150" s="3410"/>
      <c r="BK150" s="4700"/>
      <c r="BL150" s="3596"/>
      <c r="BM150" s="3192"/>
      <c r="BN150" s="4625"/>
      <c r="BO150" s="4625"/>
      <c r="BP150" s="4625"/>
      <c r="BQ150" s="4625"/>
      <c r="BR150" s="3192"/>
    </row>
    <row r="151" spans="1:70" ht="15" customHeight="1" x14ac:dyDescent="0.2">
      <c r="A151" s="2445"/>
      <c r="B151" s="1596"/>
      <c r="C151" s="1737"/>
      <c r="D151" s="1596"/>
      <c r="E151" s="1737"/>
      <c r="G151" s="2406">
        <v>41</v>
      </c>
      <c r="H151" s="2375" t="s">
        <v>2172</v>
      </c>
      <c r="I151" s="2375"/>
      <c r="J151" s="2375"/>
      <c r="K151" s="2407"/>
      <c r="L151" s="2375"/>
      <c r="M151" s="2408"/>
      <c r="N151" s="2408"/>
      <c r="O151" s="2375"/>
      <c r="P151" s="2375"/>
      <c r="Q151" s="2375"/>
      <c r="R151" s="2375"/>
      <c r="S151" s="2375"/>
      <c r="T151" s="2375"/>
      <c r="U151" s="2407"/>
      <c r="V151" s="2375"/>
      <c r="W151" s="2414"/>
      <c r="X151" s="2414"/>
      <c r="Y151" s="2414"/>
      <c r="Z151" s="2375"/>
      <c r="AA151" s="2413"/>
      <c r="AB151" s="2375"/>
      <c r="AC151" s="2375"/>
      <c r="AD151" s="2375"/>
      <c r="AE151" s="2375"/>
      <c r="AF151" s="2375"/>
      <c r="AG151" s="2375"/>
      <c r="AH151" s="2375"/>
      <c r="AI151" s="2375"/>
      <c r="AJ151" s="2375"/>
      <c r="AK151" s="2375"/>
      <c r="AL151" s="2375"/>
      <c r="AM151" s="2375"/>
      <c r="AN151" s="2375"/>
      <c r="AO151" s="2375"/>
      <c r="AP151" s="2375"/>
      <c r="AQ151" s="2375"/>
      <c r="AR151" s="2375"/>
      <c r="AS151" s="2375"/>
      <c r="AT151" s="2375"/>
      <c r="AU151" s="2375"/>
      <c r="AV151" s="2375"/>
      <c r="AW151" s="2375"/>
      <c r="AX151" s="2375"/>
      <c r="AY151" s="2375"/>
      <c r="AZ151" s="2375"/>
      <c r="BA151" s="2375"/>
      <c r="BB151" s="2375"/>
      <c r="BC151" s="2375"/>
      <c r="BD151" s="2375"/>
      <c r="BE151" s="2375"/>
      <c r="BF151" s="2375"/>
      <c r="BG151" s="2375"/>
      <c r="BH151" s="2375"/>
      <c r="BI151" s="2414"/>
      <c r="BJ151" s="2414"/>
      <c r="BK151" s="2375"/>
      <c r="BL151" s="2375"/>
      <c r="BM151" s="2375"/>
      <c r="BN151" s="2375"/>
      <c r="BO151" s="2375"/>
      <c r="BP151" s="2375"/>
      <c r="BQ151" s="2375"/>
      <c r="BR151" s="2434"/>
    </row>
    <row r="152" spans="1:70" ht="30" x14ac:dyDescent="0.2">
      <c r="A152" s="2445"/>
      <c r="B152" s="1596"/>
      <c r="C152" s="1737"/>
      <c r="D152" s="1596"/>
      <c r="E152" s="1737"/>
      <c r="F152" s="1596"/>
      <c r="G152" s="2382"/>
      <c r="H152" s="2382"/>
      <c r="I152" s="2383"/>
      <c r="J152" s="4599">
        <v>147</v>
      </c>
      <c r="K152" s="4602" t="s">
        <v>2173</v>
      </c>
      <c r="L152" s="4605" t="s">
        <v>1974</v>
      </c>
      <c r="M152" s="3289">
        <v>14</v>
      </c>
      <c r="N152" s="3289">
        <v>0</v>
      </c>
      <c r="O152" s="4605" t="s">
        <v>2174</v>
      </c>
      <c r="P152" s="4605" t="s">
        <v>2175</v>
      </c>
      <c r="Q152" s="4602" t="s">
        <v>2176</v>
      </c>
      <c r="R152" s="4683">
        <f>+(W152+W153+W154)/S152</f>
        <v>0.5</v>
      </c>
      <c r="S152" s="4641">
        <v>20000000</v>
      </c>
      <c r="T152" s="4602" t="s">
        <v>2177</v>
      </c>
      <c r="U152" s="4602" t="s">
        <v>2178</v>
      </c>
      <c r="V152" s="2384" t="s">
        <v>2179</v>
      </c>
      <c r="W152" s="993">
        <v>6000000</v>
      </c>
      <c r="X152" s="1621">
        <v>6000000</v>
      </c>
      <c r="Y152" s="1621">
        <v>0</v>
      </c>
      <c r="Z152" s="2385">
        <v>61</v>
      </c>
      <c r="AA152" s="2417" t="s">
        <v>1981</v>
      </c>
      <c r="AB152" s="4608">
        <v>292684</v>
      </c>
      <c r="AC152" s="4608">
        <v>0</v>
      </c>
      <c r="AD152" s="4608">
        <v>282326</v>
      </c>
      <c r="AE152" s="4608">
        <v>0</v>
      </c>
      <c r="AF152" s="4608">
        <v>135912</v>
      </c>
      <c r="AG152" s="4608">
        <v>0</v>
      </c>
      <c r="AH152" s="4608">
        <v>45122</v>
      </c>
      <c r="AI152" s="4608">
        <v>0</v>
      </c>
      <c r="AJ152" s="4608">
        <v>307101</v>
      </c>
      <c r="AK152" s="4608">
        <v>0</v>
      </c>
      <c r="AL152" s="4608">
        <v>86875</v>
      </c>
      <c r="AM152" s="4608">
        <v>0</v>
      </c>
      <c r="AN152" s="4608">
        <v>2145</v>
      </c>
      <c r="AO152" s="4608">
        <v>0</v>
      </c>
      <c r="AP152" s="4608">
        <v>12718</v>
      </c>
      <c r="AQ152" s="4608">
        <v>0</v>
      </c>
      <c r="AR152" s="4608">
        <v>26</v>
      </c>
      <c r="AS152" s="4608">
        <v>0</v>
      </c>
      <c r="AT152" s="4608">
        <v>37</v>
      </c>
      <c r="AU152" s="4608">
        <v>0</v>
      </c>
      <c r="AV152" s="4608" t="s">
        <v>2015</v>
      </c>
      <c r="AW152" s="4608" t="s">
        <v>2015</v>
      </c>
      <c r="AX152" s="4608" t="s">
        <v>2015</v>
      </c>
      <c r="AY152" s="4608" t="s">
        <v>2015</v>
      </c>
      <c r="AZ152" s="4608">
        <v>53164</v>
      </c>
      <c r="BA152" s="4608">
        <v>0</v>
      </c>
      <c r="BB152" s="4608">
        <v>16982</v>
      </c>
      <c r="BC152" s="4608">
        <v>0</v>
      </c>
      <c r="BD152" s="4608">
        <v>60013</v>
      </c>
      <c r="BE152" s="4608">
        <v>0</v>
      </c>
      <c r="BF152" s="4608">
        <v>575010</v>
      </c>
      <c r="BG152" s="4608">
        <v>0</v>
      </c>
      <c r="BH152" s="3594">
        <v>2</v>
      </c>
      <c r="BI152" s="3408">
        <f>SUM(X152:X158)</f>
        <v>16960000</v>
      </c>
      <c r="BJ152" s="3408">
        <f>SUM(Y152:Y158)</f>
        <v>0</v>
      </c>
      <c r="BK152" s="4698">
        <f>+BJ152/BI152</f>
        <v>0</v>
      </c>
      <c r="BL152" s="3594">
        <v>61</v>
      </c>
      <c r="BM152" s="3190" t="s">
        <v>1982</v>
      </c>
      <c r="BN152" s="4623">
        <v>43466</v>
      </c>
      <c r="BO152" s="4623">
        <v>43467</v>
      </c>
      <c r="BP152" s="4623">
        <v>43830</v>
      </c>
      <c r="BQ152" s="4623">
        <v>43830</v>
      </c>
      <c r="BR152" s="3190" t="s">
        <v>1983</v>
      </c>
    </row>
    <row r="153" spans="1:70" ht="45" x14ac:dyDescent="0.2">
      <c r="A153" s="2445"/>
      <c r="B153" s="1596"/>
      <c r="C153" s="1737"/>
      <c r="D153" s="1596"/>
      <c r="E153" s="1737"/>
      <c r="F153" s="1596"/>
      <c r="G153" s="2378"/>
      <c r="H153" s="2378"/>
      <c r="I153" s="2379"/>
      <c r="J153" s="4600"/>
      <c r="K153" s="4603"/>
      <c r="L153" s="4606"/>
      <c r="M153" s="3289"/>
      <c r="N153" s="3289"/>
      <c r="O153" s="4606"/>
      <c r="P153" s="4606"/>
      <c r="Q153" s="4603"/>
      <c r="R153" s="4684"/>
      <c r="S153" s="4642"/>
      <c r="T153" s="4603"/>
      <c r="U153" s="4603"/>
      <c r="V153" s="2384" t="s">
        <v>2180</v>
      </c>
      <c r="W153" s="993">
        <v>2000000</v>
      </c>
      <c r="X153" s="1621">
        <v>2000000</v>
      </c>
      <c r="Y153" s="1621">
        <v>0</v>
      </c>
      <c r="Z153" s="2385">
        <v>61</v>
      </c>
      <c r="AA153" s="2417" t="s">
        <v>1981</v>
      </c>
      <c r="AB153" s="4609"/>
      <c r="AC153" s="4609"/>
      <c r="AD153" s="4609"/>
      <c r="AE153" s="4609"/>
      <c r="AF153" s="4609"/>
      <c r="AG153" s="4609"/>
      <c r="AH153" s="4609"/>
      <c r="AI153" s="4609"/>
      <c r="AJ153" s="4609">
        <v>307101</v>
      </c>
      <c r="AK153" s="4609">
        <v>0</v>
      </c>
      <c r="AL153" s="4609">
        <v>86875</v>
      </c>
      <c r="AM153" s="4609">
        <v>0</v>
      </c>
      <c r="AN153" s="4609"/>
      <c r="AO153" s="4609"/>
      <c r="AP153" s="4609"/>
      <c r="AQ153" s="4609"/>
      <c r="AR153" s="4609"/>
      <c r="AS153" s="4609"/>
      <c r="AT153" s="4609"/>
      <c r="AU153" s="4609"/>
      <c r="AV153" s="4609"/>
      <c r="AW153" s="4609"/>
      <c r="AX153" s="4609"/>
      <c r="AY153" s="4609"/>
      <c r="AZ153" s="4609"/>
      <c r="BA153" s="4609"/>
      <c r="BB153" s="4609"/>
      <c r="BC153" s="4609"/>
      <c r="BD153" s="4609"/>
      <c r="BE153" s="4609"/>
      <c r="BF153" s="4609"/>
      <c r="BG153" s="4609"/>
      <c r="BH153" s="3595"/>
      <c r="BI153" s="3409"/>
      <c r="BJ153" s="3409"/>
      <c r="BK153" s="4699"/>
      <c r="BL153" s="3595"/>
      <c r="BM153" s="3191"/>
      <c r="BN153" s="4624"/>
      <c r="BO153" s="4624"/>
      <c r="BP153" s="4624"/>
      <c r="BQ153" s="4624"/>
      <c r="BR153" s="3595"/>
    </row>
    <row r="154" spans="1:70" ht="45" x14ac:dyDescent="0.2">
      <c r="A154" s="2445"/>
      <c r="B154" s="1596"/>
      <c r="C154" s="1737"/>
      <c r="D154" s="1596"/>
      <c r="E154" s="1737"/>
      <c r="F154" s="1596"/>
      <c r="G154" s="2378"/>
      <c r="H154" s="2378"/>
      <c r="I154" s="2379"/>
      <c r="J154" s="4601"/>
      <c r="K154" s="4604"/>
      <c r="L154" s="4607"/>
      <c r="M154" s="3289"/>
      <c r="N154" s="3289"/>
      <c r="O154" s="4606"/>
      <c r="P154" s="4606"/>
      <c r="Q154" s="4603"/>
      <c r="R154" s="4684"/>
      <c r="S154" s="4642"/>
      <c r="T154" s="4603"/>
      <c r="U154" s="4604"/>
      <c r="V154" s="2384" t="s">
        <v>2181</v>
      </c>
      <c r="W154" s="993">
        <v>2000000</v>
      </c>
      <c r="X154" s="1621">
        <v>2000000</v>
      </c>
      <c r="Y154" s="1621">
        <v>0</v>
      </c>
      <c r="Z154" s="2385">
        <v>61</v>
      </c>
      <c r="AA154" s="2417" t="s">
        <v>1981</v>
      </c>
      <c r="AB154" s="4609"/>
      <c r="AC154" s="4609"/>
      <c r="AD154" s="4609"/>
      <c r="AE154" s="4609"/>
      <c r="AF154" s="4609"/>
      <c r="AG154" s="4609"/>
      <c r="AH154" s="4609"/>
      <c r="AI154" s="4609"/>
      <c r="AJ154" s="4609">
        <v>307101</v>
      </c>
      <c r="AK154" s="4609">
        <v>0</v>
      </c>
      <c r="AL154" s="4609">
        <v>86875</v>
      </c>
      <c r="AM154" s="4609">
        <v>0</v>
      </c>
      <c r="AN154" s="4609"/>
      <c r="AO154" s="4609"/>
      <c r="AP154" s="4609"/>
      <c r="AQ154" s="4609"/>
      <c r="AR154" s="4609"/>
      <c r="AS154" s="4609"/>
      <c r="AT154" s="4609"/>
      <c r="AU154" s="4609"/>
      <c r="AV154" s="4609"/>
      <c r="AW154" s="4609"/>
      <c r="AX154" s="4609"/>
      <c r="AY154" s="4609"/>
      <c r="AZ154" s="4609"/>
      <c r="BA154" s="4609"/>
      <c r="BB154" s="4609"/>
      <c r="BC154" s="4609"/>
      <c r="BD154" s="4609"/>
      <c r="BE154" s="4609"/>
      <c r="BF154" s="4609"/>
      <c r="BG154" s="4609"/>
      <c r="BH154" s="3595"/>
      <c r="BI154" s="3409"/>
      <c r="BJ154" s="3409"/>
      <c r="BK154" s="4699"/>
      <c r="BL154" s="3595"/>
      <c r="BM154" s="3191"/>
      <c r="BN154" s="4624"/>
      <c r="BO154" s="4624"/>
      <c r="BP154" s="4624"/>
      <c r="BQ154" s="4624"/>
      <c r="BR154" s="3595"/>
    </row>
    <row r="155" spans="1:70" ht="45" x14ac:dyDescent="0.2">
      <c r="A155" s="2445"/>
      <c r="B155" s="1596"/>
      <c r="C155" s="1737"/>
      <c r="D155" s="1596"/>
      <c r="E155" s="1737"/>
      <c r="F155" s="1596"/>
      <c r="G155" s="2378"/>
      <c r="H155" s="2378"/>
      <c r="I155" s="2379"/>
      <c r="J155" s="4599">
        <v>148</v>
      </c>
      <c r="K155" s="4602" t="s">
        <v>2182</v>
      </c>
      <c r="L155" s="4605" t="s">
        <v>1974</v>
      </c>
      <c r="M155" s="3594">
        <v>11</v>
      </c>
      <c r="N155" s="3594">
        <v>0</v>
      </c>
      <c r="O155" s="4606"/>
      <c r="P155" s="4606"/>
      <c r="Q155" s="4603"/>
      <c r="R155" s="4683">
        <v>0.5</v>
      </c>
      <c r="S155" s="4642"/>
      <c r="T155" s="4603"/>
      <c r="U155" s="4602" t="s">
        <v>2183</v>
      </c>
      <c r="V155" s="2384" t="s">
        <v>2184</v>
      </c>
      <c r="W155" s="993">
        <v>7000000</v>
      </c>
      <c r="X155" s="1621">
        <v>3960000</v>
      </c>
      <c r="Y155" s="1621">
        <v>0</v>
      </c>
      <c r="Z155" s="2385">
        <v>61</v>
      </c>
      <c r="AA155" s="2417" t="s">
        <v>1981</v>
      </c>
      <c r="AB155" s="4609"/>
      <c r="AC155" s="4609"/>
      <c r="AD155" s="4609"/>
      <c r="AE155" s="4609"/>
      <c r="AF155" s="4609"/>
      <c r="AG155" s="4609"/>
      <c r="AH155" s="4609"/>
      <c r="AI155" s="4609"/>
      <c r="AJ155" s="4609">
        <v>307101</v>
      </c>
      <c r="AK155" s="4609">
        <v>0</v>
      </c>
      <c r="AL155" s="4609">
        <v>86875</v>
      </c>
      <c r="AM155" s="4609">
        <v>0</v>
      </c>
      <c r="AN155" s="4609"/>
      <c r="AO155" s="4609"/>
      <c r="AP155" s="4609"/>
      <c r="AQ155" s="4609"/>
      <c r="AR155" s="4609"/>
      <c r="AS155" s="4609"/>
      <c r="AT155" s="4609"/>
      <c r="AU155" s="4609"/>
      <c r="AV155" s="4609"/>
      <c r="AW155" s="4609"/>
      <c r="AX155" s="4609"/>
      <c r="AY155" s="4609"/>
      <c r="AZ155" s="4609"/>
      <c r="BA155" s="4609"/>
      <c r="BB155" s="4609"/>
      <c r="BC155" s="4609"/>
      <c r="BD155" s="4609"/>
      <c r="BE155" s="4609"/>
      <c r="BF155" s="4609"/>
      <c r="BG155" s="4609"/>
      <c r="BH155" s="3595"/>
      <c r="BI155" s="3409"/>
      <c r="BJ155" s="3409"/>
      <c r="BK155" s="4699"/>
      <c r="BL155" s="3595"/>
      <c r="BM155" s="3191"/>
      <c r="BN155" s="4624"/>
      <c r="BO155" s="4624"/>
      <c r="BP155" s="4624"/>
      <c r="BQ155" s="4624"/>
      <c r="BR155" s="3595"/>
    </row>
    <row r="156" spans="1:70" ht="30" x14ac:dyDescent="0.2">
      <c r="A156" s="2445"/>
      <c r="B156" s="1596"/>
      <c r="C156" s="1737"/>
      <c r="D156" s="1596"/>
      <c r="E156" s="1737"/>
      <c r="F156" s="1596"/>
      <c r="G156" s="2378"/>
      <c r="H156" s="2378"/>
      <c r="I156" s="2379"/>
      <c r="J156" s="4600"/>
      <c r="K156" s="4603"/>
      <c r="L156" s="4606"/>
      <c r="M156" s="3595"/>
      <c r="N156" s="3595"/>
      <c r="O156" s="4606"/>
      <c r="P156" s="4606"/>
      <c r="Q156" s="4603"/>
      <c r="R156" s="4684"/>
      <c r="S156" s="4642"/>
      <c r="T156" s="4603"/>
      <c r="U156" s="4603"/>
      <c r="V156" s="2384" t="s">
        <v>2185</v>
      </c>
      <c r="W156" s="993">
        <v>1000000</v>
      </c>
      <c r="X156" s="1621">
        <v>1000000</v>
      </c>
      <c r="Y156" s="1621">
        <v>0</v>
      </c>
      <c r="Z156" s="2385">
        <v>61</v>
      </c>
      <c r="AA156" s="2417" t="s">
        <v>1981</v>
      </c>
      <c r="AB156" s="4609"/>
      <c r="AC156" s="4609"/>
      <c r="AD156" s="4609"/>
      <c r="AE156" s="4609"/>
      <c r="AF156" s="4609"/>
      <c r="AG156" s="4609"/>
      <c r="AH156" s="4609"/>
      <c r="AI156" s="4609"/>
      <c r="AJ156" s="4609">
        <v>307101</v>
      </c>
      <c r="AK156" s="4609">
        <v>0</v>
      </c>
      <c r="AL156" s="4609">
        <v>86875</v>
      </c>
      <c r="AM156" s="4609">
        <v>0</v>
      </c>
      <c r="AN156" s="4609"/>
      <c r="AO156" s="4609"/>
      <c r="AP156" s="4609"/>
      <c r="AQ156" s="4609"/>
      <c r="AR156" s="4609"/>
      <c r="AS156" s="4609"/>
      <c r="AT156" s="4609"/>
      <c r="AU156" s="4609"/>
      <c r="AV156" s="4609"/>
      <c r="AW156" s="4609"/>
      <c r="AX156" s="4609"/>
      <c r="AY156" s="4609"/>
      <c r="AZ156" s="4609"/>
      <c r="BA156" s="4609"/>
      <c r="BB156" s="4609"/>
      <c r="BC156" s="4609"/>
      <c r="BD156" s="4609"/>
      <c r="BE156" s="4609"/>
      <c r="BF156" s="4609"/>
      <c r="BG156" s="4609"/>
      <c r="BH156" s="3595"/>
      <c r="BI156" s="3409"/>
      <c r="BJ156" s="3409"/>
      <c r="BK156" s="4699"/>
      <c r="BL156" s="3595"/>
      <c r="BM156" s="3191"/>
      <c r="BN156" s="4624"/>
      <c r="BO156" s="4624"/>
      <c r="BP156" s="4624"/>
      <c r="BQ156" s="4624"/>
      <c r="BR156" s="3595"/>
    </row>
    <row r="157" spans="1:70" ht="45" x14ac:dyDescent="0.2">
      <c r="A157" s="2445"/>
      <c r="B157" s="1596"/>
      <c r="C157" s="1737"/>
      <c r="D157" s="1596"/>
      <c r="E157" s="1737"/>
      <c r="F157" s="1596"/>
      <c r="G157" s="2378"/>
      <c r="H157" s="2378"/>
      <c r="I157" s="2379"/>
      <c r="J157" s="4600"/>
      <c r="K157" s="4603"/>
      <c r="L157" s="4606"/>
      <c r="M157" s="3595"/>
      <c r="N157" s="3595"/>
      <c r="O157" s="4606"/>
      <c r="P157" s="4606"/>
      <c r="Q157" s="4603"/>
      <c r="R157" s="4684"/>
      <c r="S157" s="4642"/>
      <c r="T157" s="4603"/>
      <c r="U157" s="4603"/>
      <c r="V157" s="2384" t="s">
        <v>2186</v>
      </c>
      <c r="W157" s="993">
        <v>1000000</v>
      </c>
      <c r="X157" s="1621">
        <v>1000000</v>
      </c>
      <c r="Y157" s="1621">
        <v>0</v>
      </c>
      <c r="Z157" s="2385">
        <v>61</v>
      </c>
      <c r="AA157" s="2417" t="s">
        <v>1981</v>
      </c>
      <c r="AB157" s="4609"/>
      <c r="AC157" s="4609"/>
      <c r="AD157" s="4609"/>
      <c r="AE157" s="4609"/>
      <c r="AF157" s="4609"/>
      <c r="AG157" s="4609"/>
      <c r="AH157" s="4609"/>
      <c r="AI157" s="4609"/>
      <c r="AJ157" s="4609">
        <v>307101</v>
      </c>
      <c r="AK157" s="4609">
        <v>0</v>
      </c>
      <c r="AL157" s="4609">
        <v>86875</v>
      </c>
      <c r="AM157" s="4609">
        <v>0</v>
      </c>
      <c r="AN157" s="4609"/>
      <c r="AO157" s="4609"/>
      <c r="AP157" s="4609"/>
      <c r="AQ157" s="4609"/>
      <c r="AR157" s="4609"/>
      <c r="AS157" s="4609"/>
      <c r="AT157" s="4609"/>
      <c r="AU157" s="4609"/>
      <c r="AV157" s="4609"/>
      <c r="AW157" s="4609"/>
      <c r="AX157" s="4609"/>
      <c r="AY157" s="4609"/>
      <c r="AZ157" s="4609"/>
      <c r="BA157" s="4609"/>
      <c r="BB157" s="4609"/>
      <c r="BC157" s="4609"/>
      <c r="BD157" s="4609"/>
      <c r="BE157" s="4609"/>
      <c r="BF157" s="4609"/>
      <c r="BG157" s="4609"/>
      <c r="BH157" s="3595"/>
      <c r="BI157" s="3409"/>
      <c r="BJ157" s="3409"/>
      <c r="BK157" s="4699"/>
      <c r="BL157" s="3595"/>
      <c r="BM157" s="3191"/>
      <c r="BN157" s="4624"/>
      <c r="BO157" s="4624"/>
      <c r="BP157" s="4624"/>
      <c r="BQ157" s="4624"/>
      <c r="BR157" s="3595"/>
    </row>
    <row r="158" spans="1:70" ht="60" x14ac:dyDescent="0.2">
      <c r="A158" s="2445"/>
      <c r="B158" s="1596"/>
      <c r="C158" s="1737"/>
      <c r="D158" s="1596"/>
      <c r="E158" s="1737"/>
      <c r="F158" s="1596"/>
      <c r="G158" s="2387"/>
      <c r="H158" s="2387"/>
      <c r="I158" s="2388"/>
      <c r="J158" s="4601"/>
      <c r="K158" s="4604"/>
      <c r="L158" s="4607"/>
      <c r="M158" s="3596"/>
      <c r="N158" s="3596"/>
      <c r="O158" s="4607"/>
      <c r="P158" s="4607"/>
      <c r="Q158" s="4604"/>
      <c r="R158" s="4685"/>
      <c r="S158" s="4642"/>
      <c r="T158" s="4604"/>
      <c r="U158" s="4604"/>
      <c r="V158" s="2384" t="s">
        <v>2187</v>
      </c>
      <c r="W158" s="993">
        <v>1000000</v>
      </c>
      <c r="X158" s="1621">
        <v>1000000</v>
      </c>
      <c r="Y158" s="1621">
        <v>0</v>
      </c>
      <c r="Z158" s="2385">
        <v>61</v>
      </c>
      <c r="AA158" s="2417" t="s">
        <v>1981</v>
      </c>
      <c r="AB158" s="4610"/>
      <c r="AC158" s="4610"/>
      <c r="AD158" s="4610"/>
      <c r="AE158" s="4610"/>
      <c r="AF158" s="4610"/>
      <c r="AG158" s="4610"/>
      <c r="AH158" s="4610"/>
      <c r="AI158" s="4610"/>
      <c r="AJ158" s="4610">
        <v>307101</v>
      </c>
      <c r="AK158" s="4610">
        <v>0</v>
      </c>
      <c r="AL158" s="4610">
        <v>86875</v>
      </c>
      <c r="AM158" s="4610">
        <v>0</v>
      </c>
      <c r="AN158" s="4610"/>
      <c r="AO158" s="4610"/>
      <c r="AP158" s="4610"/>
      <c r="AQ158" s="4610"/>
      <c r="AR158" s="4610"/>
      <c r="AS158" s="4610"/>
      <c r="AT158" s="4610"/>
      <c r="AU158" s="4610"/>
      <c r="AV158" s="4610"/>
      <c r="AW158" s="4610"/>
      <c r="AX158" s="4610"/>
      <c r="AY158" s="4610"/>
      <c r="AZ158" s="4610"/>
      <c r="BA158" s="4610"/>
      <c r="BB158" s="4610"/>
      <c r="BC158" s="4610"/>
      <c r="BD158" s="4610"/>
      <c r="BE158" s="4610"/>
      <c r="BF158" s="4610"/>
      <c r="BG158" s="4610"/>
      <c r="BH158" s="3596"/>
      <c r="BI158" s="3410"/>
      <c r="BJ158" s="3410"/>
      <c r="BK158" s="4700"/>
      <c r="BL158" s="3596"/>
      <c r="BM158" s="3192"/>
      <c r="BN158" s="4624"/>
      <c r="BO158" s="4624"/>
      <c r="BP158" s="4624"/>
      <c r="BQ158" s="4624"/>
      <c r="BR158" s="3596"/>
    </row>
    <row r="159" spans="1:70" ht="15" customHeight="1" x14ac:dyDescent="0.2">
      <c r="A159" s="2445"/>
      <c r="B159" s="1596"/>
      <c r="C159" s="1737"/>
      <c r="D159" s="1596"/>
      <c r="E159" s="1737"/>
      <c r="G159" s="2406">
        <v>42</v>
      </c>
      <c r="H159" s="2375" t="s">
        <v>2188</v>
      </c>
      <c r="I159" s="2375"/>
      <c r="J159" s="2375"/>
      <c r="K159" s="2407"/>
      <c r="L159" s="2375"/>
      <c r="M159" s="2408"/>
      <c r="N159" s="2408"/>
      <c r="O159" s="2375"/>
      <c r="P159" s="2375"/>
      <c r="Q159" s="2375"/>
      <c r="R159" s="2375"/>
      <c r="S159" s="2375"/>
      <c r="T159" s="2375"/>
      <c r="U159" s="2407"/>
      <c r="V159" s="2375"/>
      <c r="W159" s="2414"/>
      <c r="X159" s="2414"/>
      <c r="Y159" s="2414"/>
      <c r="Z159" s="2375"/>
      <c r="AA159" s="2413"/>
      <c r="AB159" s="2375"/>
      <c r="AC159" s="2375"/>
      <c r="AD159" s="2375"/>
      <c r="AE159" s="2375"/>
      <c r="AF159" s="2375"/>
      <c r="AG159" s="2375"/>
      <c r="AH159" s="2375"/>
      <c r="AI159" s="2375"/>
      <c r="AJ159" s="2375"/>
      <c r="AK159" s="2375"/>
      <c r="AL159" s="2375"/>
      <c r="AM159" s="2375"/>
      <c r="AN159" s="2375"/>
      <c r="AO159" s="2375"/>
      <c r="AP159" s="2375"/>
      <c r="AQ159" s="2375"/>
      <c r="AR159" s="2375"/>
      <c r="AS159" s="2375"/>
      <c r="AT159" s="2375"/>
      <c r="AU159" s="2375"/>
      <c r="AV159" s="2375"/>
      <c r="AW159" s="2375"/>
      <c r="AX159" s="2375"/>
      <c r="AY159" s="2375"/>
      <c r="AZ159" s="2375"/>
      <c r="BA159" s="2375"/>
      <c r="BB159" s="2375"/>
      <c r="BC159" s="2375"/>
      <c r="BD159" s="2375"/>
      <c r="BE159" s="2375"/>
      <c r="BF159" s="2375"/>
      <c r="BG159" s="2375"/>
      <c r="BH159" s="2375"/>
      <c r="BI159" s="2414"/>
      <c r="BJ159" s="2414"/>
      <c r="BK159" s="2375"/>
      <c r="BL159" s="2375"/>
      <c r="BM159" s="2375"/>
      <c r="BN159" s="2375"/>
      <c r="BO159" s="2375"/>
      <c r="BP159" s="2375"/>
      <c r="BQ159" s="2375"/>
      <c r="BR159" s="2434"/>
    </row>
    <row r="160" spans="1:70" ht="30" x14ac:dyDescent="0.2">
      <c r="A160" s="2445"/>
      <c r="B160" s="1596"/>
      <c r="C160" s="1737"/>
      <c r="D160" s="1596"/>
      <c r="E160" s="1737"/>
      <c r="F160" s="1596"/>
      <c r="G160" s="2382"/>
      <c r="H160" s="2382"/>
      <c r="I160" s="2383"/>
      <c r="J160" s="4599">
        <v>149</v>
      </c>
      <c r="K160" s="4602" t="s">
        <v>2189</v>
      </c>
      <c r="L160" s="4605" t="s">
        <v>1974</v>
      </c>
      <c r="M160" s="4006">
        <v>8</v>
      </c>
      <c r="N160" s="4006">
        <v>2</v>
      </c>
      <c r="O160" s="4605" t="s">
        <v>2190</v>
      </c>
      <c r="P160" s="4605" t="s">
        <v>2191</v>
      </c>
      <c r="Q160" s="4602" t="s">
        <v>2192</v>
      </c>
      <c r="R160" s="4683">
        <f>+(W160+W161+W162+W163+W164+W165)/S160</f>
        <v>0.63157894736842102</v>
      </c>
      <c r="S160" s="4641">
        <v>76000000</v>
      </c>
      <c r="T160" s="4602" t="s">
        <v>2193</v>
      </c>
      <c r="U160" s="4602" t="s">
        <v>2194</v>
      </c>
      <c r="V160" s="2384" t="s">
        <v>2195</v>
      </c>
      <c r="W160" s="993">
        <v>8000000</v>
      </c>
      <c r="X160" s="1621">
        <v>4664000</v>
      </c>
      <c r="Y160" s="1621">
        <v>933000</v>
      </c>
      <c r="Z160" s="2385">
        <v>61</v>
      </c>
      <c r="AA160" s="2417" t="s">
        <v>1981</v>
      </c>
      <c r="AB160" s="4608">
        <v>292684</v>
      </c>
      <c r="AC160" s="4714">
        <f>SUM(AB160*0.69)</f>
        <v>201951.96</v>
      </c>
      <c r="AD160" s="4608">
        <v>282326</v>
      </c>
      <c r="AE160" s="4714">
        <f>SUM(AD160*0.69)</f>
        <v>194804.93999999997</v>
      </c>
      <c r="AF160" s="4608">
        <v>135912</v>
      </c>
      <c r="AG160" s="4714">
        <f>SUM(AF160*0.69)</f>
        <v>93779.28</v>
      </c>
      <c r="AH160" s="4608">
        <v>45122</v>
      </c>
      <c r="AI160" s="4714">
        <f>SUM(AH160*0.69)</f>
        <v>31134.179999999997</v>
      </c>
      <c r="AJ160" s="4608">
        <v>307101</v>
      </c>
      <c r="AK160" s="4714">
        <v>211899.68999999997</v>
      </c>
      <c r="AL160" s="4608">
        <v>86875</v>
      </c>
      <c r="AM160" s="4714">
        <v>59943.749999999993</v>
      </c>
      <c r="AN160" s="4608">
        <v>2145</v>
      </c>
      <c r="AO160" s="4714">
        <f>SUM(AN160*0.69)</f>
        <v>1480.05</v>
      </c>
      <c r="AP160" s="4608">
        <v>12718</v>
      </c>
      <c r="AQ160" s="4714">
        <f>SUM(AP160*0.69)</f>
        <v>8775.42</v>
      </c>
      <c r="AR160" s="4608">
        <v>26</v>
      </c>
      <c r="AS160" s="4714">
        <f>SUM(AR160*0.69)</f>
        <v>17.939999999999998</v>
      </c>
      <c r="AT160" s="4608">
        <v>37</v>
      </c>
      <c r="AU160" s="4714">
        <f>SUM(AT160*0.69)</f>
        <v>25.529999999999998</v>
      </c>
      <c r="AV160" s="4608" t="s">
        <v>2015</v>
      </c>
      <c r="AW160" s="4714" t="s">
        <v>2015</v>
      </c>
      <c r="AX160" s="4608" t="s">
        <v>2015</v>
      </c>
      <c r="AY160" s="4714" t="s">
        <v>2015</v>
      </c>
      <c r="AZ160" s="4608">
        <v>53164</v>
      </c>
      <c r="BA160" s="4714">
        <f>SUM(AZ160*0.69)</f>
        <v>36683.159999999996</v>
      </c>
      <c r="BB160" s="4608">
        <v>16982</v>
      </c>
      <c r="BC160" s="4714">
        <f>SUM(BB160*0.69)</f>
        <v>11717.58</v>
      </c>
      <c r="BD160" s="4608">
        <v>60013</v>
      </c>
      <c r="BE160" s="4714">
        <f>SUM(BD160*0.69)</f>
        <v>41408.969999999994</v>
      </c>
      <c r="BF160" s="4608">
        <v>575010</v>
      </c>
      <c r="BG160" s="4714">
        <f>SUM(BF160*0.69)</f>
        <v>396756.89999999997</v>
      </c>
      <c r="BH160" s="4006">
        <v>3</v>
      </c>
      <c r="BI160" s="4667">
        <f>SUM(X160:X170)</f>
        <v>41970000</v>
      </c>
      <c r="BJ160" s="4667">
        <f>SUM(Y160:Y170)</f>
        <v>8394000</v>
      </c>
      <c r="BK160" s="4669">
        <f>+BJ160/BI160</f>
        <v>0.2</v>
      </c>
      <c r="BL160" s="4006">
        <v>61</v>
      </c>
      <c r="BM160" s="4666" t="s">
        <v>2196</v>
      </c>
      <c r="BN160" s="4623">
        <v>43466</v>
      </c>
      <c r="BO160" s="4623">
        <v>43467</v>
      </c>
      <c r="BP160" s="4623">
        <v>43830</v>
      </c>
      <c r="BQ160" s="4623">
        <v>43830</v>
      </c>
      <c r="BR160" s="3190" t="s">
        <v>1983</v>
      </c>
    </row>
    <row r="161" spans="1:70" ht="60" x14ac:dyDescent="0.2">
      <c r="A161" s="2445"/>
      <c r="B161" s="1596"/>
      <c r="C161" s="1737"/>
      <c r="D161" s="1596"/>
      <c r="E161" s="1737"/>
      <c r="F161" s="1596"/>
      <c r="G161" s="2378"/>
      <c r="H161" s="2378"/>
      <c r="I161" s="2379"/>
      <c r="J161" s="4600"/>
      <c r="K161" s="4603"/>
      <c r="L161" s="4606"/>
      <c r="M161" s="4665"/>
      <c r="N161" s="4665"/>
      <c r="O161" s="4606"/>
      <c r="P161" s="4606"/>
      <c r="Q161" s="4603"/>
      <c r="R161" s="4684"/>
      <c r="S161" s="4642"/>
      <c r="T161" s="4603"/>
      <c r="U161" s="4603"/>
      <c r="V161" s="2384" t="s">
        <v>2197</v>
      </c>
      <c r="W161" s="993">
        <v>8000000</v>
      </c>
      <c r="X161" s="1621">
        <v>4664000</v>
      </c>
      <c r="Y161" s="1621">
        <v>933000</v>
      </c>
      <c r="Z161" s="2385">
        <v>61</v>
      </c>
      <c r="AA161" s="2417" t="s">
        <v>1981</v>
      </c>
      <c r="AB161" s="4609"/>
      <c r="AC161" s="4715"/>
      <c r="AD161" s="4609"/>
      <c r="AE161" s="4715"/>
      <c r="AF161" s="4609"/>
      <c r="AG161" s="4715"/>
      <c r="AH161" s="4609"/>
      <c r="AI161" s="4715"/>
      <c r="AJ161" s="4609">
        <v>307101</v>
      </c>
      <c r="AK161" s="4715">
        <v>211899.68999999997</v>
      </c>
      <c r="AL161" s="4609">
        <v>86875</v>
      </c>
      <c r="AM161" s="4715">
        <v>59943.749999999993</v>
      </c>
      <c r="AN161" s="4609"/>
      <c r="AO161" s="4715"/>
      <c r="AP161" s="4609"/>
      <c r="AQ161" s="4715"/>
      <c r="AR161" s="4609"/>
      <c r="AS161" s="4715"/>
      <c r="AT161" s="4609"/>
      <c r="AU161" s="4715"/>
      <c r="AV161" s="4609"/>
      <c r="AW161" s="4715"/>
      <c r="AX161" s="4609"/>
      <c r="AY161" s="4715"/>
      <c r="AZ161" s="4609"/>
      <c r="BA161" s="4715"/>
      <c r="BB161" s="4609"/>
      <c r="BC161" s="4715"/>
      <c r="BD161" s="4609"/>
      <c r="BE161" s="4715"/>
      <c r="BF161" s="4609"/>
      <c r="BG161" s="4715"/>
      <c r="BH161" s="4665"/>
      <c r="BI161" s="4668"/>
      <c r="BJ161" s="4668"/>
      <c r="BK161" s="4670"/>
      <c r="BL161" s="4665"/>
      <c r="BM161" s="4365"/>
      <c r="BN161" s="4624"/>
      <c r="BO161" s="4624"/>
      <c r="BP161" s="4624"/>
      <c r="BQ161" s="4624"/>
      <c r="BR161" s="3595"/>
    </row>
    <row r="162" spans="1:70" ht="60" x14ac:dyDescent="0.2">
      <c r="A162" s="2445"/>
      <c r="B162" s="1596"/>
      <c r="C162" s="1737"/>
      <c r="D162" s="1596"/>
      <c r="E162" s="1737"/>
      <c r="F162" s="1596"/>
      <c r="G162" s="2378"/>
      <c r="H162" s="2378"/>
      <c r="I162" s="2379"/>
      <c r="J162" s="4600"/>
      <c r="K162" s="4603"/>
      <c r="L162" s="4606"/>
      <c r="M162" s="4665"/>
      <c r="N162" s="4665"/>
      <c r="O162" s="4606"/>
      <c r="P162" s="4606"/>
      <c r="Q162" s="4603"/>
      <c r="R162" s="4684"/>
      <c r="S162" s="4642"/>
      <c r="T162" s="4603"/>
      <c r="U162" s="4603"/>
      <c r="V162" s="2384" t="s">
        <v>2198</v>
      </c>
      <c r="W162" s="993">
        <v>8000000</v>
      </c>
      <c r="X162" s="1621">
        <v>4663000</v>
      </c>
      <c r="Y162" s="1621">
        <v>933000</v>
      </c>
      <c r="Z162" s="2385">
        <v>61</v>
      </c>
      <c r="AA162" s="2417" t="s">
        <v>1981</v>
      </c>
      <c r="AB162" s="4609"/>
      <c r="AC162" s="4715"/>
      <c r="AD162" s="4609"/>
      <c r="AE162" s="4715"/>
      <c r="AF162" s="4609"/>
      <c r="AG162" s="4715"/>
      <c r="AH162" s="4609"/>
      <c r="AI162" s="4715"/>
      <c r="AJ162" s="4609">
        <v>307101</v>
      </c>
      <c r="AK162" s="4715">
        <v>211899.68999999997</v>
      </c>
      <c r="AL162" s="4609">
        <v>86875</v>
      </c>
      <c r="AM162" s="4715">
        <v>59943.749999999993</v>
      </c>
      <c r="AN162" s="4609"/>
      <c r="AO162" s="4715"/>
      <c r="AP162" s="4609"/>
      <c r="AQ162" s="4715"/>
      <c r="AR162" s="4609"/>
      <c r="AS162" s="4715"/>
      <c r="AT162" s="4609"/>
      <c r="AU162" s="4715"/>
      <c r="AV162" s="4609"/>
      <c r="AW162" s="4715"/>
      <c r="AX162" s="4609"/>
      <c r="AY162" s="4715"/>
      <c r="AZ162" s="4609"/>
      <c r="BA162" s="4715"/>
      <c r="BB162" s="4609"/>
      <c r="BC162" s="4715"/>
      <c r="BD162" s="4609"/>
      <c r="BE162" s="4715"/>
      <c r="BF162" s="4609"/>
      <c r="BG162" s="4715"/>
      <c r="BH162" s="4665"/>
      <c r="BI162" s="4668"/>
      <c r="BJ162" s="4668"/>
      <c r="BK162" s="4670"/>
      <c r="BL162" s="4665"/>
      <c r="BM162" s="4365"/>
      <c r="BN162" s="4624"/>
      <c r="BO162" s="4624"/>
      <c r="BP162" s="4624"/>
      <c r="BQ162" s="4624"/>
      <c r="BR162" s="3595"/>
    </row>
    <row r="163" spans="1:70" ht="60" x14ac:dyDescent="0.2">
      <c r="A163" s="2445"/>
      <c r="B163" s="1596"/>
      <c r="C163" s="1737"/>
      <c r="D163" s="1596"/>
      <c r="E163" s="1737"/>
      <c r="F163" s="1596"/>
      <c r="G163" s="2378"/>
      <c r="H163" s="2378"/>
      <c r="I163" s="2379"/>
      <c r="J163" s="4600"/>
      <c r="K163" s="4603"/>
      <c r="L163" s="4606"/>
      <c r="M163" s="4665"/>
      <c r="N163" s="4665"/>
      <c r="O163" s="4606"/>
      <c r="P163" s="4606"/>
      <c r="Q163" s="4603"/>
      <c r="R163" s="4684"/>
      <c r="S163" s="4642"/>
      <c r="T163" s="4603"/>
      <c r="U163" s="4603"/>
      <c r="V163" s="2384" t="s">
        <v>2199</v>
      </c>
      <c r="W163" s="993">
        <v>8000000</v>
      </c>
      <c r="X163" s="1621">
        <v>4663000</v>
      </c>
      <c r="Y163" s="1621">
        <v>933000</v>
      </c>
      <c r="Z163" s="2385">
        <v>61</v>
      </c>
      <c r="AA163" s="2417" t="s">
        <v>1981</v>
      </c>
      <c r="AB163" s="4609"/>
      <c r="AC163" s="4715"/>
      <c r="AD163" s="4609"/>
      <c r="AE163" s="4715"/>
      <c r="AF163" s="4609"/>
      <c r="AG163" s="4715"/>
      <c r="AH163" s="4609"/>
      <c r="AI163" s="4715"/>
      <c r="AJ163" s="4609">
        <v>307101</v>
      </c>
      <c r="AK163" s="4715">
        <v>211899.68999999997</v>
      </c>
      <c r="AL163" s="4609">
        <v>86875</v>
      </c>
      <c r="AM163" s="4715">
        <v>59943.749999999993</v>
      </c>
      <c r="AN163" s="4609"/>
      <c r="AO163" s="4715"/>
      <c r="AP163" s="4609"/>
      <c r="AQ163" s="4715"/>
      <c r="AR163" s="4609"/>
      <c r="AS163" s="4715"/>
      <c r="AT163" s="4609"/>
      <c r="AU163" s="4715"/>
      <c r="AV163" s="4609"/>
      <c r="AW163" s="4715"/>
      <c r="AX163" s="4609"/>
      <c r="AY163" s="4715"/>
      <c r="AZ163" s="4609"/>
      <c r="BA163" s="4715"/>
      <c r="BB163" s="4609"/>
      <c r="BC163" s="4715"/>
      <c r="BD163" s="4609"/>
      <c r="BE163" s="4715"/>
      <c r="BF163" s="4609"/>
      <c r="BG163" s="4715"/>
      <c r="BH163" s="4665"/>
      <c r="BI163" s="4668"/>
      <c r="BJ163" s="4668"/>
      <c r="BK163" s="4670"/>
      <c r="BL163" s="4665"/>
      <c r="BM163" s="4365"/>
      <c r="BN163" s="4624"/>
      <c r="BO163" s="4624"/>
      <c r="BP163" s="4624"/>
      <c r="BQ163" s="4624"/>
      <c r="BR163" s="3595"/>
    </row>
    <row r="164" spans="1:70" ht="45" x14ac:dyDescent="0.2">
      <c r="A164" s="2445"/>
      <c r="B164" s="1596"/>
      <c r="C164" s="1737"/>
      <c r="D164" s="1596"/>
      <c r="E164" s="1737"/>
      <c r="F164" s="1596"/>
      <c r="G164" s="2378"/>
      <c r="H164" s="2378"/>
      <c r="I164" s="2379"/>
      <c r="J164" s="4600"/>
      <c r="K164" s="4603"/>
      <c r="L164" s="4606"/>
      <c r="M164" s="4665"/>
      <c r="N164" s="4665"/>
      <c r="O164" s="4606"/>
      <c r="P164" s="4606"/>
      <c r="Q164" s="4603"/>
      <c r="R164" s="4684"/>
      <c r="S164" s="4642"/>
      <c r="T164" s="4603"/>
      <c r="U164" s="4603"/>
      <c r="V164" s="2384" t="s">
        <v>2200</v>
      </c>
      <c r="W164" s="993">
        <v>8000000</v>
      </c>
      <c r="X164" s="1621">
        <v>4663000</v>
      </c>
      <c r="Y164" s="1621">
        <v>932000</v>
      </c>
      <c r="Z164" s="2385">
        <v>61</v>
      </c>
      <c r="AA164" s="2417" t="s">
        <v>1981</v>
      </c>
      <c r="AB164" s="4609"/>
      <c r="AC164" s="4715"/>
      <c r="AD164" s="4609"/>
      <c r="AE164" s="4715"/>
      <c r="AF164" s="4609"/>
      <c r="AG164" s="4715"/>
      <c r="AH164" s="4609"/>
      <c r="AI164" s="4715"/>
      <c r="AJ164" s="4609">
        <v>307101</v>
      </c>
      <c r="AK164" s="4715">
        <v>211899.68999999997</v>
      </c>
      <c r="AL164" s="4609">
        <v>86875</v>
      </c>
      <c r="AM164" s="4715">
        <v>59943.749999999993</v>
      </c>
      <c r="AN164" s="4609"/>
      <c r="AO164" s="4715"/>
      <c r="AP164" s="4609"/>
      <c r="AQ164" s="4715"/>
      <c r="AR164" s="4609"/>
      <c r="AS164" s="4715"/>
      <c r="AT164" s="4609"/>
      <c r="AU164" s="4715"/>
      <c r="AV164" s="4609"/>
      <c r="AW164" s="4715"/>
      <c r="AX164" s="4609"/>
      <c r="AY164" s="4715"/>
      <c r="AZ164" s="4609"/>
      <c r="BA164" s="4715"/>
      <c r="BB164" s="4609"/>
      <c r="BC164" s="4715"/>
      <c r="BD164" s="4609"/>
      <c r="BE164" s="4715"/>
      <c r="BF164" s="4609"/>
      <c r="BG164" s="4715"/>
      <c r="BH164" s="4665"/>
      <c r="BI164" s="4668"/>
      <c r="BJ164" s="4668"/>
      <c r="BK164" s="4670"/>
      <c r="BL164" s="4665"/>
      <c r="BM164" s="4365"/>
      <c r="BN164" s="4624"/>
      <c r="BO164" s="4624"/>
      <c r="BP164" s="4624"/>
      <c r="BQ164" s="4624"/>
      <c r="BR164" s="3595"/>
    </row>
    <row r="165" spans="1:70" ht="62.25" customHeight="1" x14ac:dyDescent="0.2">
      <c r="A165" s="2445"/>
      <c r="B165" s="1596"/>
      <c r="C165" s="1737"/>
      <c r="D165" s="1596"/>
      <c r="E165" s="1737"/>
      <c r="F165" s="1596"/>
      <c r="G165" s="2378"/>
      <c r="H165" s="2378"/>
      <c r="I165" s="2379"/>
      <c r="J165" s="4601"/>
      <c r="K165" s="4604"/>
      <c r="L165" s="4607"/>
      <c r="M165" s="4008"/>
      <c r="N165" s="4008"/>
      <c r="O165" s="4606"/>
      <c r="P165" s="4606"/>
      <c r="Q165" s="4603"/>
      <c r="R165" s="4685"/>
      <c r="S165" s="4642"/>
      <c r="T165" s="4603"/>
      <c r="U165" s="4604"/>
      <c r="V165" s="2384" t="s">
        <v>2201</v>
      </c>
      <c r="W165" s="993">
        <v>8000000</v>
      </c>
      <c r="X165" s="1621">
        <v>4663000</v>
      </c>
      <c r="Y165" s="1621">
        <v>932000</v>
      </c>
      <c r="Z165" s="2385">
        <v>61</v>
      </c>
      <c r="AA165" s="2417" t="s">
        <v>1981</v>
      </c>
      <c r="AB165" s="4609"/>
      <c r="AC165" s="4715"/>
      <c r="AD165" s="4609"/>
      <c r="AE165" s="4715"/>
      <c r="AF165" s="4609"/>
      <c r="AG165" s="4715"/>
      <c r="AH165" s="4609"/>
      <c r="AI165" s="4715"/>
      <c r="AJ165" s="4609">
        <v>307101</v>
      </c>
      <c r="AK165" s="4715">
        <v>211899.68999999997</v>
      </c>
      <c r="AL165" s="4609">
        <v>86875</v>
      </c>
      <c r="AM165" s="4715">
        <v>59943.749999999993</v>
      </c>
      <c r="AN165" s="4609"/>
      <c r="AO165" s="4715"/>
      <c r="AP165" s="4609"/>
      <c r="AQ165" s="4715"/>
      <c r="AR165" s="4609"/>
      <c r="AS165" s="4715"/>
      <c r="AT165" s="4609"/>
      <c r="AU165" s="4715"/>
      <c r="AV165" s="4609"/>
      <c r="AW165" s="4715"/>
      <c r="AX165" s="4609"/>
      <c r="AY165" s="4715"/>
      <c r="AZ165" s="4609"/>
      <c r="BA165" s="4715"/>
      <c r="BB165" s="4609"/>
      <c r="BC165" s="4715"/>
      <c r="BD165" s="4609"/>
      <c r="BE165" s="4715"/>
      <c r="BF165" s="4609"/>
      <c r="BG165" s="4715"/>
      <c r="BH165" s="4665"/>
      <c r="BI165" s="4668"/>
      <c r="BJ165" s="4668"/>
      <c r="BK165" s="4670"/>
      <c r="BL165" s="4665"/>
      <c r="BM165" s="4365"/>
      <c r="BN165" s="4624"/>
      <c r="BO165" s="4624"/>
      <c r="BP165" s="4624"/>
      <c r="BQ165" s="4624"/>
      <c r="BR165" s="3595"/>
    </row>
    <row r="166" spans="1:70" ht="45" x14ac:dyDescent="0.2">
      <c r="A166" s="2445"/>
      <c r="B166" s="1596"/>
      <c r="C166" s="1737"/>
      <c r="D166" s="1596"/>
      <c r="E166" s="1737"/>
      <c r="F166" s="1596"/>
      <c r="G166" s="2378"/>
      <c r="H166" s="2378"/>
      <c r="I166" s="2379"/>
      <c r="J166" s="4599">
        <v>150</v>
      </c>
      <c r="K166" s="4602" t="s">
        <v>2202</v>
      </c>
      <c r="L166" s="4605" t="s">
        <v>1974</v>
      </c>
      <c r="M166" s="4665">
        <v>14</v>
      </c>
      <c r="N166" s="4665">
        <v>0</v>
      </c>
      <c r="O166" s="4606"/>
      <c r="P166" s="4606"/>
      <c r="Q166" s="4603"/>
      <c r="R166" s="4683">
        <f>+(W166+W167+W168+W169+W170)/S160</f>
        <v>0.36842105263157893</v>
      </c>
      <c r="S166" s="4642"/>
      <c r="T166" s="4603"/>
      <c r="U166" s="4602" t="s">
        <v>2203</v>
      </c>
      <c r="V166" s="2384" t="s">
        <v>2204</v>
      </c>
      <c r="W166" s="993">
        <v>5000000</v>
      </c>
      <c r="X166" s="1621">
        <v>2798000</v>
      </c>
      <c r="Y166" s="1621">
        <v>559600</v>
      </c>
      <c r="Z166" s="2385">
        <v>61</v>
      </c>
      <c r="AA166" s="2417" t="s">
        <v>1981</v>
      </c>
      <c r="AB166" s="4609"/>
      <c r="AC166" s="4715"/>
      <c r="AD166" s="4609"/>
      <c r="AE166" s="4715"/>
      <c r="AF166" s="4609"/>
      <c r="AG166" s="4715"/>
      <c r="AH166" s="4609"/>
      <c r="AI166" s="4715"/>
      <c r="AJ166" s="4609">
        <v>307101</v>
      </c>
      <c r="AK166" s="4715">
        <v>211899.68999999997</v>
      </c>
      <c r="AL166" s="4609">
        <v>86875</v>
      </c>
      <c r="AM166" s="4715">
        <v>59943.749999999993</v>
      </c>
      <c r="AN166" s="4609"/>
      <c r="AO166" s="4715"/>
      <c r="AP166" s="4609"/>
      <c r="AQ166" s="4715"/>
      <c r="AR166" s="4609"/>
      <c r="AS166" s="4715"/>
      <c r="AT166" s="4609"/>
      <c r="AU166" s="4715"/>
      <c r="AV166" s="4609"/>
      <c r="AW166" s="4715"/>
      <c r="AX166" s="4609"/>
      <c r="AY166" s="4715"/>
      <c r="AZ166" s="4609"/>
      <c r="BA166" s="4715"/>
      <c r="BB166" s="4609"/>
      <c r="BC166" s="4715"/>
      <c r="BD166" s="4609"/>
      <c r="BE166" s="4715"/>
      <c r="BF166" s="4609"/>
      <c r="BG166" s="4715"/>
      <c r="BH166" s="4665"/>
      <c r="BI166" s="4668"/>
      <c r="BJ166" s="4668"/>
      <c r="BK166" s="4670"/>
      <c r="BL166" s="4665"/>
      <c r="BM166" s="4365"/>
      <c r="BN166" s="4624"/>
      <c r="BO166" s="4624"/>
      <c r="BP166" s="4624"/>
      <c r="BQ166" s="4624"/>
      <c r="BR166" s="3595"/>
    </row>
    <row r="167" spans="1:70" ht="45" x14ac:dyDescent="0.2">
      <c r="A167" s="2445"/>
      <c r="B167" s="1596"/>
      <c r="C167" s="1737"/>
      <c r="D167" s="1596"/>
      <c r="E167" s="1737"/>
      <c r="F167" s="1596"/>
      <c r="G167" s="2378"/>
      <c r="H167" s="2378"/>
      <c r="I167" s="2379"/>
      <c r="J167" s="4600"/>
      <c r="K167" s="4603"/>
      <c r="L167" s="4606"/>
      <c r="M167" s="4665"/>
      <c r="N167" s="4665"/>
      <c r="O167" s="4606"/>
      <c r="P167" s="4606"/>
      <c r="Q167" s="4603"/>
      <c r="R167" s="4684"/>
      <c r="S167" s="4642"/>
      <c r="T167" s="4603"/>
      <c r="U167" s="4603"/>
      <c r="V167" s="2384" t="s">
        <v>2205</v>
      </c>
      <c r="W167" s="993">
        <v>5000000</v>
      </c>
      <c r="X167" s="1621">
        <v>2798000</v>
      </c>
      <c r="Y167" s="1621">
        <v>559600</v>
      </c>
      <c r="Z167" s="2385">
        <v>61</v>
      </c>
      <c r="AA167" s="2417" t="s">
        <v>1981</v>
      </c>
      <c r="AB167" s="4609"/>
      <c r="AC167" s="4715"/>
      <c r="AD167" s="4609"/>
      <c r="AE167" s="4715"/>
      <c r="AF167" s="4609"/>
      <c r="AG167" s="4715"/>
      <c r="AH167" s="4609"/>
      <c r="AI167" s="4715"/>
      <c r="AJ167" s="4609">
        <v>307101</v>
      </c>
      <c r="AK167" s="4715">
        <v>211899.68999999997</v>
      </c>
      <c r="AL167" s="4609">
        <v>86875</v>
      </c>
      <c r="AM167" s="4715">
        <v>59943.749999999993</v>
      </c>
      <c r="AN167" s="4609"/>
      <c r="AO167" s="4715"/>
      <c r="AP167" s="4609"/>
      <c r="AQ167" s="4715"/>
      <c r="AR167" s="4609"/>
      <c r="AS167" s="4715"/>
      <c r="AT167" s="4609"/>
      <c r="AU167" s="4715"/>
      <c r="AV167" s="4609"/>
      <c r="AW167" s="4715"/>
      <c r="AX167" s="4609"/>
      <c r="AY167" s="4715"/>
      <c r="AZ167" s="4609"/>
      <c r="BA167" s="4715"/>
      <c r="BB167" s="4609"/>
      <c r="BC167" s="4715"/>
      <c r="BD167" s="4609"/>
      <c r="BE167" s="4715"/>
      <c r="BF167" s="4609"/>
      <c r="BG167" s="4715"/>
      <c r="BH167" s="4665"/>
      <c r="BI167" s="4668"/>
      <c r="BJ167" s="4668"/>
      <c r="BK167" s="4670"/>
      <c r="BL167" s="4665"/>
      <c r="BM167" s="4365"/>
      <c r="BN167" s="4624"/>
      <c r="BO167" s="4624"/>
      <c r="BP167" s="4624"/>
      <c r="BQ167" s="4624"/>
      <c r="BR167" s="3595"/>
    </row>
    <row r="168" spans="1:70" ht="75" x14ac:dyDescent="0.2">
      <c r="A168" s="2445"/>
      <c r="B168" s="1596"/>
      <c r="C168" s="1737"/>
      <c r="D168" s="1596"/>
      <c r="E168" s="1737"/>
      <c r="F168" s="1596"/>
      <c r="G168" s="2378"/>
      <c r="H168" s="2378"/>
      <c r="I168" s="2379"/>
      <c r="J168" s="4600"/>
      <c r="K168" s="4603"/>
      <c r="L168" s="4606"/>
      <c r="M168" s="4665"/>
      <c r="N168" s="4665"/>
      <c r="O168" s="4606"/>
      <c r="P168" s="4606"/>
      <c r="Q168" s="4603"/>
      <c r="R168" s="4684"/>
      <c r="S168" s="4642"/>
      <c r="T168" s="4603"/>
      <c r="U168" s="4603"/>
      <c r="V168" s="2384" t="s">
        <v>2206</v>
      </c>
      <c r="W168" s="993">
        <v>5000000</v>
      </c>
      <c r="X168" s="1621">
        <v>2798000</v>
      </c>
      <c r="Y168" s="1621">
        <v>559600</v>
      </c>
      <c r="Z168" s="2385">
        <v>61</v>
      </c>
      <c r="AA168" s="2417" t="s">
        <v>1981</v>
      </c>
      <c r="AB168" s="4609"/>
      <c r="AC168" s="4715"/>
      <c r="AD168" s="4609"/>
      <c r="AE168" s="4715"/>
      <c r="AF168" s="4609"/>
      <c r="AG168" s="4715"/>
      <c r="AH168" s="4609"/>
      <c r="AI168" s="4715"/>
      <c r="AJ168" s="4609">
        <v>307101</v>
      </c>
      <c r="AK168" s="4715">
        <v>211899.68999999997</v>
      </c>
      <c r="AL168" s="4609">
        <v>86875</v>
      </c>
      <c r="AM168" s="4715">
        <v>59943.749999999993</v>
      </c>
      <c r="AN168" s="4609"/>
      <c r="AO168" s="4715"/>
      <c r="AP168" s="4609"/>
      <c r="AQ168" s="4715"/>
      <c r="AR168" s="4609"/>
      <c r="AS168" s="4715"/>
      <c r="AT168" s="4609"/>
      <c r="AU168" s="4715"/>
      <c r="AV168" s="4609"/>
      <c r="AW168" s="4715"/>
      <c r="AX168" s="4609"/>
      <c r="AY168" s="4715"/>
      <c r="AZ168" s="4609"/>
      <c r="BA168" s="4715"/>
      <c r="BB168" s="4609"/>
      <c r="BC168" s="4715"/>
      <c r="BD168" s="4609"/>
      <c r="BE168" s="4715"/>
      <c r="BF168" s="4609"/>
      <c r="BG168" s="4715"/>
      <c r="BH168" s="4665"/>
      <c r="BI168" s="4668"/>
      <c r="BJ168" s="4668"/>
      <c r="BK168" s="4670"/>
      <c r="BL168" s="4665"/>
      <c r="BM168" s="4365"/>
      <c r="BN168" s="4624"/>
      <c r="BO168" s="4624"/>
      <c r="BP168" s="4624"/>
      <c r="BQ168" s="4624"/>
      <c r="BR168" s="3595"/>
    </row>
    <row r="169" spans="1:70" ht="46.5" customHeight="1" x14ac:dyDescent="0.2">
      <c r="A169" s="2445"/>
      <c r="B169" s="1596"/>
      <c r="C169" s="1737"/>
      <c r="D169" s="1596"/>
      <c r="E169" s="1737"/>
      <c r="F169" s="1596"/>
      <c r="G169" s="2378"/>
      <c r="H169" s="2378"/>
      <c r="I169" s="2379"/>
      <c r="J169" s="4600"/>
      <c r="K169" s="4603"/>
      <c r="L169" s="4606"/>
      <c r="M169" s="4665"/>
      <c r="N169" s="4665"/>
      <c r="O169" s="4606"/>
      <c r="P169" s="4606"/>
      <c r="Q169" s="4603"/>
      <c r="R169" s="4684"/>
      <c r="S169" s="4642"/>
      <c r="T169" s="4603"/>
      <c r="U169" s="4603"/>
      <c r="V169" s="2384" t="s">
        <v>2207</v>
      </c>
      <c r="W169" s="993">
        <v>5000000</v>
      </c>
      <c r="X169" s="1621">
        <v>2798000</v>
      </c>
      <c r="Y169" s="1621">
        <v>559600</v>
      </c>
      <c r="Z169" s="2385">
        <v>61</v>
      </c>
      <c r="AA169" s="2417" t="s">
        <v>1981</v>
      </c>
      <c r="AB169" s="4609"/>
      <c r="AC169" s="4715"/>
      <c r="AD169" s="4609"/>
      <c r="AE169" s="4715"/>
      <c r="AF169" s="4609"/>
      <c r="AG169" s="4715"/>
      <c r="AH169" s="4609"/>
      <c r="AI169" s="4715"/>
      <c r="AJ169" s="4609">
        <v>307101</v>
      </c>
      <c r="AK169" s="4715">
        <v>211899.68999999997</v>
      </c>
      <c r="AL169" s="4609">
        <v>86875</v>
      </c>
      <c r="AM169" s="4715">
        <v>59943.749999999993</v>
      </c>
      <c r="AN169" s="4609"/>
      <c r="AO169" s="4715"/>
      <c r="AP169" s="4609"/>
      <c r="AQ169" s="4715"/>
      <c r="AR169" s="4609"/>
      <c r="AS169" s="4715"/>
      <c r="AT169" s="4609"/>
      <c r="AU169" s="4715"/>
      <c r="AV169" s="4609"/>
      <c r="AW169" s="4715"/>
      <c r="AX169" s="4609"/>
      <c r="AY169" s="4715"/>
      <c r="AZ169" s="4609"/>
      <c r="BA169" s="4715"/>
      <c r="BB169" s="4609"/>
      <c r="BC169" s="4715"/>
      <c r="BD169" s="4609"/>
      <c r="BE169" s="4715"/>
      <c r="BF169" s="4609"/>
      <c r="BG169" s="4715"/>
      <c r="BH169" s="4665"/>
      <c r="BI169" s="4668"/>
      <c r="BJ169" s="4668"/>
      <c r="BK169" s="4670"/>
      <c r="BL169" s="4665"/>
      <c r="BM169" s="4365"/>
      <c r="BN169" s="4624"/>
      <c r="BO169" s="4624"/>
      <c r="BP169" s="4624"/>
      <c r="BQ169" s="4624"/>
      <c r="BR169" s="3595"/>
    </row>
    <row r="170" spans="1:70" ht="62.25" customHeight="1" x14ac:dyDescent="0.2">
      <c r="A170" s="2445"/>
      <c r="B170" s="1596"/>
      <c r="C170" s="1737"/>
      <c r="D170" s="1596"/>
      <c r="E170" s="1737"/>
      <c r="F170" s="1596"/>
      <c r="G170" s="2387"/>
      <c r="H170" s="2387"/>
      <c r="I170" s="2388"/>
      <c r="J170" s="4601"/>
      <c r="K170" s="4604"/>
      <c r="L170" s="4607"/>
      <c r="M170" s="4008"/>
      <c r="N170" s="4008"/>
      <c r="O170" s="4607"/>
      <c r="P170" s="4607"/>
      <c r="Q170" s="4604"/>
      <c r="R170" s="4684"/>
      <c r="S170" s="4643"/>
      <c r="T170" s="4604"/>
      <c r="U170" s="4604"/>
      <c r="V170" s="2384" t="s">
        <v>2208</v>
      </c>
      <c r="W170" s="993">
        <v>8000000</v>
      </c>
      <c r="X170" s="1621">
        <v>2798000</v>
      </c>
      <c r="Y170" s="1621">
        <v>559600</v>
      </c>
      <c r="Z170" s="2385">
        <v>61</v>
      </c>
      <c r="AA170" s="2417" t="s">
        <v>1981</v>
      </c>
      <c r="AB170" s="4610"/>
      <c r="AC170" s="4716"/>
      <c r="AD170" s="4610"/>
      <c r="AE170" s="4716"/>
      <c r="AF170" s="4610"/>
      <c r="AG170" s="4716"/>
      <c r="AH170" s="4610"/>
      <c r="AI170" s="4716"/>
      <c r="AJ170" s="4610">
        <v>307101</v>
      </c>
      <c r="AK170" s="4716">
        <v>211899.68999999997</v>
      </c>
      <c r="AL170" s="4610">
        <v>86875</v>
      </c>
      <c r="AM170" s="4716">
        <v>59943.749999999993</v>
      </c>
      <c r="AN170" s="4610"/>
      <c r="AO170" s="4716"/>
      <c r="AP170" s="4610"/>
      <c r="AQ170" s="4716"/>
      <c r="AR170" s="4610"/>
      <c r="AS170" s="4716"/>
      <c r="AT170" s="4610"/>
      <c r="AU170" s="4716"/>
      <c r="AV170" s="4610"/>
      <c r="AW170" s="4716"/>
      <c r="AX170" s="4610"/>
      <c r="AY170" s="4716"/>
      <c r="AZ170" s="4610"/>
      <c r="BA170" s="4716"/>
      <c r="BB170" s="4610"/>
      <c r="BC170" s="4716"/>
      <c r="BD170" s="4610"/>
      <c r="BE170" s="4716"/>
      <c r="BF170" s="4610"/>
      <c r="BG170" s="4716"/>
      <c r="BH170" s="4008"/>
      <c r="BI170" s="4718"/>
      <c r="BJ170" s="4718"/>
      <c r="BK170" s="4719"/>
      <c r="BL170" s="4008"/>
      <c r="BM170" s="4717"/>
      <c r="BN170" s="4625"/>
      <c r="BO170" s="4625"/>
      <c r="BP170" s="4625"/>
      <c r="BQ170" s="4625"/>
      <c r="BR170" s="3596"/>
    </row>
    <row r="171" spans="1:70" ht="15" customHeight="1" x14ac:dyDescent="0.2">
      <c r="A171" s="2445"/>
      <c r="B171" s="1596"/>
      <c r="C171" s="1737"/>
      <c r="D171" s="1596"/>
      <c r="E171" s="1737"/>
      <c r="G171" s="2406">
        <v>43</v>
      </c>
      <c r="H171" s="2375" t="s">
        <v>2209</v>
      </c>
      <c r="I171" s="2375"/>
      <c r="J171" s="2375"/>
      <c r="K171" s="2407"/>
      <c r="L171" s="2375"/>
      <c r="M171" s="2408"/>
      <c r="N171" s="2408"/>
      <c r="O171" s="2375"/>
      <c r="P171" s="2375"/>
      <c r="Q171" s="2375"/>
      <c r="R171" s="2375"/>
      <c r="S171" s="2375"/>
      <c r="T171" s="2375"/>
      <c r="U171" s="2407"/>
      <c r="V171" s="2375"/>
      <c r="W171" s="2414"/>
      <c r="X171" s="2414"/>
      <c r="Y171" s="2414"/>
      <c r="Z171" s="2375"/>
      <c r="AA171" s="2413"/>
      <c r="AB171" s="2375"/>
      <c r="AC171" s="2375"/>
      <c r="AD171" s="2375"/>
      <c r="AE171" s="2375"/>
      <c r="AF171" s="2375"/>
      <c r="AG171" s="2375"/>
      <c r="AH171" s="2375"/>
      <c r="AI171" s="2375"/>
      <c r="AJ171" s="2375"/>
      <c r="AK171" s="2375"/>
      <c r="AL171" s="2375"/>
      <c r="AM171" s="2375"/>
      <c r="AN171" s="2375"/>
      <c r="AO171" s="2375"/>
      <c r="AP171" s="2375"/>
      <c r="AQ171" s="2375"/>
      <c r="AR171" s="2375"/>
      <c r="AS171" s="2375"/>
      <c r="AT171" s="2375"/>
      <c r="AU171" s="2375"/>
      <c r="AV171" s="2375"/>
      <c r="AW171" s="2375"/>
      <c r="AX171" s="2375"/>
      <c r="AY171" s="2375"/>
      <c r="AZ171" s="2375"/>
      <c r="BA171" s="2375"/>
      <c r="BB171" s="2375"/>
      <c r="BC171" s="2375"/>
      <c r="BD171" s="2375"/>
      <c r="BE171" s="2375"/>
      <c r="BF171" s="2375"/>
      <c r="BG171" s="2375"/>
      <c r="BH171" s="2375"/>
      <c r="BI171" s="2414"/>
      <c r="BJ171" s="2414"/>
      <c r="BK171" s="2375"/>
      <c r="BL171" s="2375"/>
      <c r="BM171" s="2375"/>
      <c r="BN171" s="2375"/>
      <c r="BO171" s="2375"/>
      <c r="BP171" s="2375"/>
      <c r="BQ171" s="2375"/>
      <c r="BR171" s="2434"/>
    </row>
    <row r="172" spans="1:70" ht="60" x14ac:dyDescent="0.2">
      <c r="A172" s="2445"/>
      <c r="B172" s="1596"/>
      <c r="C172" s="1737"/>
      <c r="D172" s="1596"/>
      <c r="E172" s="1737"/>
      <c r="F172" s="1596"/>
      <c r="G172" s="2425"/>
      <c r="H172" s="2425"/>
      <c r="I172" s="2426"/>
      <c r="J172" s="4599">
        <v>151</v>
      </c>
      <c r="K172" s="4679" t="s">
        <v>2210</v>
      </c>
      <c r="L172" s="4720" t="s">
        <v>1974</v>
      </c>
      <c r="M172" s="3594">
        <v>12</v>
      </c>
      <c r="N172" s="3594">
        <v>0</v>
      </c>
      <c r="O172" s="4605" t="s">
        <v>2211</v>
      </c>
      <c r="P172" s="4605" t="s">
        <v>2212</v>
      </c>
      <c r="Q172" s="4602" t="s">
        <v>2213</v>
      </c>
      <c r="R172" s="4698">
        <f>+(W172+W173+W174+W175)/S172</f>
        <v>8.6171475688819082E-2</v>
      </c>
      <c r="S172" s="4641">
        <v>974800528</v>
      </c>
      <c r="T172" s="4602" t="s">
        <v>2214</v>
      </c>
      <c r="U172" s="4602" t="s">
        <v>2215</v>
      </c>
      <c r="V172" s="2384" t="s">
        <v>2216</v>
      </c>
      <c r="W172" s="993">
        <v>15000000</v>
      </c>
      <c r="X172" s="1621">
        <v>15000000</v>
      </c>
      <c r="Y172" s="1621">
        <v>1553800</v>
      </c>
      <c r="Z172" s="2385">
        <v>61</v>
      </c>
      <c r="AA172" s="2417" t="s">
        <v>1981</v>
      </c>
      <c r="AB172" s="4608">
        <v>292684</v>
      </c>
      <c r="AC172" s="4714">
        <f>SUM(AB172*0.3)</f>
        <v>87805.2</v>
      </c>
      <c r="AD172" s="4608">
        <v>282326</v>
      </c>
      <c r="AE172" s="4714">
        <f>SUM(AD172*0.3)</f>
        <v>84697.8</v>
      </c>
      <c r="AF172" s="4608">
        <v>135912</v>
      </c>
      <c r="AG172" s="4714">
        <f>SUM(AF172*0.3)</f>
        <v>40773.599999999999</v>
      </c>
      <c r="AH172" s="4608">
        <v>45122</v>
      </c>
      <c r="AI172" s="4714">
        <f>SUM(AH172*0.3)</f>
        <v>13536.6</v>
      </c>
      <c r="AJ172" s="4608">
        <v>307101</v>
      </c>
      <c r="AK172" s="4714">
        <v>92130.3</v>
      </c>
      <c r="AL172" s="4608">
        <v>86875</v>
      </c>
      <c r="AM172" s="4714">
        <v>26062.5</v>
      </c>
      <c r="AN172" s="4608">
        <v>2145</v>
      </c>
      <c r="AO172" s="4714">
        <f>SUM(AN172*0.3)</f>
        <v>643.5</v>
      </c>
      <c r="AP172" s="4608">
        <v>12718</v>
      </c>
      <c r="AQ172" s="4714">
        <f>SUM(AP172*0.3)</f>
        <v>3815.3999999999996</v>
      </c>
      <c r="AR172" s="4608">
        <v>26</v>
      </c>
      <c r="AS172" s="4714">
        <f>SUM(AR172*0.3)</f>
        <v>7.8</v>
      </c>
      <c r="AT172" s="4608">
        <v>37</v>
      </c>
      <c r="AU172" s="4714">
        <f>SUM(AT172*0.3)</f>
        <v>11.1</v>
      </c>
      <c r="AV172" s="4608" t="s">
        <v>2015</v>
      </c>
      <c r="AW172" s="4714" t="s">
        <v>2015</v>
      </c>
      <c r="AX172" s="4608" t="s">
        <v>2015</v>
      </c>
      <c r="AY172" s="4714" t="s">
        <v>2015</v>
      </c>
      <c r="AZ172" s="4608">
        <v>53164</v>
      </c>
      <c r="BA172" s="4714">
        <f>SUM(AZ172*0.3)</f>
        <v>15949.199999999999</v>
      </c>
      <c r="BB172" s="4608">
        <v>16982</v>
      </c>
      <c r="BC172" s="4714">
        <f>SUM(BB172*0.3)</f>
        <v>5094.5999999999995</v>
      </c>
      <c r="BD172" s="4608">
        <v>60013</v>
      </c>
      <c r="BE172" s="4714">
        <f>SUM(BD172*0.3)</f>
        <v>18003.899999999998</v>
      </c>
      <c r="BF172" s="4608">
        <v>575010</v>
      </c>
      <c r="BG172" s="4714">
        <f>SUM(BF172*0.3)</f>
        <v>172503</v>
      </c>
      <c r="BH172" s="4006">
        <v>15</v>
      </c>
      <c r="BI172" s="4667">
        <f>SUM(X172:X184)</f>
        <v>347095000</v>
      </c>
      <c r="BJ172" s="4667">
        <f>SUM(Y172:Y184)</f>
        <v>28703000</v>
      </c>
      <c r="BK172" s="4669">
        <f>+BJ172/BI172</f>
        <v>8.2694939425805622E-2</v>
      </c>
      <c r="BL172" s="4006" t="s">
        <v>2217</v>
      </c>
      <c r="BM172" s="4666" t="s">
        <v>1982</v>
      </c>
      <c r="BN172" s="4721">
        <v>43466</v>
      </c>
      <c r="BO172" s="4721">
        <v>43467</v>
      </c>
      <c r="BP172" s="4721">
        <v>43830</v>
      </c>
      <c r="BQ172" s="4724">
        <v>43830</v>
      </c>
      <c r="BR172" s="3190" t="s">
        <v>1983</v>
      </c>
    </row>
    <row r="173" spans="1:70" ht="53.25" customHeight="1" x14ac:dyDescent="0.2">
      <c r="A173" s="2445"/>
      <c r="B173" s="1596"/>
      <c r="C173" s="1737"/>
      <c r="D173" s="1596"/>
      <c r="E173" s="1737"/>
      <c r="F173" s="1596"/>
      <c r="G173" s="2428"/>
      <c r="H173" s="2428"/>
      <c r="I173" s="2429"/>
      <c r="J173" s="4600"/>
      <c r="K173" s="4680"/>
      <c r="L173" s="4720"/>
      <c r="M173" s="3595"/>
      <c r="N173" s="3595"/>
      <c r="O173" s="4606"/>
      <c r="P173" s="4606"/>
      <c r="Q173" s="4603"/>
      <c r="R173" s="4699"/>
      <c r="S173" s="4642"/>
      <c r="T173" s="4603"/>
      <c r="U173" s="4603"/>
      <c r="V173" s="4693" t="s">
        <v>2218</v>
      </c>
      <c r="W173" s="993">
        <v>36000000</v>
      </c>
      <c r="X173" s="1621">
        <v>27980000</v>
      </c>
      <c r="Y173" s="1621">
        <v>2798000</v>
      </c>
      <c r="Z173" s="2385">
        <v>20</v>
      </c>
      <c r="AA173" s="2451" t="s">
        <v>71</v>
      </c>
      <c r="AB173" s="4609"/>
      <c r="AC173" s="4715"/>
      <c r="AD173" s="4609"/>
      <c r="AE173" s="4715"/>
      <c r="AF173" s="4609"/>
      <c r="AG173" s="4715"/>
      <c r="AH173" s="4609"/>
      <c r="AI173" s="4715"/>
      <c r="AJ173" s="4609">
        <v>307101</v>
      </c>
      <c r="AK173" s="4715">
        <v>92130.3</v>
      </c>
      <c r="AL173" s="4609">
        <v>86875</v>
      </c>
      <c r="AM173" s="4715">
        <v>26062.5</v>
      </c>
      <c r="AN173" s="4609"/>
      <c r="AO173" s="4715"/>
      <c r="AP173" s="4609"/>
      <c r="AQ173" s="4715"/>
      <c r="AR173" s="4609"/>
      <c r="AS173" s="4715"/>
      <c r="AT173" s="4609"/>
      <c r="AU173" s="4715"/>
      <c r="AV173" s="4609"/>
      <c r="AW173" s="4715"/>
      <c r="AX173" s="4609"/>
      <c r="AY173" s="4715"/>
      <c r="AZ173" s="4609"/>
      <c r="BA173" s="4715"/>
      <c r="BB173" s="4609"/>
      <c r="BC173" s="4715"/>
      <c r="BD173" s="4609"/>
      <c r="BE173" s="4715"/>
      <c r="BF173" s="4609"/>
      <c r="BG173" s="4715"/>
      <c r="BH173" s="4665"/>
      <c r="BI173" s="4668"/>
      <c r="BJ173" s="4668"/>
      <c r="BK173" s="4670"/>
      <c r="BL173" s="4665"/>
      <c r="BM173" s="4365"/>
      <c r="BN173" s="4722"/>
      <c r="BO173" s="4722"/>
      <c r="BP173" s="4722"/>
      <c r="BQ173" s="4365"/>
      <c r="BR173" s="3595"/>
    </row>
    <row r="174" spans="1:70" ht="63.75" customHeight="1" x14ac:dyDescent="0.2">
      <c r="A174" s="2445"/>
      <c r="B174" s="1596"/>
      <c r="C174" s="1737"/>
      <c r="D174" s="1596"/>
      <c r="E174" s="1737"/>
      <c r="F174" s="1596"/>
      <c r="G174" s="2428"/>
      <c r="H174" s="2428"/>
      <c r="I174" s="2429"/>
      <c r="J174" s="4600"/>
      <c r="K174" s="4680"/>
      <c r="L174" s="4720"/>
      <c r="M174" s="3595"/>
      <c r="N174" s="3595"/>
      <c r="O174" s="4606"/>
      <c r="P174" s="4606"/>
      <c r="Q174" s="4603"/>
      <c r="R174" s="4699"/>
      <c r="S174" s="4642"/>
      <c r="T174" s="4603"/>
      <c r="U174" s="4603"/>
      <c r="V174" s="4694"/>
      <c r="W174" s="993">
        <v>9000000</v>
      </c>
      <c r="X174" s="1621">
        <v>7769000</v>
      </c>
      <c r="Y174" s="1621">
        <v>1553800</v>
      </c>
      <c r="Z174" s="2385">
        <v>61</v>
      </c>
      <c r="AA174" s="2417" t="s">
        <v>1981</v>
      </c>
      <c r="AB174" s="4609"/>
      <c r="AC174" s="4715"/>
      <c r="AD174" s="4609"/>
      <c r="AE174" s="4715"/>
      <c r="AF174" s="4609"/>
      <c r="AG174" s="4715"/>
      <c r="AH174" s="4609"/>
      <c r="AI174" s="4715"/>
      <c r="AJ174" s="4609">
        <v>307101</v>
      </c>
      <c r="AK174" s="4715">
        <v>92130.3</v>
      </c>
      <c r="AL174" s="4609">
        <v>86875</v>
      </c>
      <c r="AM174" s="4715">
        <v>26062.5</v>
      </c>
      <c r="AN174" s="4609"/>
      <c r="AO174" s="4715"/>
      <c r="AP174" s="4609"/>
      <c r="AQ174" s="4715"/>
      <c r="AR174" s="4609"/>
      <c r="AS174" s="4715"/>
      <c r="AT174" s="4609"/>
      <c r="AU174" s="4715"/>
      <c r="AV174" s="4609"/>
      <c r="AW174" s="4715"/>
      <c r="AX174" s="4609"/>
      <c r="AY174" s="4715"/>
      <c r="AZ174" s="4609"/>
      <c r="BA174" s="4715"/>
      <c r="BB174" s="4609"/>
      <c r="BC174" s="4715"/>
      <c r="BD174" s="4609"/>
      <c r="BE174" s="4715"/>
      <c r="BF174" s="4609"/>
      <c r="BG174" s="4715"/>
      <c r="BH174" s="4665"/>
      <c r="BI174" s="4668"/>
      <c r="BJ174" s="4668"/>
      <c r="BK174" s="4670"/>
      <c r="BL174" s="4665"/>
      <c r="BM174" s="4365"/>
      <c r="BN174" s="4722"/>
      <c r="BO174" s="4722"/>
      <c r="BP174" s="4722"/>
      <c r="BQ174" s="4365"/>
      <c r="BR174" s="3595"/>
    </row>
    <row r="175" spans="1:70" ht="75" x14ac:dyDescent="0.2">
      <c r="A175" s="2445"/>
      <c r="B175" s="1596"/>
      <c r="C175" s="1737"/>
      <c r="D175" s="1596"/>
      <c r="E175" s="1737"/>
      <c r="F175" s="1596"/>
      <c r="G175" s="2428"/>
      <c r="H175" s="2428"/>
      <c r="I175" s="2429"/>
      <c r="J175" s="4601"/>
      <c r="K175" s="4681"/>
      <c r="L175" s="4720"/>
      <c r="M175" s="3596"/>
      <c r="N175" s="3596"/>
      <c r="O175" s="4606"/>
      <c r="P175" s="4606"/>
      <c r="Q175" s="4603"/>
      <c r="R175" s="4700"/>
      <c r="S175" s="4642"/>
      <c r="T175" s="4603"/>
      <c r="U175" s="4604"/>
      <c r="V175" s="2384" t="s">
        <v>2219</v>
      </c>
      <c r="W175" s="993">
        <v>24000000</v>
      </c>
      <c r="X175" s="1621">
        <f>SUM(7769000*2)+538000</f>
        <v>16076000</v>
      </c>
      <c r="Y175" s="1621">
        <f>1553800+3107600</f>
        <v>4661400</v>
      </c>
      <c r="Z175" s="2385">
        <v>61</v>
      </c>
      <c r="AA175" s="2417" t="s">
        <v>1981</v>
      </c>
      <c r="AB175" s="4609"/>
      <c r="AC175" s="4715"/>
      <c r="AD175" s="4609"/>
      <c r="AE175" s="4715"/>
      <c r="AF175" s="4609"/>
      <c r="AG175" s="4715"/>
      <c r="AH175" s="4609"/>
      <c r="AI175" s="4715"/>
      <c r="AJ175" s="4609">
        <v>307101</v>
      </c>
      <c r="AK175" s="4715">
        <v>92130.3</v>
      </c>
      <c r="AL175" s="4609">
        <v>86875</v>
      </c>
      <c r="AM175" s="4715">
        <v>26062.5</v>
      </c>
      <c r="AN175" s="4609"/>
      <c r="AO175" s="4715"/>
      <c r="AP175" s="4609"/>
      <c r="AQ175" s="4715"/>
      <c r="AR175" s="4609"/>
      <c r="AS175" s="4715"/>
      <c r="AT175" s="4609"/>
      <c r="AU175" s="4715"/>
      <c r="AV175" s="4609"/>
      <c r="AW175" s="4715"/>
      <c r="AX175" s="4609"/>
      <c r="AY175" s="4715"/>
      <c r="AZ175" s="4609"/>
      <c r="BA175" s="4715"/>
      <c r="BB175" s="4609"/>
      <c r="BC175" s="4715"/>
      <c r="BD175" s="4609"/>
      <c r="BE175" s="4715"/>
      <c r="BF175" s="4609"/>
      <c r="BG175" s="4715"/>
      <c r="BH175" s="4665"/>
      <c r="BI175" s="4668"/>
      <c r="BJ175" s="4668"/>
      <c r="BK175" s="4670"/>
      <c r="BL175" s="4665"/>
      <c r="BM175" s="4365"/>
      <c r="BN175" s="4722"/>
      <c r="BO175" s="4722"/>
      <c r="BP175" s="4722"/>
      <c r="BQ175" s="4365"/>
      <c r="BR175" s="3595"/>
    </row>
    <row r="176" spans="1:70" ht="75" x14ac:dyDescent="0.2">
      <c r="A176" s="2445"/>
      <c r="B176" s="1596"/>
      <c r="C176" s="1737"/>
      <c r="D176" s="1596"/>
      <c r="E176" s="1737"/>
      <c r="F176" s="1596"/>
      <c r="G176" s="2428"/>
      <c r="H176" s="2428"/>
      <c r="I176" s="2429"/>
      <c r="J176" s="2415">
        <v>152</v>
      </c>
      <c r="K176" s="2462" t="s">
        <v>2220</v>
      </c>
      <c r="L176" s="2437" t="s">
        <v>1974</v>
      </c>
      <c r="M176" s="202">
        <v>1</v>
      </c>
      <c r="N176" s="202">
        <v>0</v>
      </c>
      <c r="O176" s="4606"/>
      <c r="P176" s="4606"/>
      <c r="Q176" s="4603"/>
      <c r="R176" s="2463">
        <f>+(W176/S172)</f>
        <v>4.9240843250753757E-2</v>
      </c>
      <c r="S176" s="4642"/>
      <c r="T176" s="4603"/>
      <c r="U176" s="4602" t="s">
        <v>2221</v>
      </c>
      <c r="V176" s="2384" t="s">
        <v>2222</v>
      </c>
      <c r="W176" s="993">
        <v>48000000</v>
      </c>
      <c r="X176" s="1621">
        <v>39590000</v>
      </c>
      <c r="Y176" s="1621">
        <v>7918000</v>
      </c>
      <c r="Z176" s="2385">
        <v>61</v>
      </c>
      <c r="AA176" s="2417" t="s">
        <v>1981</v>
      </c>
      <c r="AB176" s="4609"/>
      <c r="AC176" s="4715"/>
      <c r="AD176" s="4609"/>
      <c r="AE176" s="4715"/>
      <c r="AF176" s="4609"/>
      <c r="AG176" s="4715"/>
      <c r="AH176" s="4609"/>
      <c r="AI176" s="4715"/>
      <c r="AJ176" s="4609">
        <v>307101</v>
      </c>
      <c r="AK176" s="4715">
        <v>92130.3</v>
      </c>
      <c r="AL176" s="4609">
        <v>86875</v>
      </c>
      <c r="AM176" s="4715">
        <v>26062.5</v>
      </c>
      <c r="AN176" s="4609"/>
      <c r="AO176" s="4715"/>
      <c r="AP176" s="4609"/>
      <c r="AQ176" s="4715"/>
      <c r="AR176" s="4609"/>
      <c r="AS176" s="4715"/>
      <c r="AT176" s="4609"/>
      <c r="AU176" s="4715"/>
      <c r="AV176" s="4609"/>
      <c r="AW176" s="4715"/>
      <c r="AX176" s="4609"/>
      <c r="AY176" s="4715"/>
      <c r="AZ176" s="4609"/>
      <c r="BA176" s="4715"/>
      <c r="BB176" s="4609"/>
      <c r="BC176" s="4715"/>
      <c r="BD176" s="4609"/>
      <c r="BE176" s="4715"/>
      <c r="BF176" s="4609"/>
      <c r="BG176" s="4715"/>
      <c r="BH176" s="4665"/>
      <c r="BI176" s="4668"/>
      <c r="BJ176" s="4668"/>
      <c r="BK176" s="4670"/>
      <c r="BL176" s="4665"/>
      <c r="BM176" s="4365"/>
      <c r="BN176" s="4722"/>
      <c r="BO176" s="4722"/>
      <c r="BP176" s="4722"/>
      <c r="BQ176" s="4365"/>
      <c r="BR176" s="3595"/>
    </row>
    <row r="177" spans="1:70" ht="60" x14ac:dyDescent="0.2">
      <c r="A177" s="2445"/>
      <c r="B177" s="1596"/>
      <c r="C177" s="1737"/>
      <c r="D177" s="1596"/>
      <c r="E177" s="1737"/>
      <c r="F177" s="1596"/>
      <c r="G177" s="2428"/>
      <c r="H177" s="2428"/>
      <c r="I177" s="2429"/>
      <c r="J177" s="4631">
        <v>153</v>
      </c>
      <c r="K177" s="4679" t="s">
        <v>2223</v>
      </c>
      <c r="L177" s="4606" t="s">
        <v>1974</v>
      </c>
      <c r="M177" s="3594">
        <v>150</v>
      </c>
      <c r="N177" s="3594">
        <v>43</v>
      </c>
      <c r="O177" s="4606"/>
      <c r="P177" s="4606"/>
      <c r="Q177" s="4603"/>
      <c r="R177" s="4669">
        <f>+(W177+W178+W179+W180+W181+W182+W183+W184)/S172</f>
        <v>0.86458768106042716</v>
      </c>
      <c r="S177" s="4642"/>
      <c r="T177" s="4603"/>
      <c r="U177" s="4603"/>
      <c r="V177" s="2384" t="s">
        <v>2224</v>
      </c>
      <c r="W177" s="993">
        <v>24000000</v>
      </c>
      <c r="X177" s="1621">
        <v>24000000</v>
      </c>
      <c r="Y177" s="1621">
        <v>1320000</v>
      </c>
      <c r="Z177" s="2385">
        <v>63</v>
      </c>
      <c r="AA177" s="2417" t="s">
        <v>2225</v>
      </c>
      <c r="AB177" s="4609"/>
      <c r="AC177" s="4715"/>
      <c r="AD177" s="4609"/>
      <c r="AE177" s="4715"/>
      <c r="AF177" s="4609"/>
      <c r="AG177" s="4715"/>
      <c r="AH177" s="4609"/>
      <c r="AI177" s="4715"/>
      <c r="AJ177" s="4609">
        <v>307101</v>
      </c>
      <c r="AK177" s="4715">
        <v>92130.3</v>
      </c>
      <c r="AL177" s="4609">
        <v>86875</v>
      </c>
      <c r="AM177" s="4715">
        <v>26062.5</v>
      </c>
      <c r="AN177" s="4609"/>
      <c r="AO177" s="4715"/>
      <c r="AP177" s="4609"/>
      <c r="AQ177" s="4715"/>
      <c r="AR177" s="4609"/>
      <c r="AS177" s="4715"/>
      <c r="AT177" s="4609"/>
      <c r="AU177" s="4715"/>
      <c r="AV177" s="4609"/>
      <c r="AW177" s="4715"/>
      <c r="AX177" s="4609"/>
      <c r="AY177" s="4715"/>
      <c r="AZ177" s="4609"/>
      <c r="BA177" s="4715"/>
      <c r="BB177" s="4609"/>
      <c r="BC177" s="4715"/>
      <c r="BD177" s="4609"/>
      <c r="BE177" s="4715"/>
      <c r="BF177" s="4609"/>
      <c r="BG177" s="4715"/>
      <c r="BH177" s="4665"/>
      <c r="BI177" s="4668"/>
      <c r="BJ177" s="4668"/>
      <c r="BK177" s="4670"/>
      <c r="BL177" s="4665"/>
      <c r="BM177" s="4365"/>
      <c r="BN177" s="4722"/>
      <c r="BO177" s="4722"/>
      <c r="BP177" s="4722"/>
      <c r="BQ177" s="4365"/>
      <c r="BR177" s="3595"/>
    </row>
    <row r="178" spans="1:70" ht="30" x14ac:dyDescent="0.2">
      <c r="A178" s="2445"/>
      <c r="B178" s="1596"/>
      <c r="C178" s="1737"/>
      <c r="D178" s="1596"/>
      <c r="E178" s="1737"/>
      <c r="F178" s="1596"/>
      <c r="G178" s="2428"/>
      <c r="H178" s="2428"/>
      <c r="I178" s="2429"/>
      <c r="J178" s="4631"/>
      <c r="K178" s="4680"/>
      <c r="L178" s="4606"/>
      <c r="M178" s="3595"/>
      <c r="N178" s="3595"/>
      <c r="O178" s="4606"/>
      <c r="P178" s="4606"/>
      <c r="Q178" s="4603"/>
      <c r="R178" s="4670"/>
      <c r="S178" s="4642"/>
      <c r="T178" s="4603"/>
      <c r="U178" s="4603"/>
      <c r="V178" s="2384" t="s">
        <v>2226</v>
      </c>
      <c r="W178" s="993">
        <v>718800528</v>
      </c>
      <c r="X178" s="1621">
        <f>122690000+20000000</f>
        <v>142690000</v>
      </c>
      <c r="Y178" s="1621">
        <f>1320000+11771800-9471800+1320000</f>
        <v>4940000</v>
      </c>
      <c r="Z178" s="2385">
        <v>63</v>
      </c>
      <c r="AA178" s="2417" t="s">
        <v>2225</v>
      </c>
      <c r="AB178" s="4609"/>
      <c r="AC178" s="4715"/>
      <c r="AD178" s="4609"/>
      <c r="AE178" s="4715"/>
      <c r="AF178" s="4609"/>
      <c r="AG178" s="4715"/>
      <c r="AH178" s="4609"/>
      <c r="AI178" s="4715"/>
      <c r="AJ178" s="4609">
        <v>307101</v>
      </c>
      <c r="AK178" s="4715">
        <v>92130.3</v>
      </c>
      <c r="AL178" s="4609">
        <v>86875</v>
      </c>
      <c r="AM178" s="4715">
        <v>26062.5</v>
      </c>
      <c r="AN178" s="4609"/>
      <c r="AO178" s="4715"/>
      <c r="AP178" s="4609"/>
      <c r="AQ178" s="4715"/>
      <c r="AR178" s="4609"/>
      <c r="AS178" s="4715"/>
      <c r="AT178" s="4609"/>
      <c r="AU178" s="4715"/>
      <c r="AV178" s="4609"/>
      <c r="AW178" s="4715"/>
      <c r="AX178" s="4609"/>
      <c r="AY178" s="4715"/>
      <c r="AZ178" s="4609"/>
      <c r="BA178" s="4715"/>
      <c r="BB178" s="4609"/>
      <c r="BC178" s="4715"/>
      <c r="BD178" s="4609"/>
      <c r="BE178" s="4715"/>
      <c r="BF178" s="4609"/>
      <c r="BG178" s="4715"/>
      <c r="BH178" s="4665"/>
      <c r="BI178" s="4668"/>
      <c r="BJ178" s="4668"/>
      <c r="BK178" s="4670"/>
      <c r="BL178" s="4665"/>
      <c r="BM178" s="4365"/>
      <c r="BN178" s="4722"/>
      <c r="BO178" s="4722"/>
      <c r="BP178" s="4722"/>
      <c r="BQ178" s="4365"/>
      <c r="BR178" s="3595"/>
    </row>
    <row r="179" spans="1:70" ht="45" customHeight="1" x14ac:dyDescent="0.2">
      <c r="A179" s="2445"/>
      <c r="B179" s="1596"/>
      <c r="C179" s="1737"/>
      <c r="D179" s="1596"/>
      <c r="E179" s="1737"/>
      <c r="F179" s="1596"/>
      <c r="G179" s="2428"/>
      <c r="H179" s="2428"/>
      <c r="I179" s="2429"/>
      <c r="J179" s="4631"/>
      <c r="K179" s="4680"/>
      <c r="L179" s="4606"/>
      <c r="M179" s="3595"/>
      <c r="N179" s="3595"/>
      <c r="O179" s="4606"/>
      <c r="P179" s="4606"/>
      <c r="Q179" s="4603"/>
      <c r="R179" s="4670"/>
      <c r="S179" s="4642"/>
      <c r="T179" s="4603"/>
      <c r="U179" s="4603"/>
      <c r="V179" s="2384" t="s">
        <v>2227</v>
      </c>
      <c r="W179" s="993">
        <v>0</v>
      </c>
      <c r="X179" s="1621">
        <v>0</v>
      </c>
      <c r="Y179" s="1621">
        <v>0</v>
      </c>
      <c r="Z179" s="2385">
        <v>63</v>
      </c>
      <c r="AA179" s="2417" t="s">
        <v>2225</v>
      </c>
      <c r="AB179" s="4609"/>
      <c r="AC179" s="4715"/>
      <c r="AD179" s="4609"/>
      <c r="AE179" s="4715"/>
      <c r="AF179" s="4609"/>
      <c r="AG179" s="4715"/>
      <c r="AH179" s="4609"/>
      <c r="AI179" s="4715"/>
      <c r="AJ179" s="4609">
        <v>307101</v>
      </c>
      <c r="AK179" s="4715">
        <v>92130.3</v>
      </c>
      <c r="AL179" s="4609">
        <v>86875</v>
      </c>
      <c r="AM179" s="4715">
        <v>26062.5</v>
      </c>
      <c r="AN179" s="4609"/>
      <c r="AO179" s="4715"/>
      <c r="AP179" s="4609"/>
      <c r="AQ179" s="4715"/>
      <c r="AR179" s="4609"/>
      <c r="AS179" s="4715"/>
      <c r="AT179" s="4609"/>
      <c r="AU179" s="4715"/>
      <c r="AV179" s="4609"/>
      <c r="AW179" s="4715"/>
      <c r="AX179" s="4609"/>
      <c r="AY179" s="4715"/>
      <c r="AZ179" s="4609"/>
      <c r="BA179" s="4715"/>
      <c r="BB179" s="4609"/>
      <c r="BC179" s="4715"/>
      <c r="BD179" s="4609"/>
      <c r="BE179" s="4715"/>
      <c r="BF179" s="4609"/>
      <c r="BG179" s="4715"/>
      <c r="BH179" s="4665"/>
      <c r="BI179" s="4668"/>
      <c r="BJ179" s="4668"/>
      <c r="BK179" s="4670"/>
      <c r="BL179" s="4665"/>
      <c r="BM179" s="4365"/>
      <c r="BN179" s="4722"/>
      <c r="BO179" s="4722"/>
      <c r="BP179" s="4722"/>
      <c r="BQ179" s="4365"/>
      <c r="BR179" s="3595"/>
    </row>
    <row r="180" spans="1:70" ht="63.75" customHeight="1" x14ac:dyDescent="0.2">
      <c r="A180" s="2445"/>
      <c r="B180" s="1596"/>
      <c r="C180" s="1737"/>
      <c r="D180" s="1596"/>
      <c r="E180" s="1737"/>
      <c r="F180" s="1596"/>
      <c r="G180" s="2428"/>
      <c r="H180" s="2428"/>
      <c r="I180" s="2429"/>
      <c r="J180" s="4631"/>
      <c r="K180" s="4680"/>
      <c r="L180" s="4606"/>
      <c r="M180" s="3595"/>
      <c r="N180" s="3595"/>
      <c r="O180" s="4606"/>
      <c r="P180" s="4606"/>
      <c r="Q180" s="4603"/>
      <c r="R180" s="4670"/>
      <c r="S180" s="4642"/>
      <c r="T180" s="4603"/>
      <c r="U180" s="4603"/>
      <c r="V180" s="2384" t="s">
        <v>2228</v>
      </c>
      <c r="W180" s="993">
        <v>20000000</v>
      </c>
      <c r="X180" s="1621">
        <v>0</v>
      </c>
      <c r="Y180" s="1621">
        <v>0</v>
      </c>
      <c r="Z180" s="2385">
        <v>63</v>
      </c>
      <c r="AA180" s="2417" t="s">
        <v>2225</v>
      </c>
      <c r="AB180" s="4609"/>
      <c r="AC180" s="4715"/>
      <c r="AD180" s="4609"/>
      <c r="AE180" s="4715"/>
      <c r="AF180" s="4609"/>
      <c r="AG180" s="4715"/>
      <c r="AH180" s="4609"/>
      <c r="AI180" s="4715"/>
      <c r="AJ180" s="4609"/>
      <c r="AK180" s="4715"/>
      <c r="AL180" s="4609"/>
      <c r="AM180" s="4715"/>
      <c r="AN180" s="4609"/>
      <c r="AO180" s="4715"/>
      <c r="AP180" s="4609"/>
      <c r="AQ180" s="4715"/>
      <c r="AR180" s="4609"/>
      <c r="AS180" s="4715"/>
      <c r="AT180" s="4609"/>
      <c r="AU180" s="4715"/>
      <c r="AV180" s="4609"/>
      <c r="AW180" s="4715"/>
      <c r="AX180" s="4609"/>
      <c r="AY180" s="4715"/>
      <c r="AZ180" s="4609"/>
      <c r="BA180" s="4715"/>
      <c r="BB180" s="4609"/>
      <c r="BC180" s="4715"/>
      <c r="BD180" s="4609"/>
      <c r="BE180" s="4715"/>
      <c r="BF180" s="4609"/>
      <c r="BG180" s="4715"/>
      <c r="BH180" s="4665"/>
      <c r="BI180" s="4668"/>
      <c r="BJ180" s="4668"/>
      <c r="BK180" s="4670"/>
      <c r="BL180" s="4665"/>
      <c r="BM180" s="4365"/>
      <c r="BN180" s="4722"/>
      <c r="BO180" s="4722"/>
      <c r="BP180" s="4722"/>
      <c r="BQ180" s="4365"/>
      <c r="BR180" s="3595"/>
    </row>
    <row r="181" spans="1:70" ht="60" x14ac:dyDescent="0.2">
      <c r="A181" s="2445"/>
      <c r="B181" s="1596"/>
      <c r="C181" s="1737"/>
      <c r="D181" s="1596"/>
      <c r="E181" s="1737"/>
      <c r="F181" s="1596"/>
      <c r="G181" s="2428"/>
      <c r="H181" s="2428"/>
      <c r="I181" s="2429"/>
      <c r="J181" s="4631"/>
      <c r="K181" s="4680"/>
      <c r="L181" s="4606"/>
      <c r="M181" s="3595"/>
      <c r="N181" s="3595"/>
      <c r="O181" s="4606"/>
      <c r="P181" s="4606"/>
      <c r="Q181" s="4603"/>
      <c r="R181" s="4670"/>
      <c r="S181" s="4642"/>
      <c r="T181" s="4603"/>
      <c r="U181" s="4603"/>
      <c r="V181" s="2384" t="s">
        <v>2229</v>
      </c>
      <c r="W181" s="993">
        <v>20000000</v>
      </c>
      <c r="X181" s="1621">
        <v>20000000</v>
      </c>
      <c r="Y181" s="1621">
        <v>1320000</v>
      </c>
      <c r="Z181" s="2385">
        <v>63</v>
      </c>
      <c r="AA181" s="2417" t="s">
        <v>2225</v>
      </c>
      <c r="AB181" s="4609"/>
      <c r="AC181" s="4715"/>
      <c r="AD181" s="4609"/>
      <c r="AE181" s="4715"/>
      <c r="AF181" s="4609"/>
      <c r="AG181" s="4715"/>
      <c r="AH181" s="4609"/>
      <c r="AI181" s="4715"/>
      <c r="AJ181" s="4609">
        <v>307101</v>
      </c>
      <c r="AK181" s="4715">
        <v>92130.3</v>
      </c>
      <c r="AL181" s="4609">
        <v>86875</v>
      </c>
      <c r="AM181" s="4715">
        <v>26062.5</v>
      </c>
      <c r="AN181" s="4609"/>
      <c r="AO181" s="4715"/>
      <c r="AP181" s="4609"/>
      <c r="AQ181" s="4715"/>
      <c r="AR181" s="4609"/>
      <c r="AS181" s="4715"/>
      <c r="AT181" s="4609"/>
      <c r="AU181" s="4715"/>
      <c r="AV181" s="4609"/>
      <c r="AW181" s="4715"/>
      <c r="AX181" s="4609"/>
      <c r="AY181" s="4715"/>
      <c r="AZ181" s="4609"/>
      <c r="BA181" s="4715"/>
      <c r="BB181" s="4609"/>
      <c r="BC181" s="4715"/>
      <c r="BD181" s="4609"/>
      <c r="BE181" s="4715"/>
      <c r="BF181" s="4609"/>
      <c r="BG181" s="4715"/>
      <c r="BH181" s="4665"/>
      <c r="BI181" s="4668"/>
      <c r="BJ181" s="4668"/>
      <c r="BK181" s="4670"/>
      <c r="BL181" s="4665"/>
      <c r="BM181" s="4365"/>
      <c r="BN181" s="4722"/>
      <c r="BO181" s="4722"/>
      <c r="BP181" s="4722"/>
      <c r="BQ181" s="4365"/>
      <c r="BR181" s="3595"/>
    </row>
    <row r="182" spans="1:70" ht="93.75" customHeight="1" x14ac:dyDescent="0.2">
      <c r="A182" s="2445"/>
      <c r="B182" s="1596"/>
      <c r="C182" s="1737"/>
      <c r="D182" s="1596"/>
      <c r="E182" s="1737"/>
      <c r="F182" s="1596"/>
      <c r="G182" s="2428"/>
      <c r="H182" s="2428"/>
      <c r="I182" s="2429"/>
      <c r="J182" s="4631"/>
      <c r="K182" s="4680"/>
      <c r="L182" s="4606"/>
      <c r="M182" s="3595"/>
      <c r="N182" s="3595"/>
      <c r="O182" s="4606"/>
      <c r="P182" s="4606"/>
      <c r="Q182" s="4603"/>
      <c r="R182" s="4670"/>
      <c r="S182" s="4642"/>
      <c r="T182" s="4603"/>
      <c r="U182" s="4603"/>
      <c r="V182" s="2384" t="s">
        <v>2230</v>
      </c>
      <c r="W182" s="993">
        <v>20000000</v>
      </c>
      <c r="X182" s="1621">
        <v>20000000</v>
      </c>
      <c r="Y182" s="1621">
        <v>1319000</v>
      </c>
      <c r="Z182" s="2385">
        <v>63</v>
      </c>
      <c r="AA182" s="2417" t="s">
        <v>2225</v>
      </c>
      <c r="AB182" s="4609"/>
      <c r="AC182" s="4715"/>
      <c r="AD182" s="4609"/>
      <c r="AE182" s="4715"/>
      <c r="AF182" s="4609"/>
      <c r="AG182" s="4715"/>
      <c r="AH182" s="4609"/>
      <c r="AI182" s="4715"/>
      <c r="AJ182" s="4609">
        <v>307101</v>
      </c>
      <c r="AK182" s="4715">
        <v>92130.3</v>
      </c>
      <c r="AL182" s="4609">
        <v>86875</v>
      </c>
      <c r="AM182" s="4715">
        <v>26062.5</v>
      </c>
      <c r="AN182" s="4609"/>
      <c r="AO182" s="4715"/>
      <c r="AP182" s="4609"/>
      <c r="AQ182" s="4715"/>
      <c r="AR182" s="4609"/>
      <c r="AS182" s="4715"/>
      <c r="AT182" s="4609"/>
      <c r="AU182" s="4715"/>
      <c r="AV182" s="4609"/>
      <c r="AW182" s="4715"/>
      <c r="AX182" s="4609"/>
      <c r="AY182" s="4715"/>
      <c r="AZ182" s="4609"/>
      <c r="BA182" s="4715"/>
      <c r="BB182" s="4609"/>
      <c r="BC182" s="4715"/>
      <c r="BD182" s="4609"/>
      <c r="BE182" s="4715"/>
      <c r="BF182" s="4609"/>
      <c r="BG182" s="4715"/>
      <c r="BH182" s="4665"/>
      <c r="BI182" s="4668"/>
      <c r="BJ182" s="4668"/>
      <c r="BK182" s="4670"/>
      <c r="BL182" s="4665"/>
      <c r="BM182" s="4365"/>
      <c r="BN182" s="4722"/>
      <c r="BO182" s="4722"/>
      <c r="BP182" s="4722"/>
      <c r="BQ182" s="4365"/>
      <c r="BR182" s="3595"/>
    </row>
    <row r="183" spans="1:70" ht="61.5" customHeight="1" x14ac:dyDescent="0.2">
      <c r="A183" s="2445"/>
      <c r="B183" s="1596"/>
      <c r="C183" s="1737"/>
      <c r="D183" s="1596"/>
      <c r="E183" s="1737"/>
      <c r="F183" s="1596"/>
      <c r="G183" s="2428"/>
      <c r="H183" s="2428"/>
      <c r="I183" s="2429"/>
      <c r="J183" s="4631"/>
      <c r="K183" s="4680"/>
      <c r="L183" s="4606"/>
      <c r="M183" s="3595"/>
      <c r="N183" s="3595"/>
      <c r="O183" s="4606"/>
      <c r="P183" s="4606"/>
      <c r="Q183" s="4603"/>
      <c r="R183" s="4670"/>
      <c r="S183" s="4642"/>
      <c r="T183" s="4603"/>
      <c r="U183" s="4603"/>
      <c r="V183" s="2384" t="s">
        <v>2231</v>
      </c>
      <c r="W183" s="993">
        <v>20000000</v>
      </c>
      <c r="X183" s="1621">
        <v>20000000</v>
      </c>
      <c r="Y183" s="1621">
        <v>1319000</v>
      </c>
      <c r="Z183" s="2385">
        <v>63</v>
      </c>
      <c r="AA183" s="2417" t="s">
        <v>2225</v>
      </c>
      <c r="AB183" s="4609"/>
      <c r="AC183" s="4715"/>
      <c r="AD183" s="4609"/>
      <c r="AE183" s="4715"/>
      <c r="AF183" s="4609"/>
      <c r="AG183" s="4715"/>
      <c r="AH183" s="4609"/>
      <c r="AI183" s="4715"/>
      <c r="AJ183" s="4609">
        <v>307101</v>
      </c>
      <c r="AK183" s="4715">
        <v>92130.3</v>
      </c>
      <c r="AL183" s="4609">
        <v>86875</v>
      </c>
      <c r="AM183" s="4715">
        <v>26062.5</v>
      </c>
      <c r="AN183" s="4609"/>
      <c r="AO183" s="4715"/>
      <c r="AP183" s="4609"/>
      <c r="AQ183" s="4715"/>
      <c r="AR183" s="4609"/>
      <c r="AS183" s="4715"/>
      <c r="AT183" s="4609"/>
      <c r="AU183" s="4715"/>
      <c r="AV183" s="4609"/>
      <c r="AW183" s="4715"/>
      <c r="AX183" s="4609"/>
      <c r="AY183" s="4715"/>
      <c r="AZ183" s="4609"/>
      <c r="BA183" s="4715"/>
      <c r="BB183" s="4609"/>
      <c r="BC183" s="4715"/>
      <c r="BD183" s="4609"/>
      <c r="BE183" s="4715"/>
      <c r="BF183" s="4609"/>
      <c r="BG183" s="4715"/>
      <c r="BH183" s="4665"/>
      <c r="BI183" s="4668"/>
      <c r="BJ183" s="4668"/>
      <c r="BK183" s="4670"/>
      <c r="BL183" s="4665"/>
      <c r="BM183" s="4365"/>
      <c r="BN183" s="4722"/>
      <c r="BO183" s="4722"/>
      <c r="BP183" s="4722"/>
      <c r="BQ183" s="4365"/>
      <c r="BR183" s="3595"/>
    </row>
    <row r="184" spans="1:70" ht="60" x14ac:dyDescent="0.2">
      <c r="A184" s="2445"/>
      <c r="B184" s="1596"/>
      <c r="C184" s="1737"/>
      <c r="D184" s="1596"/>
      <c r="E184" s="1737"/>
      <c r="F184" s="1596"/>
      <c r="G184" s="2387"/>
      <c r="H184" s="2387"/>
      <c r="I184" s="2388"/>
      <c r="J184" s="4631"/>
      <c r="K184" s="4681"/>
      <c r="L184" s="4607"/>
      <c r="M184" s="3596"/>
      <c r="N184" s="3596"/>
      <c r="O184" s="4607"/>
      <c r="P184" s="4607"/>
      <c r="Q184" s="4604"/>
      <c r="R184" s="4719"/>
      <c r="S184" s="4643"/>
      <c r="T184" s="4604"/>
      <c r="U184" s="4604"/>
      <c r="V184" s="2384" t="s">
        <v>2232</v>
      </c>
      <c r="W184" s="993">
        <v>20000000</v>
      </c>
      <c r="X184" s="1621">
        <v>13990000</v>
      </c>
      <c r="Y184" s="1621">
        <v>0</v>
      </c>
      <c r="Z184" s="2385">
        <v>61</v>
      </c>
      <c r="AA184" s="2417" t="s">
        <v>1981</v>
      </c>
      <c r="AB184" s="4610"/>
      <c r="AC184" s="4716"/>
      <c r="AD184" s="4610"/>
      <c r="AE184" s="4716"/>
      <c r="AF184" s="4610"/>
      <c r="AG184" s="4716"/>
      <c r="AH184" s="4610"/>
      <c r="AI184" s="4716"/>
      <c r="AJ184" s="4610">
        <v>307101</v>
      </c>
      <c r="AK184" s="4716">
        <v>92130.3</v>
      </c>
      <c r="AL184" s="4610">
        <v>86875</v>
      </c>
      <c r="AM184" s="4716">
        <v>26062.5</v>
      </c>
      <c r="AN184" s="4610"/>
      <c r="AO184" s="4716"/>
      <c r="AP184" s="4610"/>
      <c r="AQ184" s="4716"/>
      <c r="AR184" s="4610"/>
      <c r="AS184" s="4716"/>
      <c r="AT184" s="4610"/>
      <c r="AU184" s="4716"/>
      <c r="AV184" s="4610"/>
      <c r="AW184" s="4716"/>
      <c r="AX184" s="4610"/>
      <c r="AY184" s="4716"/>
      <c r="AZ184" s="4610"/>
      <c r="BA184" s="4716"/>
      <c r="BB184" s="4610"/>
      <c r="BC184" s="4716"/>
      <c r="BD184" s="4610"/>
      <c r="BE184" s="4716"/>
      <c r="BF184" s="4610"/>
      <c r="BG184" s="4716"/>
      <c r="BH184" s="4008"/>
      <c r="BI184" s="4718"/>
      <c r="BJ184" s="4718"/>
      <c r="BK184" s="4719"/>
      <c r="BL184" s="4008"/>
      <c r="BM184" s="4717"/>
      <c r="BN184" s="4723"/>
      <c r="BO184" s="4723"/>
      <c r="BP184" s="4723"/>
      <c r="BQ184" s="4717"/>
      <c r="BR184" s="3596"/>
    </row>
    <row r="185" spans="1:70" ht="15" customHeight="1" x14ac:dyDescent="0.2">
      <c r="A185" s="2445"/>
      <c r="B185" s="1596"/>
      <c r="C185" s="1737"/>
      <c r="D185" s="1596"/>
      <c r="E185" s="1737"/>
      <c r="G185" s="2406">
        <v>44</v>
      </c>
      <c r="H185" s="2375" t="s">
        <v>2233</v>
      </c>
      <c r="I185" s="2375"/>
      <c r="J185" s="2375"/>
      <c r="K185" s="2407"/>
      <c r="L185" s="2375"/>
      <c r="M185" s="2408"/>
      <c r="N185" s="2408"/>
      <c r="O185" s="2375"/>
      <c r="P185" s="2375"/>
      <c r="Q185" s="2375"/>
      <c r="R185" s="2375"/>
      <c r="S185" s="2375"/>
      <c r="T185" s="2375"/>
      <c r="U185" s="2407"/>
      <c r="V185" s="2375"/>
      <c r="W185" s="2414"/>
      <c r="X185" s="2414"/>
      <c r="Y185" s="2414"/>
      <c r="Z185" s="2375"/>
      <c r="AA185" s="2413"/>
      <c r="AB185" s="2375"/>
      <c r="AC185" s="2375"/>
      <c r="AD185" s="2375"/>
      <c r="AE185" s="2375"/>
      <c r="AF185" s="2375"/>
      <c r="AG185" s="2375"/>
      <c r="AH185" s="2375"/>
      <c r="AI185" s="2375"/>
      <c r="AJ185" s="2375"/>
      <c r="AK185" s="2375"/>
      <c r="AL185" s="2375"/>
      <c r="AM185" s="2375"/>
      <c r="AN185" s="2375"/>
      <c r="AO185" s="2375"/>
      <c r="AP185" s="2375"/>
      <c r="AQ185" s="2375"/>
      <c r="AR185" s="2375"/>
      <c r="AS185" s="2375"/>
      <c r="AT185" s="2375"/>
      <c r="AU185" s="2375"/>
      <c r="AV185" s="2375"/>
      <c r="AW185" s="2375"/>
      <c r="AX185" s="2375"/>
      <c r="AY185" s="2375"/>
      <c r="AZ185" s="2375"/>
      <c r="BA185" s="2375"/>
      <c r="BB185" s="2375"/>
      <c r="BC185" s="2375"/>
      <c r="BD185" s="2375"/>
      <c r="BE185" s="2375"/>
      <c r="BF185" s="2375"/>
      <c r="BG185" s="2375"/>
      <c r="BH185" s="2375"/>
      <c r="BI185" s="2414"/>
      <c r="BJ185" s="2414"/>
      <c r="BK185" s="2375"/>
      <c r="BL185" s="2375"/>
      <c r="BM185" s="2464"/>
      <c r="BN185" s="2375"/>
      <c r="BO185" s="2465"/>
      <c r="BP185" s="2465"/>
      <c r="BQ185" s="2464"/>
      <c r="BR185" s="2434"/>
    </row>
    <row r="186" spans="1:70" ht="60" x14ac:dyDescent="0.2">
      <c r="A186" s="2445"/>
      <c r="B186" s="1596"/>
      <c r="C186" s="1737"/>
      <c r="D186" s="1596"/>
      <c r="E186" s="1737"/>
      <c r="F186" s="1596"/>
      <c r="G186" s="2382"/>
      <c r="H186" s="2382"/>
      <c r="I186" s="2383"/>
      <c r="J186" s="4599">
        <v>154</v>
      </c>
      <c r="K186" s="4602" t="s">
        <v>2234</v>
      </c>
      <c r="L186" s="4605" t="s">
        <v>1974</v>
      </c>
      <c r="M186" s="3289">
        <v>5</v>
      </c>
      <c r="N186" s="3289">
        <v>0</v>
      </c>
      <c r="O186" s="4605" t="s">
        <v>2235</v>
      </c>
      <c r="P186" s="4605" t="s">
        <v>2236</v>
      </c>
      <c r="Q186" s="4602" t="s">
        <v>2237</v>
      </c>
      <c r="R186" s="4638">
        <f>+(W186+W187+W188+W190+W189+W191)/S186</f>
        <v>0.15942028985507245</v>
      </c>
      <c r="S186" s="4641">
        <v>276000000</v>
      </c>
      <c r="T186" s="4602" t="s">
        <v>2238</v>
      </c>
      <c r="U186" s="4602" t="s">
        <v>2239</v>
      </c>
      <c r="V186" s="2384" t="s">
        <v>2240</v>
      </c>
      <c r="W186" s="993">
        <v>4000000</v>
      </c>
      <c r="X186" s="1621">
        <v>4000000</v>
      </c>
      <c r="Y186" s="1621">
        <v>467000</v>
      </c>
      <c r="Z186" s="2385">
        <v>61</v>
      </c>
      <c r="AA186" s="2437" t="s">
        <v>1981</v>
      </c>
      <c r="AB186" s="4714">
        <v>292684</v>
      </c>
      <c r="AC186" s="4714">
        <f>SUM(AB186*0.63)</f>
        <v>184390.92</v>
      </c>
      <c r="AD186" s="4714">
        <v>282326</v>
      </c>
      <c r="AE186" s="4714">
        <f>SUM(AD186*0.63)</f>
        <v>177865.38</v>
      </c>
      <c r="AF186" s="4714" t="s">
        <v>2015</v>
      </c>
      <c r="AG186" s="4714" t="s">
        <v>2015</v>
      </c>
      <c r="AH186" s="4714" t="s">
        <v>2015</v>
      </c>
      <c r="AI186" s="4714" t="s">
        <v>2015</v>
      </c>
      <c r="AJ186" s="4714" t="s">
        <v>2015</v>
      </c>
      <c r="AK186" s="4714" t="s">
        <v>2015</v>
      </c>
      <c r="AL186" s="4714" t="s">
        <v>2015</v>
      </c>
      <c r="AM186" s="4714" t="s">
        <v>2015</v>
      </c>
      <c r="AN186" s="4714">
        <v>2145</v>
      </c>
      <c r="AO186" s="4714">
        <f>SUM(AN186*0.63)</f>
        <v>1351.35</v>
      </c>
      <c r="AP186" s="4714">
        <v>12718</v>
      </c>
      <c r="AQ186" s="4714">
        <f>SUM(AP186*0.63)</f>
        <v>8012.34</v>
      </c>
      <c r="AR186" s="4714">
        <v>26</v>
      </c>
      <c r="AS186" s="4714">
        <f>SUM(AR186*0.63)</f>
        <v>16.38</v>
      </c>
      <c r="AT186" s="4714">
        <v>37</v>
      </c>
      <c r="AU186" s="4714">
        <f>SUM(AT186*0.63)</f>
        <v>23.31</v>
      </c>
      <c r="AV186" s="4714" t="s">
        <v>2015</v>
      </c>
      <c r="AW186" s="4714" t="s">
        <v>2015</v>
      </c>
      <c r="AX186" s="4714" t="s">
        <v>2015</v>
      </c>
      <c r="AY186" s="4714" t="s">
        <v>2015</v>
      </c>
      <c r="AZ186" s="4714">
        <v>53164</v>
      </c>
      <c r="BA186" s="4714">
        <f>SUM(AZ186*0.63)</f>
        <v>33493.32</v>
      </c>
      <c r="BB186" s="4714">
        <v>16982</v>
      </c>
      <c r="BC186" s="4714">
        <f>SUM(BB186*0.63)</f>
        <v>10698.66</v>
      </c>
      <c r="BD186" s="4714">
        <v>60013</v>
      </c>
      <c r="BE186" s="4714">
        <f>SUM(BD186*0.63)</f>
        <v>37808.19</v>
      </c>
      <c r="BF186" s="4714">
        <v>575010</v>
      </c>
      <c r="BG186" s="4714">
        <f>SUM(BF186*0.63)</f>
        <v>362256.3</v>
      </c>
      <c r="BH186" s="4006">
        <v>12</v>
      </c>
      <c r="BI186" s="4667">
        <f>SUM(X186:X213)</f>
        <v>155480000</v>
      </c>
      <c r="BJ186" s="4667">
        <f>SUM(Y186:Y213)</f>
        <v>25946000</v>
      </c>
      <c r="BK186" s="4669">
        <f>+BJ186/BI186</f>
        <v>0.16687676871623361</v>
      </c>
      <c r="BL186" s="4006">
        <v>61</v>
      </c>
      <c r="BM186" s="4666" t="s">
        <v>1982</v>
      </c>
      <c r="BN186" s="4721">
        <v>43466</v>
      </c>
      <c r="BO186" s="4721">
        <v>43467</v>
      </c>
      <c r="BP186" s="4721">
        <v>43830</v>
      </c>
      <c r="BQ186" s="4724">
        <v>43830</v>
      </c>
      <c r="BR186" s="3190" t="s">
        <v>1983</v>
      </c>
    </row>
    <row r="187" spans="1:70" ht="51" customHeight="1" x14ac:dyDescent="0.2">
      <c r="A187" s="2445"/>
      <c r="B187" s="1596"/>
      <c r="C187" s="1737"/>
      <c r="D187" s="1596"/>
      <c r="E187" s="1737"/>
      <c r="F187" s="1596"/>
      <c r="G187" s="2378"/>
      <c r="H187" s="2378"/>
      <c r="I187" s="2379"/>
      <c r="J187" s="4600"/>
      <c r="K187" s="4603"/>
      <c r="L187" s="4606"/>
      <c r="M187" s="3289"/>
      <c r="N187" s="3289"/>
      <c r="O187" s="4606"/>
      <c r="P187" s="4606"/>
      <c r="Q187" s="4603"/>
      <c r="R187" s="4639"/>
      <c r="S187" s="4642"/>
      <c r="T187" s="4603"/>
      <c r="U187" s="4603"/>
      <c r="V187" s="2384" t="s">
        <v>2241</v>
      </c>
      <c r="W187" s="993">
        <v>3000000</v>
      </c>
      <c r="X187" s="1621">
        <v>3000000</v>
      </c>
      <c r="Y187" s="1621">
        <v>467000</v>
      </c>
      <c r="Z187" s="2385">
        <v>61</v>
      </c>
      <c r="AA187" s="2437" t="s">
        <v>1981</v>
      </c>
      <c r="AB187" s="4715"/>
      <c r="AC187" s="4715"/>
      <c r="AD187" s="4715"/>
      <c r="AE187" s="4715"/>
      <c r="AF187" s="4715"/>
      <c r="AG187" s="4715"/>
      <c r="AH187" s="4715"/>
      <c r="AI187" s="4715"/>
      <c r="AJ187" s="4715"/>
      <c r="AK187" s="4715"/>
      <c r="AL187" s="4715"/>
      <c r="AM187" s="4715"/>
      <c r="AN187" s="4715"/>
      <c r="AO187" s="4715"/>
      <c r="AP187" s="4715"/>
      <c r="AQ187" s="4715"/>
      <c r="AR187" s="4715"/>
      <c r="AS187" s="4715"/>
      <c r="AT187" s="4715"/>
      <c r="AU187" s="4715"/>
      <c r="AV187" s="4715"/>
      <c r="AW187" s="4715"/>
      <c r="AX187" s="4715"/>
      <c r="AY187" s="4715"/>
      <c r="AZ187" s="4715"/>
      <c r="BA187" s="4715"/>
      <c r="BB187" s="4715"/>
      <c r="BC187" s="4715"/>
      <c r="BD187" s="4715"/>
      <c r="BE187" s="4715"/>
      <c r="BF187" s="4715"/>
      <c r="BG187" s="4715"/>
      <c r="BH187" s="4665"/>
      <c r="BI187" s="4668"/>
      <c r="BJ187" s="4668"/>
      <c r="BK187" s="4670"/>
      <c r="BL187" s="4665"/>
      <c r="BM187" s="4365"/>
      <c r="BN187" s="4722"/>
      <c r="BO187" s="4722"/>
      <c r="BP187" s="4722"/>
      <c r="BQ187" s="4365"/>
      <c r="BR187" s="3595"/>
    </row>
    <row r="188" spans="1:70" ht="45" x14ac:dyDescent="0.2">
      <c r="A188" s="2445"/>
      <c r="B188" s="1596"/>
      <c r="C188" s="1737"/>
      <c r="D188" s="1596"/>
      <c r="E188" s="1737"/>
      <c r="F188" s="1596"/>
      <c r="G188" s="2378"/>
      <c r="H188" s="2378"/>
      <c r="I188" s="2379"/>
      <c r="J188" s="4600"/>
      <c r="K188" s="4603"/>
      <c r="L188" s="4606"/>
      <c r="M188" s="3289"/>
      <c r="N188" s="3289"/>
      <c r="O188" s="4606"/>
      <c r="P188" s="4606"/>
      <c r="Q188" s="4603"/>
      <c r="R188" s="4639"/>
      <c r="S188" s="4642"/>
      <c r="T188" s="4603"/>
      <c r="U188" s="4603"/>
      <c r="V188" s="2384" t="s">
        <v>2242</v>
      </c>
      <c r="W188" s="993">
        <v>16000000</v>
      </c>
      <c r="X188" s="1621">
        <v>7392500</v>
      </c>
      <c r="Y188" s="1621">
        <v>466000</v>
      </c>
      <c r="Z188" s="2385">
        <v>61</v>
      </c>
      <c r="AA188" s="2437" t="s">
        <v>1981</v>
      </c>
      <c r="AB188" s="4715"/>
      <c r="AC188" s="4715"/>
      <c r="AD188" s="4715"/>
      <c r="AE188" s="4715"/>
      <c r="AF188" s="4715"/>
      <c r="AG188" s="4715"/>
      <c r="AH188" s="4715"/>
      <c r="AI188" s="4715"/>
      <c r="AJ188" s="4715"/>
      <c r="AK188" s="4715"/>
      <c r="AL188" s="4715"/>
      <c r="AM188" s="4715"/>
      <c r="AN188" s="4715"/>
      <c r="AO188" s="4715"/>
      <c r="AP188" s="4715"/>
      <c r="AQ188" s="4715"/>
      <c r="AR188" s="4715"/>
      <c r="AS188" s="4715"/>
      <c r="AT188" s="4715"/>
      <c r="AU188" s="4715"/>
      <c r="AV188" s="4715"/>
      <c r="AW188" s="4715"/>
      <c r="AX188" s="4715"/>
      <c r="AY188" s="4715"/>
      <c r="AZ188" s="4715"/>
      <c r="BA188" s="4715"/>
      <c r="BB188" s="4715"/>
      <c r="BC188" s="4715"/>
      <c r="BD188" s="4715"/>
      <c r="BE188" s="4715"/>
      <c r="BF188" s="4715"/>
      <c r="BG188" s="4715"/>
      <c r="BH188" s="4665"/>
      <c r="BI188" s="4668"/>
      <c r="BJ188" s="4668"/>
      <c r="BK188" s="4670"/>
      <c r="BL188" s="4665"/>
      <c r="BM188" s="4365"/>
      <c r="BN188" s="4722"/>
      <c r="BO188" s="4722"/>
      <c r="BP188" s="4722"/>
      <c r="BQ188" s="4365"/>
      <c r="BR188" s="3595"/>
    </row>
    <row r="189" spans="1:70" ht="69" customHeight="1" x14ac:dyDescent="0.2">
      <c r="A189" s="2445"/>
      <c r="B189" s="1596"/>
      <c r="C189" s="1737"/>
      <c r="D189" s="1596"/>
      <c r="E189" s="1737"/>
      <c r="F189" s="1596"/>
      <c r="G189" s="2378"/>
      <c r="H189" s="2378"/>
      <c r="I189" s="2379"/>
      <c r="J189" s="4600"/>
      <c r="K189" s="4603"/>
      <c r="L189" s="4606"/>
      <c r="M189" s="3289"/>
      <c r="N189" s="3289"/>
      <c r="O189" s="4606"/>
      <c r="P189" s="4606"/>
      <c r="Q189" s="4603"/>
      <c r="R189" s="4639"/>
      <c r="S189" s="4642"/>
      <c r="T189" s="4603"/>
      <c r="U189" s="4603"/>
      <c r="V189" s="2384" t="s">
        <v>2243</v>
      </c>
      <c r="W189" s="993">
        <v>6000000</v>
      </c>
      <c r="X189" s="1621">
        <v>6000000</v>
      </c>
      <c r="Y189" s="1621">
        <v>466000</v>
      </c>
      <c r="Z189" s="2385">
        <v>61</v>
      </c>
      <c r="AA189" s="2437" t="s">
        <v>1981</v>
      </c>
      <c r="AB189" s="4715"/>
      <c r="AC189" s="4715"/>
      <c r="AD189" s="4715"/>
      <c r="AE189" s="4715"/>
      <c r="AF189" s="4715"/>
      <c r="AG189" s="4715"/>
      <c r="AH189" s="4715"/>
      <c r="AI189" s="4715"/>
      <c r="AJ189" s="4715"/>
      <c r="AK189" s="4715"/>
      <c r="AL189" s="4715"/>
      <c r="AM189" s="4715"/>
      <c r="AN189" s="4715"/>
      <c r="AO189" s="4715"/>
      <c r="AP189" s="4715"/>
      <c r="AQ189" s="4715"/>
      <c r="AR189" s="4715"/>
      <c r="AS189" s="4715"/>
      <c r="AT189" s="4715"/>
      <c r="AU189" s="4715"/>
      <c r="AV189" s="4715"/>
      <c r="AW189" s="4715"/>
      <c r="AX189" s="4715"/>
      <c r="AY189" s="4715"/>
      <c r="AZ189" s="4715"/>
      <c r="BA189" s="4715"/>
      <c r="BB189" s="4715"/>
      <c r="BC189" s="4715"/>
      <c r="BD189" s="4715"/>
      <c r="BE189" s="4715"/>
      <c r="BF189" s="4715"/>
      <c r="BG189" s="4715"/>
      <c r="BH189" s="4665"/>
      <c r="BI189" s="4668"/>
      <c r="BJ189" s="4668"/>
      <c r="BK189" s="4670"/>
      <c r="BL189" s="4665"/>
      <c r="BM189" s="4365"/>
      <c r="BN189" s="4722"/>
      <c r="BO189" s="4722"/>
      <c r="BP189" s="4722"/>
      <c r="BQ189" s="4365"/>
      <c r="BR189" s="3595"/>
    </row>
    <row r="190" spans="1:70" ht="105" x14ac:dyDescent="0.2">
      <c r="A190" s="2445"/>
      <c r="B190" s="1596"/>
      <c r="C190" s="1737"/>
      <c r="D190" s="1596"/>
      <c r="E190" s="1737"/>
      <c r="F190" s="1596"/>
      <c r="G190" s="2378"/>
      <c r="H190" s="2378"/>
      <c r="I190" s="2379"/>
      <c r="J190" s="4600"/>
      <c r="K190" s="4603"/>
      <c r="L190" s="4606"/>
      <c r="M190" s="3289"/>
      <c r="N190" s="3289"/>
      <c r="O190" s="4606"/>
      <c r="P190" s="4606"/>
      <c r="Q190" s="4603"/>
      <c r="R190" s="4639"/>
      <c r="S190" s="4642"/>
      <c r="T190" s="4603"/>
      <c r="U190" s="4603"/>
      <c r="V190" s="2384" t="s">
        <v>2244</v>
      </c>
      <c r="W190" s="993">
        <v>3000000</v>
      </c>
      <c r="X190" s="1621">
        <v>3000000</v>
      </c>
      <c r="Y190" s="1621">
        <v>466000</v>
      </c>
      <c r="Z190" s="2385">
        <v>61</v>
      </c>
      <c r="AA190" s="2437" t="s">
        <v>1981</v>
      </c>
      <c r="AB190" s="4715"/>
      <c r="AC190" s="4715"/>
      <c r="AD190" s="4715"/>
      <c r="AE190" s="4715"/>
      <c r="AF190" s="4715"/>
      <c r="AG190" s="4715"/>
      <c r="AH190" s="4715"/>
      <c r="AI190" s="4715"/>
      <c r="AJ190" s="4715"/>
      <c r="AK190" s="4715"/>
      <c r="AL190" s="4715"/>
      <c r="AM190" s="4715"/>
      <c r="AN190" s="4715"/>
      <c r="AO190" s="4715"/>
      <c r="AP190" s="4715"/>
      <c r="AQ190" s="4715"/>
      <c r="AR190" s="4715"/>
      <c r="AS190" s="4715"/>
      <c r="AT190" s="4715"/>
      <c r="AU190" s="4715"/>
      <c r="AV190" s="4715"/>
      <c r="AW190" s="4715"/>
      <c r="AX190" s="4715"/>
      <c r="AY190" s="4715"/>
      <c r="AZ190" s="4715"/>
      <c r="BA190" s="4715"/>
      <c r="BB190" s="4715"/>
      <c r="BC190" s="4715"/>
      <c r="BD190" s="4715"/>
      <c r="BE190" s="4715"/>
      <c r="BF190" s="4715"/>
      <c r="BG190" s="4715"/>
      <c r="BH190" s="4665"/>
      <c r="BI190" s="4668"/>
      <c r="BJ190" s="4668"/>
      <c r="BK190" s="4670"/>
      <c r="BL190" s="4665"/>
      <c r="BM190" s="4365"/>
      <c r="BN190" s="4722"/>
      <c r="BO190" s="4722"/>
      <c r="BP190" s="4722"/>
      <c r="BQ190" s="4365"/>
      <c r="BR190" s="3595"/>
    </row>
    <row r="191" spans="1:70" ht="90" x14ac:dyDescent="0.2">
      <c r="A191" s="2445"/>
      <c r="B191" s="1596"/>
      <c r="C191" s="1737"/>
      <c r="D191" s="1596"/>
      <c r="E191" s="1737"/>
      <c r="F191" s="1596"/>
      <c r="G191" s="2378"/>
      <c r="H191" s="2378"/>
      <c r="I191" s="2379"/>
      <c r="J191" s="4601"/>
      <c r="K191" s="4604"/>
      <c r="L191" s="4607"/>
      <c r="M191" s="3289"/>
      <c r="N191" s="3289"/>
      <c r="O191" s="4606"/>
      <c r="P191" s="4606"/>
      <c r="Q191" s="4603"/>
      <c r="R191" s="4640"/>
      <c r="S191" s="4642"/>
      <c r="T191" s="4603"/>
      <c r="U191" s="4604"/>
      <c r="V191" s="2384" t="s">
        <v>2245</v>
      </c>
      <c r="W191" s="993">
        <v>12000000</v>
      </c>
      <c r="X191" s="1621">
        <v>7392500</v>
      </c>
      <c r="Y191" s="1621">
        <v>466000</v>
      </c>
      <c r="Z191" s="2385">
        <v>61</v>
      </c>
      <c r="AA191" s="2437" t="s">
        <v>1981</v>
      </c>
      <c r="AB191" s="4715"/>
      <c r="AC191" s="4715"/>
      <c r="AD191" s="4715"/>
      <c r="AE191" s="4715"/>
      <c r="AF191" s="4715"/>
      <c r="AG191" s="4715"/>
      <c r="AH191" s="4715"/>
      <c r="AI191" s="4715"/>
      <c r="AJ191" s="4715"/>
      <c r="AK191" s="4715"/>
      <c r="AL191" s="4715"/>
      <c r="AM191" s="4715"/>
      <c r="AN191" s="4715"/>
      <c r="AO191" s="4715"/>
      <c r="AP191" s="4715"/>
      <c r="AQ191" s="4715"/>
      <c r="AR191" s="4715"/>
      <c r="AS191" s="4715"/>
      <c r="AT191" s="4715"/>
      <c r="AU191" s="4715"/>
      <c r="AV191" s="4715"/>
      <c r="AW191" s="4715"/>
      <c r="AX191" s="4715"/>
      <c r="AY191" s="4715"/>
      <c r="AZ191" s="4715"/>
      <c r="BA191" s="4715"/>
      <c r="BB191" s="4715"/>
      <c r="BC191" s="4715"/>
      <c r="BD191" s="4715"/>
      <c r="BE191" s="4715"/>
      <c r="BF191" s="4715"/>
      <c r="BG191" s="4715"/>
      <c r="BH191" s="4665"/>
      <c r="BI191" s="4668"/>
      <c r="BJ191" s="4668"/>
      <c r="BK191" s="4670"/>
      <c r="BL191" s="4665"/>
      <c r="BM191" s="4365"/>
      <c r="BN191" s="4722"/>
      <c r="BO191" s="4722"/>
      <c r="BP191" s="4722"/>
      <c r="BQ191" s="4365"/>
      <c r="BR191" s="3595"/>
    </row>
    <row r="192" spans="1:70" ht="60" x14ac:dyDescent="0.2">
      <c r="A192" s="2445"/>
      <c r="B192" s="1596"/>
      <c r="C192" s="1737"/>
      <c r="D192" s="1596"/>
      <c r="E192" s="1737"/>
      <c r="F192" s="1596"/>
      <c r="G192" s="2378"/>
      <c r="H192" s="2378"/>
      <c r="I192" s="2379"/>
      <c r="J192" s="4599">
        <v>155</v>
      </c>
      <c r="K192" s="4602" t="s">
        <v>2246</v>
      </c>
      <c r="L192" s="4605" t="s">
        <v>1974</v>
      </c>
      <c r="M192" s="3289">
        <v>1</v>
      </c>
      <c r="N192" s="3289">
        <v>0</v>
      </c>
      <c r="O192" s="4606"/>
      <c r="P192" s="4606"/>
      <c r="Q192" s="4603"/>
      <c r="R192" s="4638">
        <f>+(W192+W193+W194+W195+W196+W197+W198+W199)/S186</f>
        <v>0.30434782608695654</v>
      </c>
      <c r="S192" s="4642"/>
      <c r="T192" s="4603"/>
      <c r="U192" s="4602" t="s">
        <v>2247</v>
      </c>
      <c r="V192" s="2384" t="s">
        <v>2248</v>
      </c>
      <c r="W192" s="993">
        <v>1000000</v>
      </c>
      <c r="X192" s="1621">
        <v>1000000</v>
      </c>
      <c r="Y192" s="1621">
        <v>1000000</v>
      </c>
      <c r="Z192" s="2385">
        <v>61</v>
      </c>
      <c r="AA192" s="2437" t="s">
        <v>1981</v>
      </c>
      <c r="AB192" s="4715"/>
      <c r="AC192" s="4715"/>
      <c r="AD192" s="4715"/>
      <c r="AE192" s="4715"/>
      <c r="AF192" s="4715"/>
      <c r="AG192" s="4715"/>
      <c r="AH192" s="4715"/>
      <c r="AI192" s="4715"/>
      <c r="AJ192" s="4715"/>
      <c r="AK192" s="4715"/>
      <c r="AL192" s="4715"/>
      <c r="AM192" s="4715"/>
      <c r="AN192" s="4715"/>
      <c r="AO192" s="4715"/>
      <c r="AP192" s="4715"/>
      <c r="AQ192" s="4715"/>
      <c r="AR192" s="4715"/>
      <c r="AS192" s="4715"/>
      <c r="AT192" s="4715"/>
      <c r="AU192" s="4715"/>
      <c r="AV192" s="4715"/>
      <c r="AW192" s="4715"/>
      <c r="AX192" s="4715"/>
      <c r="AY192" s="4715"/>
      <c r="AZ192" s="4715"/>
      <c r="BA192" s="4715"/>
      <c r="BB192" s="4715"/>
      <c r="BC192" s="4715"/>
      <c r="BD192" s="4715"/>
      <c r="BE192" s="4715"/>
      <c r="BF192" s="4715"/>
      <c r="BG192" s="4715"/>
      <c r="BH192" s="4665"/>
      <c r="BI192" s="4668"/>
      <c r="BJ192" s="4668"/>
      <c r="BK192" s="4670"/>
      <c r="BL192" s="4665"/>
      <c r="BM192" s="4365"/>
      <c r="BN192" s="4722"/>
      <c r="BO192" s="4722"/>
      <c r="BP192" s="4722"/>
      <c r="BQ192" s="4365"/>
      <c r="BR192" s="3595"/>
    </row>
    <row r="193" spans="1:70" ht="90" x14ac:dyDescent="0.2">
      <c r="A193" s="2445"/>
      <c r="B193" s="1596"/>
      <c r="C193" s="1737"/>
      <c r="D193" s="1596"/>
      <c r="E193" s="1737"/>
      <c r="F193" s="1596"/>
      <c r="G193" s="2378"/>
      <c r="H193" s="2378"/>
      <c r="I193" s="2379"/>
      <c r="J193" s="4600"/>
      <c r="K193" s="4603"/>
      <c r="L193" s="4606"/>
      <c r="M193" s="3289"/>
      <c r="N193" s="3289"/>
      <c r="O193" s="4606"/>
      <c r="P193" s="4606"/>
      <c r="Q193" s="4603"/>
      <c r="R193" s="4639"/>
      <c r="S193" s="4642"/>
      <c r="T193" s="4603"/>
      <c r="U193" s="4603"/>
      <c r="V193" s="2384" t="s">
        <v>2249</v>
      </c>
      <c r="W193" s="993">
        <v>18000000</v>
      </c>
      <c r="X193" s="1621">
        <v>17480000</v>
      </c>
      <c r="Y193" s="1621">
        <v>1798000</v>
      </c>
      <c r="Z193" s="2385">
        <v>61</v>
      </c>
      <c r="AA193" s="2437" t="s">
        <v>1981</v>
      </c>
      <c r="AB193" s="4715"/>
      <c r="AC193" s="4715"/>
      <c r="AD193" s="4715"/>
      <c r="AE193" s="4715"/>
      <c r="AF193" s="4715"/>
      <c r="AG193" s="4715"/>
      <c r="AH193" s="4715"/>
      <c r="AI193" s="4715"/>
      <c r="AJ193" s="4715"/>
      <c r="AK193" s="4715"/>
      <c r="AL193" s="4715"/>
      <c r="AM193" s="4715"/>
      <c r="AN193" s="4715"/>
      <c r="AO193" s="4715"/>
      <c r="AP193" s="4715"/>
      <c r="AQ193" s="4715"/>
      <c r="AR193" s="4715"/>
      <c r="AS193" s="4715"/>
      <c r="AT193" s="4715"/>
      <c r="AU193" s="4715"/>
      <c r="AV193" s="4715"/>
      <c r="AW193" s="4715"/>
      <c r="AX193" s="4715"/>
      <c r="AY193" s="4715"/>
      <c r="AZ193" s="4715"/>
      <c r="BA193" s="4715"/>
      <c r="BB193" s="4715"/>
      <c r="BC193" s="4715"/>
      <c r="BD193" s="4715"/>
      <c r="BE193" s="4715"/>
      <c r="BF193" s="4715"/>
      <c r="BG193" s="4715"/>
      <c r="BH193" s="4665"/>
      <c r="BI193" s="4668"/>
      <c r="BJ193" s="4668"/>
      <c r="BK193" s="4670"/>
      <c r="BL193" s="4665"/>
      <c r="BM193" s="4365"/>
      <c r="BN193" s="4722"/>
      <c r="BO193" s="4722"/>
      <c r="BP193" s="4722"/>
      <c r="BQ193" s="4365"/>
      <c r="BR193" s="3595"/>
    </row>
    <row r="194" spans="1:70" ht="65.25" customHeight="1" x14ac:dyDescent="0.2">
      <c r="A194" s="2445"/>
      <c r="B194" s="1596"/>
      <c r="C194" s="1737"/>
      <c r="D194" s="1596"/>
      <c r="E194" s="1737"/>
      <c r="F194" s="1596"/>
      <c r="G194" s="2378"/>
      <c r="H194" s="2378"/>
      <c r="I194" s="2379"/>
      <c r="J194" s="4600"/>
      <c r="K194" s="4603"/>
      <c r="L194" s="4606"/>
      <c r="M194" s="3289"/>
      <c r="N194" s="3289"/>
      <c r="O194" s="4606"/>
      <c r="P194" s="4606"/>
      <c r="Q194" s="4603"/>
      <c r="R194" s="4639"/>
      <c r="S194" s="4642"/>
      <c r="T194" s="4603"/>
      <c r="U194" s="4603"/>
      <c r="V194" s="2384" t="s">
        <v>2250</v>
      </c>
      <c r="W194" s="993">
        <v>45000000</v>
      </c>
      <c r="X194" s="1621">
        <v>17480000</v>
      </c>
      <c r="Y194" s="1621">
        <v>1798000</v>
      </c>
      <c r="Z194" s="2385">
        <v>61</v>
      </c>
      <c r="AA194" s="2437" t="s">
        <v>1981</v>
      </c>
      <c r="AB194" s="4715"/>
      <c r="AC194" s="4715"/>
      <c r="AD194" s="4715"/>
      <c r="AE194" s="4715"/>
      <c r="AF194" s="4715"/>
      <c r="AG194" s="4715"/>
      <c r="AH194" s="4715"/>
      <c r="AI194" s="4715"/>
      <c r="AJ194" s="4715"/>
      <c r="AK194" s="4715"/>
      <c r="AL194" s="4715"/>
      <c r="AM194" s="4715"/>
      <c r="AN194" s="4715"/>
      <c r="AO194" s="4715"/>
      <c r="AP194" s="4715"/>
      <c r="AQ194" s="4715"/>
      <c r="AR194" s="4715"/>
      <c r="AS194" s="4715"/>
      <c r="AT194" s="4715"/>
      <c r="AU194" s="4715"/>
      <c r="AV194" s="4715"/>
      <c r="AW194" s="4715"/>
      <c r="AX194" s="4715"/>
      <c r="AY194" s="4715"/>
      <c r="AZ194" s="4715"/>
      <c r="BA194" s="4715"/>
      <c r="BB194" s="4715"/>
      <c r="BC194" s="4715"/>
      <c r="BD194" s="4715"/>
      <c r="BE194" s="4715"/>
      <c r="BF194" s="4715"/>
      <c r="BG194" s="4715"/>
      <c r="BH194" s="4665"/>
      <c r="BI194" s="4668"/>
      <c r="BJ194" s="4668"/>
      <c r="BK194" s="4670"/>
      <c r="BL194" s="4665"/>
      <c r="BM194" s="4365"/>
      <c r="BN194" s="4722"/>
      <c r="BO194" s="4722"/>
      <c r="BP194" s="4722"/>
      <c r="BQ194" s="4365"/>
      <c r="BR194" s="3595"/>
    </row>
    <row r="195" spans="1:70" ht="67.5" customHeight="1" x14ac:dyDescent="0.2">
      <c r="A195" s="2445"/>
      <c r="B195" s="1596"/>
      <c r="C195" s="1737"/>
      <c r="D195" s="1596"/>
      <c r="E195" s="1737"/>
      <c r="F195" s="1596"/>
      <c r="G195" s="2378"/>
      <c r="H195" s="2378"/>
      <c r="I195" s="2379"/>
      <c r="J195" s="4600"/>
      <c r="K195" s="4603"/>
      <c r="L195" s="4606"/>
      <c r="M195" s="3289"/>
      <c r="N195" s="3289"/>
      <c r="O195" s="4606"/>
      <c r="P195" s="4606"/>
      <c r="Q195" s="4603"/>
      <c r="R195" s="4639"/>
      <c r="S195" s="4642"/>
      <c r="T195" s="4603"/>
      <c r="U195" s="4603"/>
      <c r="V195" s="2384" t="s">
        <v>2251</v>
      </c>
      <c r="W195" s="993">
        <v>1000000</v>
      </c>
      <c r="X195" s="1621">
        <v>1000000</v>
      </c>
      <c r="Y195" s="1621">
        <v>1000000</v>
      </c>
      <c r="Z195" s="2385">
        <v>61</v>
      </c>
      <c r="AA195" s="2437" t="s">
        <v>1981</v>
      </c>
      <c r="AB195" s="4715"/>
      <c r="AC195" s="4715"/>
      <c r="AD195" s="4715"/>
      <c r="AE195" s="4715"/>
      <c r="AF195" s="4715"/>
      <c r="AG195" s="4715"/>
      <c r="AH195" s="4715"/>
      <c r="AI195" s="4715"/>
      <c r="AJ195" s="4715"/>
      <c r="AK195" s="4715"/>
      <c r="AL195" s="4715"/>
      <c r="AM195" s="4715"/>
      <c r="AN195" s="4715"/>
      <c r="AO195" s="4715"/>
      <c r="AP195" s="4715"/>
      <c r="AQ195" s="4715"/>
      <c r="AR195" s="4715"/>
      <c r="AS195" s="4715"/>
      <c r="AT195" s="4715"/>
      <c r="AU195" s="4715"/>
      <c r="AV195" s="4715"/>
      <c r="AW195" s="4715"/>
      <c r="AX195" s="4715"/>
      <c r="AY195" s="4715"/>
      <c r="AZ195" s="4715"/>
      <c r="BA195" s="4715"/>
      <c r="BB195" s="4715"/>
      <c r="BC195" s="4715"/>
      <c r="BD195" s="4715"/>
      <c r="BE195" s="4715"/>
      <c r="BF195" s="4715"/>
      <c r="BG195" s="4715"/>
      <c r="BH195" s="4665"/>
      <c r="BI195" s="4668"/>
      <c r="BJ195" s="4668"/>
      <c r="BK195" s="4670"/>
      <c r="BL195" s="4665"/>
      <c r="BM195" s="4365"/>
      <c r="BN195" s="4722"/>
      <c r="BO195" s="4722"/>
      <c r="BP195" s="4722"/>
      <c r="BQ195" s="4365"/>
      <c r="BR195" s="3595"/>
    </row>
    <row r="196" spans="1:70" ht="60" x14ac:dyDescent="0.2">
      <c r="A196" s="2445"/>
      <c r="B196" s="1596"/>
      <c r="C196" s="1737"/>
      <c r="D196" s="1596"/>
      <c r="E196" s="1737"/>
      <c r="F196" s="1596"/>
      <c r="G196" s="2378"/>
      <c r="H196" s="2378"/>
      <c r="I196" s="2379"/>
      <c r="J196" s="4600"/>
      <c r="K196" s="4603"/>
      <c r="L196" s="4606"/>
      <c r="M196" s="3289"/>
      <c r="N196" s="3289"/>
      <c r="O196" s="4606"/>
      <c r="P196" s="4606"/>
      <c r="Q196" s="4603"/>
      <c r="R196" s="4639"/>
      <c r="S196" s="4642"/>
      <c r="T196" s="4603"/>
      <c r="U196" s="4603"/>
      <c r="V196" s="2384" t="s">
        <v>2252</v>
      </c>
      <c r="W196" s="993">
        <v>1000000</v>
      </c>
      <c r="X196" s="1621">
        <v>1000000</v>
      </c>
      <c r="Y196" s="1621">
        <v>1000000</v>
      </c>
      <c r="Z196" s="2385">
        <v>61</v>
      </c>
      <c r="AA196" s="2437" t="s">
        <v>1981</v>
      </c>
      <c r="AB196" s="4715"/>
      <c r="AC196" s="4715"/>
      <c r="AD196" s="4715"/>
      <c r="AE196" s="4715"/>
      <c r="AF196" s="4715"/>
      <c r="AG196" s="4715"/>
      <c r="AH196" s="4715"/>
      <c r="AI196" s="4715"/>
      <c r="AJ196" s="4715"/>
      <c r="AK196" s="4715"/>
      <c r="AL196" s="4715"/>
      <c r="AM196" s="4715"/>
      <c r="AN196" s="4715"/>
      <c r="AO196" s="4715"/>
      <c r="AP196" s="4715"/>
      <c r="AQ196" s="4715"/>
      <c r="AR196" s="4715"/>
      <c r="AS196" s="4715"/>
      <c r="AT196" s="4715"/>
      <c r="AU196" s="4715"/>
      <c r="AV196" s="4715"/>
      <c r="AW196" s="4715"/>
      <c r="AX196" s="4715"/>
      <c r="AY196" s="4715"/>
      <c r="AZ196" s="4715"/>
      <c r="BA196" s="4715"/>
      <c r="BB196" s="4715"/>
      <c r="BC196" s="4715"/>
      <c r="BD196" s="4715"/>
      <c r="BE196" s="4715"/>
      <c r="BF196" s="4715"/>
      <c r="BG196" s="4715"/>
      <c r="BH196" s="4665"/>
      <c r="BI196" s="4668"/>
      <c r="BJ196" s="4668"/>
      <c r="BK196" s="4670"/>
      <c r="BL196" s="4665"/>
      <c r="BM196" s="4365"/>
      <c r="BN196" s="4722"/>
      <c r="BO196" s="4722"/>
      <c r="BP196" s="4722"/>
      <c r="BQ196" s="4365"/>
      <c r="BR196" s="3595"/>
    </row>
    <row r="197" spans="1:70" ht="45" x14ac:dyDescent="0.2">
      <c r="A197" s="2445"/>
      <c r="B197" s="1596"/>
      <c r="C197" s="1737"/>
      <c r="D197" s="1596"/>
      <c r="E197" s="1737"/>
      <c r="F197" s="1596"/>
      <c r="G197" s="2378"/>
      <c r="H197" s="2378"/>
      <c r="I197" s="2379"/>
      <c r="J197" s="4600"/>
      <c r="K197" s="4603"/>
      <c r="L197" s="4606"/>
      <c r="M197" s="3289"/>
      <c r="N197" s="3289"/>
      <c r="O197" s="4606"/>
      <c r="P197" s="4606"/>
      <c r="Q197" s="4603"/>
      <c r="R197" s="4639"/>
      <c r="S197" s="4642"/>
      <c r="T197" s="4603"/>
      <c r="U197" s="4603"/>
      <c r="V197" s="2384" t="s">
        <v>2253</v>
      </c>
      <c r="W197" s="993">
        <v>13500000</v>
      </c>
      <c r="X197" s="1621">
        <v>13500000</v>
      </c>
      <c r="Y197" s="1621">
        <v>1798000</v>
      </c>
      <c r="Z197" s="2385">
        <v>61</v>
      </c>
      <c r="AA197" s="2437" t="s">
        <v>1981</v>
      </c>
      <c r="AB197" s="4715"/>
      <c r="AC197" s="4715"/>
      <c r="AD197" s="4715"/>
      <c r="AE197" s="4715"/>
      <c r="AF197" s="4715"/>
      <c r="AG197" s="4715"/>
      <c r="AH197" s="4715"/>
      <c r="AI197" s="4715"/>
      <c r="AJ197" s="4715"/>
      <c r="AK197" s="4715"/>
      <c r="AL197" s="4715"/>
      <c r="AM197" s="4715"/>
      <c r="AN197" s="4715"/>
      <c r="AO197" s="4715"/>
      <c r="AP197" s="4715"/>
      <c r="AQ197" s="4715"/>
      <c r="AR197" s="4715"/>
      <c r="AS197" s="4715"/>
      <c r="AT197" s="4715"/>
      <c r="AU197" s="4715"/>
      <c r="AV197" s="4715"/>
      <c r="AW197" s="4715"/>
      <c r="AX197" s="4715"/>
      <c r="AY197" s="4715"/>
      <c r="AZ197" s="4715"/>
      <c r="BA197" s="4715"/>
      <c r="BB197" s="4715"/>
      <c r="BC197" s="4715"/>
      <c r="BD197" s="4715"/>
      <c r="BE197" s="4715"/>
      <c r="BF197" s="4715"/>
      <c r="BG197" s="4715"/>
      <c r="BH197" s="4665"/>
      <c r="BI197" s="4668"/>
      <c r="BJ197" s="4668"/>
      <c r="BK197" s="4670"/>
      <c r="BL197" s="4665"/>
      <c r="BM197" s="4365"/>
      <c r="BN197" s="4722"/>
      <c r="BO197" s="4722"/>
      <c r="BP197" s="4722"/>
      <c r="BQ197" s="4365"/>
      <c r="BR197" s="3595"/>
    </row>
    <row r="198" spans="1:70" ht="58.5" customHeight="1" x14ac:dyDescent="0.2">
      <c r="A198" s="2445"/>
      <c r="B198" s="1596"/>
      <c r="C198" s="1737"/>
      <c r="D198" s="1596"/>
      <c r="E198" s="1737"/>
      <c r="F198" s="1596"/>
      <c r="G198" s="2378"/>
      <c r="H198" s="2378"/>
      <c r="I198" s="2379"/>
      <c r="J198" s="4600"/>
      <c r="K198" s="4603"/>
      <c r="L198" s="4606"/>
      <c r="M198" s="3289"/>
      <c r="N198" s="3289"/>
      <c r="O198" s="4606"/>
      <c r="P198" s="4606"/>
      <c r="Q198" s="4603"/>
      <c r="R198" s="4639"/>
      <c r="S198" s="4642"/>
      <c r="T198" s="4603"/>
      <c r="U198" s="4603"/>
      <c r="V198" s="2384" t="s">
        <v>2254</v>
      </c>
      <c r="W198" s="993">
        <v>3500000</v>
      </c>
      <c r="X198" s="1621">
        <v>3500000</v>
      </c>
      <c r="Y198" s="1621">
        <v>1798000</v>
      </c>
      <c r="Z198" s="2385">
        <v>61</v>
      </c>
      <c r="AA198" s="2437" t="s">
        <v>1981</v>
      </c>
      <c r="AB198" s="4715"/>
      <c r="AC198" s="4715"/>
      <c r="AD198" s="4715"/>
      <c r="AE198" s="4715"/>
      <c r="AF198" s="4715"/>
      <c r="AG198" s="4715"/>
      <c r="AH198" s="4715"/>
      <c r="AI198" s="4715"/>
      <c r="AJ198" s="4715"/>
      <c r="AK198" s="4715"/>
      <c r="AL198" s="4715"/>
      <c r="AM198" s="4715"/>
      <c r="AN198" s="4715"/>
      <c r="AO198" s="4715"/>
      <c r="AP198" s="4715"/>
      <c r="AQ198" s="4715"/>
      <c r="AR198" s="4715"/>
      <c r="AS198" s="4715"/>
      <c r="AT198" s="4715"/>
      <c r="AU198" s="4715"/>
      <c r="AV198" s="4715"/>
      <c r="AW198" s="4715"/>
      <c r="AX198" s="4715"/>
      <c r="AY198" s="4715"/>
      <c r="AZ198" s="4715"/>
      <c r="BA198" s="4715"/>
      <c r="BB198" s="4715"/>
      <c r="BC198" s="4715"/>
      <c r="BD198" s="4715"/>
      <c r="BE198" s="4715"/>
      <c r="BF198" s="4715"/>
      <c r="BG198" s="4715"/>
      <c r="BH198" s="4665"/>
      <c r="BI198" s="4668"/>
      <c r="BJ198" s="4668"/>
      <c r="BK198" s="4670"/>
      <c r="BL198" s="4665"/>
      <c r="BM198" s="4365"/>
      <c r="BN198" s="4722"/>
      <c r="BO198" s="4722"/>
      <c r="BP198" s="4722"/>
      <c r="BQ198" s="4365"/>
      <c r="BR198" s="3595"/>
    </row>
    <row r="199" spans="1:70" ht="66" customHeight="1" x14ac:dyDescent="0.2">
      <c r="A199" s="2445"/>
      <c r="B199" s="1596"/>
      <c r="C199" s="1737"/>
      <c r="D199" s="1596"/>
      <c r="E199" s="1737"/>
      <c r="F199" s="1596"/>
      <c r="G199" s="2378"/>
      <c r="H199" s="2378"/>
      <c r="I199" s="2379"/>
      <c r="J199" s="4601"/>
      <c r="K199" s="4604"/>
      <c r="L199" s="4607"/>
      <c r="M199" s="3289"/>
      <c r="N199" s="3289"/>
      <c r="O199" s="4606"/>
      <c r="P199" s="4606"/>
      <c r="Q199" s="4603"/>
      <c r="R199" s="4640"/>
      <c r="S199" s="4642"/>
      <c r="T199" s="4603"/>
      <c r="U199" s="4604"/>
      <c r="V199" s="2384" t="s">
        <v>2255</v>
      </c>
      <c r="W199" s="993">
        <v>1000000</v>
      </c>
      <c r="X199" s="1621">
        <v>1000000</v>
      </c>
      <c r="Y199" s="1621">
        <v>1000000</v>
      </c>
      <c r="Z199" s="2385">
        <v>61</v>
      </c>
      <c r="AA199" s="2437" t="s">
        <v>1981</v>
      </c>
      <c r="AB199" s="4715"/>
      <c r="AC199" s="4715"/>
      <c r="AD199" s="4715"/>
      <c r="AE199" s="4715"/>
      <c r="AF199" s="4715"/>
      <c r="AG199" s="4715"/>
      <c r="AH199" s="4715"/>
      <c r="AI199" s="4715"/>
      <c r="AJ199" s="4715"/>
      <c r="AK199" s="4715"/>
      <c r="AL199" s="4715"/>
      <c r="AM199" s="4715"/>
      <c r="AN199" s="4715"/>
      <c r="AO199" s="4715"/>
      <c r="AP199" s="4715"/>
      <c r="AQ199" s="4715"/>
      <c r="AR199" s="4715"/>
      <c r="AS199" s="4715"/>
      <c r="AT199" s="4715"/>
      <c r="AU199" s="4715"/>
      <c r="AV199" s="4715"/>
      <c r="AW199" s="4715"/>
      <c r="AX199" s="4715"/>
      <c r="AY199" s="4715"/>
      <c r="AZ199" s="4715"/>
      <c r="BA199" s="4715"/>
      <c r="BB199" s="4715"/>
      <c r="BC199" s="4715"/>
      <c r="BD199" s="4715"/>
      <c r="BE199" s="4715"/>
      <c r="BF199" s="4715"/>
      <c r="BG199" s="4715"/>
      <c r="BH199" s="4665"/>
      <c r="BI199" s="4668"/>
      <c r="BJ199" s="4668"/>
      <c r="BK199" s="4670"/>
      <c r="BL199" s="4665"/>
      <c r="BM199" s="4365"/>
      <c r="BN199" s="4722"/>
      <c r="BO199" s="4722"/>
      <c r="BP199" s="4722"/>
      <c r="BQ199" s="4365"/>
      <c r="BR199" s="3595"/>
    </row>
    <row r="200" spans="1:70" ht="60" x14ac:dyDescent="0.2">
      <c r="A200" s="2445"/>
      <c r="B200" s="1596"/>
      <c r="C200" s="1737"/>
      <c r="D200" s="1596"/>
      <c r="E200" s="1737"/>
      <c r="F200" s="1596"/>
      <c r="G200" s="2378"/>
      <c r="H200" s="2378"/>
      <c r="I200" s="2379"/>
      <c r="J200" s="4599">
        <v>156</v>
      </c>
      <c r="K200" s="4602" t="s">
        <v>2256</v>
      </c>
      <c r="L200" s="4605" t="s">
        <v>1974</v>
      </c>
      <c r="M200" s="3289">
        <v>12</v>
      </c>
      <c r="N200" s="3289">
        <v>1</v>
      </c>
      <c r="O200" s="4606"/>
      <c r="P200" s="4606"/>
      <c r="Q200" s="4603"/>
      <c r="R200" s="4638">
        <f>+(W200+W201+W202+W203+W204+W205)/S186</f>
        <v>0.33333333333333331</v>
      </c>
      <c r="S200" s="4642"/>
      <c r="T200" s="4603"/>
      <c r="U200" s="4602" t="s">
        <v>2257</v>
      </c>
      <c r="V200" s="2384" t="s">
        <v>2258</v>
      </c>
      <c r="W200" s="993">
        <v>20000000</v>
      </c>
      <c r="X200" s="1621">
        <v>8358000</v>
      </c>
      <c r="Y200" s="1621">
        <v>1527000</v>
      </c>
      <c r="Z200" s="2385">
        <v>61</v>
      </c>
      <c r="AA200" s="2437" t="s">
        <v>1981</v>
      </c>
      <c r="AB200" s="4715"/>
      <c r="AC200" s="4715"/>
      <c r="AD200" s="4715"/>
      <c r="AE200" s="4715"/>
      <c r="AF200" s="4715"/>
      <c r="AG200" s="4715"/>
      <c r="AH200" s="4715"/>
      <c r="AI200" s="4715"/>
      <c r="AJ200" s="4715"/>
      <c r="AK200" s="4715"/>
      <c r="AL200" s="4715"/>
      <c r="AM200" s="4715"/>
      <c r="AN200" s="4715"/>
      <c r="AO200" s="4715"/>
      <c r="AP200" s="4715"/>
      <c r="AQ200" s="4715"/>
      <c r="AR200" s="4715"/>
      <c r="AS200" s="4715"/>
      <c r="AT200" s="4715"/>
      <c r="AU200" s="4715"/>
      <c r="AV200" s="4715"/>
      <c r="AW200" s="4715"/>
      <c r="AX200" s="4715"/>
      <c r="AY200" s="4715"/>
      <c r="AZ200" s="4715"/>
      <c r="BA200" s="4715"/>
      <c r="BB200" s="4715"/>
      <c r="BC200" s="4715"/>
      <c r="BD200" s="4715"/>
      <c r="BE200" s="4715"/>
      <c r="BF200" s="4715"/>
      <c r="BG200" s="4715"/>
      <c r="BH200" s="4665"/>
      <c r="BI200" s="4668"/>
      <c r="BJ200" s="4668"/>
      <c r="BK200" s="4670"/>
      <c r="BL200" s="4665"/>
      <c r="BM200" s="4365"/>
      <c r="BN200" s="4722"/>
      <c r="BO200" s="4722"/>
      <c r="BP200" s="4722"/>
      <c r="BQ200" s="4365"/>
      <c r="BR200" s="3595"/>
    </row>
    <row r="201" spans="1:70" ht="60" x14ac:dyDescent="0.2">
      <c r="A201" s="2445"/>
      <c r="B201" s="1596"/>
      <c r="C201" s="1737"/>
      <c r="D201" s="1596"/>
      <c r="E201" s="1737"/>
      <c r="F201" s="1596"/>
      <c r="G201" s="2378"/>
      <c r="H201" s="2378"/>
      <c r="I201" s="2379"/>
      <c r="J201" s="4600"/>
      <c r="K201" s="4603"/>
      <c r="L201" s="4606"/>
      <c r="M201" s="3289"/>
      <c r="N201" s="3289"/>
      <c r="O201" s="4606"/>
      <c r="P201" s="4606"/>
      <c r="Q201" s="4603"/>
      <c r="R201" s="4639"/>
      <c r="S201" s="4642"/>
      <c r="T201" s="4603"/>
      <c r="U201" s="4603"/>
      <c r="V201" s="2384" t="s">
        <v>2259</v>
      </c>
      <c r="W201" s="993">
        <v>20000000</v>
      </c>
      <c r="X201" s="1621">
        <v>8358000</v>
      </c>
      <c r="Y201" s="1621">
        <v>1527000</v>
      </c>
      <c r="Z201" s="2385">
        <v>61</v>
      </c>
      <c r="AA201" s="2437" t="s">
        <v>1981</v>
      </c>
      <c r="AB201" s="4715"/>
      <c r="AC201" s="4715"/>
      <c r="AD201" s="4715"/>
      <c r="AE201" s="4715"/>
      <c r="AF201" s="4715"/>
      <c r="AG201" s="4715"/>
      <c r="AH201" s="4715"/>
      <c r="AI201" s="4715"/>
      <c r="AJ201" s="4715"/>
      <c r="AK201" s="4715"/>
      <c r="AL201" s="4715"/>
      <c r="AM201" s="4715"/>
      <c r="AN201" s="4715"/>
      <c r="AO201" s="4715"/>
      <c r="AP201" s="4715"/>
      <c r="AQ201" s="4715"/>
      <c r="AR201" s="4715"/>
      <c r="AS201" s="4715"/>
      <c r="AT201" s="4715"/>
      <c r="AU201" s="4715"/>
      <c r="AV201" s="4715"/>
      <c r="AW201" s="4715"/>
      <c r="AX201" s="4715"/>
      <c r="AY201" s="4715"/>
      <c r="AZ201" s="4715"/>
      <c r="BA201" s="4715"/>
      <c r="BB201" s="4715"/>
      <c r="BC201" s="4715"/>
      <c r="BD201" s="4715"/>
      <c r="BE201" s="4715"/>
      <c r="BF201" s="4715"/>
      <c r="BG201" s="4715"/>
      <c r="BH201" s="4665"/>
      <c r="BI201" s="4668"/>
      <c r="BJ201" s="4668"/>
      <c r="BK201" s="4670"/>
      <c r="BL201" s="4665"/>
      <c r="BM201" s="4365"/>
      <c r="BN201" s="4722"/>
      <c r="BO201" s="4722"/>
      <c r="BP201" s="4722"/>
      <c r="BQ201" s="4365"/>
      <c r="BR201" s="3595"/>
    </row>
    <row r="202" spans="1:70" ht="60" x14ac:dyDescent="0.2">
      <c r="A202" s="2445"/>
      <c r="B202" s="1596"/>
      <c r="C202" s="1737"/>
      <c r="D202" s="1596"/>
      <c r="E202" s="1737"/>
      <c r="F202" s="1596"/>
      <c r="G202" s="2378"/>
      <c r="H202" s="2378"/>
      <c r="I202" s="2379"/>
      <c r="J202" s="4600"/>
      <c r="K202" s="4603"/>
      <c r="L202" s="4606"/>
      <c r="M202" s="3289"/>
      <c r="N202" s="3289"/>
      <c r="O202" s="4606"/>
      <c r="P202" s="4606"/>
      <c r="Q202" s="4603"/>
      <c r="R202" s="4639"/>
      <c r="S202" s="4642"/>
      <c r="T202" s="4603"/>
      <c r="U202" s="4603"/>
      <c r="V202" s="2384" t="s">
        <v>2260</v>
      </c>
      <c r="W202" s="993">
        <v>4000000</v>
      </c>
      <c r="X202" s="1621">
        <v>4000000</v>
      </c>
      <c r="Y202" s="1621">
        <v>1526000</v>
      </c>
      <c r="Z202" s="2385">
        <v>61</v>
      </c>
      <c r="AA202" s="2437" t="s">
        <v>1981</v>
      </c>
      <c r="AB202" s="4715"/>
      <c r="AC202" s="4715"/>
      <c r="AD202" s="4715"/>
      <c r="AE202" s="4715"/>
      <c r="AF202" s="4715"/>
      <c r="AG202" s="4715"/>
      <c r="AH202" s="4715"/>
      <c r="AI202" s="4715"/>
      <c r="AJ202" s="4715"/>
      <c r="AK202" s="4715"/>
      <c r="AL202" s="4715"/>
      <c r="AM202" s="4715"/>
      <c r="AN202" s="4715"/>
      <c r="AO202" s="4715"/>
      <c r="AP202" s="4715"/>
      <c r="AQ202" s="4715"/>
      <c r="AR202" s="4715"/>
      <c r="AS202" s="4715"/>
      <c r="AT202" s="4715"/>
      <c r="AU202" s="4715"/>
      <c r="AV202" s="4715"/>
      <c r="AW202" s="4715"/>
      <c r="AX202" s="4715"/>
      <c r="AY202" s="4715"/>
      <c r="AZ202" s="4715"/>
      <c r="BA202" s="4715"/>
      <c r="BB202" s="4715"/>
      <c r="BC202" s="4715"/>
      <c r="BD202" s="4715"/>
      <c r="BE202" s="4715"/>
      <c r="BF202" s="4715"/>
      <c r="BG202" s="4715"/>
      <c r="BH202" s="4665"/>
      <c r="BI202" s="4668"/>
      <c r="BJ202" s="4668"/>
      <c r="BK202" s="4670"/>
      <c r="BL202" s="4665"/>
      <c r="BM202" s="4365"/>
      <c r="BN202" s="4722"/>
      <c r="BO202" s="4722"/>
      <c r="BP202" s="4722"/>
      <c r="BQ202" s="4365"/>
      <c r="BR202" s="3595"/>
    </row>
    <row r="203" spans="1:70" ht="45" x14ac:dyDescent="0.2">
      <c r="A203" s="2445"/>
      <c r="B203" s="1596"/>
      <c r="C203" s="1737"/>
      <c r="D203" s="1596"/>
      <c r="E203" s="1737"/>
      <c r="F203" s="1596"/>
      <c r="G203" s="2378"/>
      <c r="H203" s="2378"/>
      <c r="I203" s="2379"/>
      <c r="J203" s="4600"/>
      <c r="K203" s="4603"/>
      <c r="L203" s="4606"/>
      <c r="M203" s="3289"/>
      <c r="N203" s="3289"/>
      <c r="O203" s="4606"/>
      <c r="P203" s="4606"/>
      <c r="Q203" s="4603"/>
      <c r="R203" s="4639"/>
      <c r="S203" s="4642"/>
      <c r="T203" s="4603"/>
      <c r="U203" s="4603"/>
      <c r="V203" s="2384" t="s">
        <v>2261</v>
      </c>
      <c r="W203" s="993">
        <v>16000000</v>
      </c>
      <c r="X203" s="1621">
        <v>8358000</v>
      </c>
      <c r="Y203" s="1621">
        <v>1526000</v>
      </c>
      <c r="Z203" s="2385">
        <v>61</v>
      </c>
      <c r="AA203" s="2437" t="s">
        <v>1981</v>
      </c>
      <c r="AB203" s="4715"/>
      <c r="AC203" s="4715"/>
      <c r="AD203" s="4715"/>
      <c r="AE203" s="4715"/>
      <c r="AF203" s="4715"/>
      <c r="AG203" s="4715"/>
      <c r="AH203" s="4715"/>
      <c r="AI203" s="4715"/>
      <c r="AJ203" s="4715"/>
      <c r="AK203" s="4715"/>
      <c r="AL203" s="4715"/>
      <c r="AM203" s="4715"/>
      <c r="AN203" s="4715"/>
      <c r="AO203" s="4715"/>
      <c r="AP203" s="4715"/>
      <c r="AQ203" s="4715"/>
      <c r="AR203" s="4715"/>
      <c r="AS203" s="4715"/>
      <c r="AT203" s="4715"/>
      <c r="AU203" s="4715"/>
      <c r="AV203" s="4715"/>
      <c r="AW203" s="4715"/>
      <c r="AX203" s="4715"/>
      <c r="AY203" s="4715"/>
      <c r="AZ203" s="4715"/>
      <c r="BA203" s="4715"/>
      <c r="BB203" s="4715"/>
      <c r="BC203" s="4715"/>
      <c r="BD203" s="4715"/>
      <c r="BE203" s="4715"/>
      <c r="BF203" s="4715"/>
      <c r="BG203" s="4715"/>
      <c r="BH203" s="4665"/>
      <c r="BI203" s="4668"/>
      <c r="BJ203" s="4668"/>
      <c r="BK203" s="4670"/>
      <c r="BL203" s="4665"/>
      <c r="BM203" s="4365"/>
      <c r="BN203" s="4722"/>
      <c r="BO203" s="4722"/>
      <c r="BP203" s="4722"/>
      <c r="BQ203" s="4365"/>
      <c r="BR203" s="3595"/>
    </row>
    <row r="204" spans="1:70" ht="45" x14ac:dyDescent="0.2">
      <c r="A204" s="2445"/>
      <c r="B204" s="1596"/>
      <c r="C204" s="1737"/>
      <c r="D204" s="1596"/>
      <c r="E204" s="1737"/>
      <c r="F204" s="1596"/>
      <c r="G204" s="2378"/>
      <c r="H204" s="2378"/>
      <c r="I204" s="2379"/>
      <c r="J204" s="4600"/>
      <c r="K204" s="4603"/>
      <c r="L204" s="4606"/>
      <c r="M204" s="3289"/>
      <c r="N204" s="3289"/>
      <c r="O204" s="4606"/>
      <c r="P204" s="4606"/>
      <c r="Q204" s="4603"/>
      <c r="R204" s="4639"/>
      <c r="S204" s="4642"/>
      <c r="T204" s="4603"/>
      <c r="U204" s="4603"/>
      <c r="V204" s="2384" t="s">
        <v>2262</v>
      </c>
      <c r="W204" s="993">
        <v>16000000</v>
      </c>
      <c r="X204" s="1621">
        <v>8358000</v>
      </c>
      <c r="Y204" s="1621">
        <v>1526000</v>
      </c>
      <c r="Z204" s="2385">
        <v>61</v>
      </c>
      <c r="AA204" s="2437" t="s">
        <v>1981</v>
      </c>
      <c r="AB204" s="4715"/>
      <c r="AC204" s="4715"/>
      <c r="AD204" s="4715"/>
      <c r="AE204" s="4715"/>
      <c r="AF204" s="4715"/>
      <c r="AG204" s="4715"/>
      <c r="AH204" s="4715"/>
      <c r="AI204" s="4715"/>
      <c r="AJ204" s="4715"/>
      <c r="AK204" s="4715"/>
      <c r="AL204" s="4715"/>
      <c r="AM204" s="4715"/>
      <c r="AN204" s="4715"/>
      <c r="AO204" s="4715"/>
      <c r="AP204" s="4715"/>
      <c r="AQ204" s="4715"/>
      <c r="AR204" s="4715"/>
      <c r="AS204" s="4715"/>
      <c r="AT204" s="4715"/>
      <c r="AU204" s="4715"/>
      <c r="AV204" s="4715"/>
      <c r="AW204" s="4715"/>
      <c r="AX204" s="4715"/>
      <c r="AY204" s="4715"/>
      <c r="AZ204" s="4715"/>
      <c r="BA204" s="4715"/>
      <c r="BB204" s="4715"/>
      <c r="BC204" s="4715"/>
      <c r="BD204" s="4715"/>
      <c r="BE204" s="4715"/>
      <c r="BF204" s="4715"/>
      <c r="BG204" s="4715"/>
      <c r="BH204" s="4665"/>
      <c r="BI204" s="4668"/>
      <c r="BJ204" s="4668"/>
      <c r="BK204" s="4670"/>
      <c r="BL204" s="4665"/>
      <c r="BM204" s="4365"/>
      <c r="BN204" s="4722"/>
      <c r="BO204" s="4722"/>
      <c r="BP204" s="4722"/>
      <c r="BQ204" s="4365"/>
      <c r="BR204" s="3595"/>
    </row>
    <row r="205" spans="1:70" ht="45" x14ac:dyDescent="0.2">
      <c r="A205" s="2445"/>
      <c r="B205" s="1596"/>
      <c r="C205" s="1737"/>
      <c r="D205" s="1596"/>
      <c r="E205" s="1737"/>
      <c r="F205" s="1596"/>
      <c r="G205" s="2378"/>
      <c r="H205" s="2378"/>
      <c r="I205" s="2379"/>
      <c r="J205" s="4601"/>
      <c r="K205" s="4604"/>
      <c r="L205" s="4607"/>
      <c r="M205" s="3289"/>
      <c r="N205" s="3289"/>
      <c r="O205" s="4606"/>
      <c r="P205" s="4606"/>
      <c r="Q205" s="4603"/>
      <c r="R205" s="4640"/>
      <c r="S205" s="4642"/>
      <c r="T205" s="4603"/>
      <c r="U205" s="4604"/>
      <c r="V205" s="2384" t="s">
        <v>2263</v>
      </c>
      <c r="W205" s="993">
        <v>16000000</v>
      </c>
      <c r="X205" s="1621">
        <v>8358000</v>
      </c>
      <c r="Y205" s="1621">
        <v>1526000</v>
      </c>
      <c r="Z205" s="2385">
        <v>61</v>
      </c>
      <c r="AA205" s="2437" t="s">
        <v>1981</v>
      </c>
      <c r="AB205" s="4715"/>
      <c r="AC205" s="4715"/>
      <c r="AD205" s="4715"/>
      <c r="AE205" s="4715"/>
      <c r="AF205" s="4715"/>
      <c r="AG205" s="4715"/>
      <c r="AH205" s="4715"/>
      <c r="AI205" s="4715"/>
      <c r="AJ205" s="4715"/>
      <c r="AK205" s="4715"/>
      <c r="AL205" s="4715"/>
      <c r="AM205" s="4715"/>
      <c r="AN205" s="4715"/>
      <c r="AO205" s="4715"/>
      <c r="AP205" s="4715"/>
      <c r="AQ205" s="4715"/>
      <c r="AR205" s="4715"/>
      <c r="AS205" s="4715"/>
      <c r="AT205" s="4715"/>
      <c r="AU205" s="4715"/>
      <c r="AV205" s="4715"/>
      <c r="AW205" s="4715"/>
      <c r="AX205" s="4715"/>
      <c r="AY205" s="4715"/>
      <c r="AZ205" s="4715"/>
      <c r="BA205" s="4715"/>
      <c r="BB205" s="4715"/>
      <c r="BC205" s="4715"/>
      <c r="BD205" s="4715"/>
      <c r="BE205" s="4715"/>
      <c r="BF205" s="4715"/>
      <c r="BG205" s="4715"/>
      <c r="BH205" s="4665"/>
      <c r="BI205" s="4668"/>
      <c r="BJ205" s="4668"/>
      <c r="BK205" s="4670"/>
      <c r="BL205" s="4665"/>
      <c r="BM205" s="4365"/>
      <c r="BN205" s="4722"/>
      <c r="BO205" s="4722"/>
      <c r="BP205" s="4722"/>
      <c r="BQ205" s="4365"/>
      <c r="BR205" s="3595"/>
    </row>
    <row r="206" spans="1:70" ht="45" x14ac:dyDescent="0.2">
      <c r="A206" s="2445"/>
      <c r="B206" s="1596"/>
      <c r="C206" s="1737"/>
      <c r="D206" s="1596"/>
      <c r="E206" s="1737"/>
      <c r="F206" s="1596"/>
      <c r="G206" s="2378"/>
      <c r="H206" s="2378"/>
      <c r="I206" s="2379"/>
      <c r="J206" s="4599">
        <v>157</v>
      </c>
      <c r="K206" s="4602" t="s">
        <v>2264</v>
      </c>
      <c r="L206" s="4605" t="s">
        <v>1974</v>
      </c>
      <c r="M206" s="3289">
        <v>12</v>
      </c>
      <c r="N206" s="3289">
        <v>3</v>
      </c>
      <c r="O206" s="4606"/>
      <c r="P206" s="4606"/>
      <c r="Q206" s="4603"/>
      <c r="R206" s="4638">
        <f>+(W206+W207+W208+W209+W210+W211+W212+W213)/S186</f>
        <v>0.20289855072463769</v>
      </c>
      <c r="S206" s="4642"/>
      <c r="T206" s="4603"/>
      <c r="U206" s="4602" t="s">
        <v>2265</v>
      </c>
      <c r="V206" s="2384" t="s">
        <v>2266</v>
      </c>
      <c r="W206" s="992">
        <v>4800000</v>
      </c>
      <c r="X206" s="1621">
        <v>2868125</v>
      </c>
      <c r="Y206" s="1621">
        <v>349750</v>
      </c>
      <c r="Z206" s="2385">
        <v>61</v>
      </c>
      <c r="AA206" s="2437" t="s">
        <v>1981</v>
      </c>
      <c r="AB206" s="4715"/>
      <c r="AC206" s="4715"/>
      <c r="AD206" s="4715"/>
      <c r="AE206" s="4715"/>
      <c r="AF206" s="4715"/>
      <c r="AG206" s="4715"/>
      <c r="AH206" s="4715"/>
      <c r="AI206" s="4715"/>
      <c r="AJ206" s="4715"/>
      <c r="AK206" s="4715"/>
      <c r="AL206" s="4715"/>
      <c r="AM206" s="4715"/>
      <c r="AN206" s="4715"/>
      <c r="AO206" s="4715"/>
      <c r="AP206" s="4715"/>
      <c r="AQ206" s="4715"/>
      <c r="AR206" s="4715"/>
      <c r="AS206" s="4715"/>
      <c r="AT206" s="4715"/>
      <c r="AU206" s="4715"/>
      <c r="AV206" s="4715"/>
      <c r="AW206" s="4715"/>
      <c r="AX206" s="4715"/>
      <c r="AY206" s="4715"/>
      <c r="AZ206" s="4715"/>
      <c r="BA206" s="4715"/>
      <c r="BB206" s="4715"/>
      <c r="BC206" s="4715"/>
      <c r="BD206" s="4715"/>
      <c r="BE206" s="4715"/>
      <c r="BF206" s="4715"/>
      <c r="BG206" s="4715"/>
      <c r="BH206" s="4665"/>
      <c r="BI206" s="4668"/>
      <c r="BJ206" s="4668"/>
      <c r="BK206" s="4670"/>
      <c r="BL206" s="4665"/>
      <c r="BM206" s="4365"/>
      <c r="BN206" s="4722"/>
      <c r="BO206" s="4722"/>
      <c r="BP206" s="4722"/>
      <c r="BQ206" s="4365"/>
      <c r="BR206" s="3595"/>
    </row>
    <row r="207" spans="1:70" ht="45" x14ac:dyDescent="0.2">
      <c r="A207" s="2445"/>
      <c r="B207" s="1596"/>
      <c r="C207" s="1737"/>
      <c r="D207" s="1596"/>
      <c r="E207" s="1737"/>
      <c r="F207" s="1596"/>
      <c r="G207" s="2378"/>
      <c r="H207" s="2378"/>
      <c r="I207" s="2379"/>
      <c r="J207" s="4600"/>
      <c r="K207" s="4603"/>
      <c r="L207" s="4606"/>
      <c r="M207" s="3289"/>
      <c r="N207" s="3289"/>
      <c r="O207" s="4606"/>
      <c r="P207" s="4606"/>
      <c r="Q207" s="4603"/>
      <c r="R207" s="4639"/>
      <c r="S207" s="4642"/>
      <c r="T207" s="4603"/>
      <c r="U207" s="4603"/>
      <c r="V207" s="2384" t="s">
        <v>2267</v>
      </c>
      <c r="W207" s="993">
        <v>10800000</v>
      </c>
      <c r="X207" s="1621">
        <v>2868125</v>
      </c>
      <c r="Y207" s="1621">
        <v>349750</v>
      </c>
      <c r="Z207" s="2385">
        <v>61</v>
      </c>
      <c r="AA207" s="2437" t="s">
        <v>1981</v>
      </c>
      <c r="AB207" s="4715"/>
      <c r="AC207" s="4715"/>
      <c r="AD207" s="4715"/>
      <c r="AE207" s="4715"/>
      <c r="AF207" s="4715"/>
      <c r="AG207" s="4715"/>
      <c r="AH207" s="4715"/>
      <c r="AI207" s="4715"/>
      <c r="AJ207" s="4715"/>
      <c r="AK207" s="4715"/>
      <c r="AL207" s="4715"/>
      <c r="AM207" s="4715"/>
      <c r="AN207" s="4715"/>
      <c r="AO207" s="4715"/>
      <c r="AP207" s="4715"/>
      <c r="AQ207" s="4715"/>
      <c r="AR207" s="4715"/>
      <c r="AS207" s="4715"/>
      <c r="AT207" s="4715"/>
      <c r="AU207" s="4715"/>
      <c r="AV207" s="4715"/>
      <c r="AW207" s="4715"/>
      <c r="AX207" s="4715"/>
      <c r="AY207" s="4715"/>
      <c r="AZ207" s="4715"/>
      <c r="BA207" s="4715"/>
      <c r="BB207" s="4715"/>
      <c r="BC207" s="4715"/>
      <c r="BD207" s="4715"/>
      <c r="BE207" s="4715"/>
      <c r="BF207" s="4715"/>
      <c r="BG207" s="4715"/>
      <c r="BH207" s="4665"/>
      <c r="BI207" s="4668"/>
      <c r="BJ207" s="4668"/>
      <c r="BK207" s="4670"/>
      <c r="BL207" s="4665"/>
      <c r="BM207" s="4365"/>
      <c r="BN207" s="4722"/>
      <c r="BO207" s="4722"/>
      <c r="BP207" s="4722"/>
      <c r="BQ207" s="4365"/>
      <c r="BR207" s="3595"/>
    </row>
    <row r="208" spans="1:70" ht="75" x14ac:dyDescent="0.2">
      <c r="A208" s="2445"/>
      <c r="B208" s="1596"/>
      <c r="C208" s="1737"/>
      <c r="D208" s="1596"/>
      <c r="E208" s="1737"/>
      <c r="F208" s="1596"/>
      <c r="G208" s="2378"/>
      <c r="H208" s="2378"/>
      <c r="I208" s="2379"/>
      <c r="J208" s="4600"/>
      <c r="K208" s="4603"/>
      <c r="L208" s="4606"/>
      <c r="M208" s="3289"/>
      <c r="N208" s="3289"/>
      <c r="O208" s="4606"/>
      <c r="P208" s="4606"/>
      <c r="Q208" s="4603"/>
      <c r="R208" s="4639"/>
      <c r="S208" s="4642"/>
      <c r="T208" s="4603"/>
      <c r="U208" s="4603"/>
      <c r="V208" s="2384" t="s">
        <v>2268</v>
      </c>
      <c r="W208" s="993">
        <v>4800000</v>
      </c>
      <c r="X208" s="1621">
        <v>2868125</v>
      </c>
      <c r="Y208" s="1621">
        <v>349750</v>
      </c>
      <c r="Z208" s="2385">
        <v>61</v>
      </c>
      <c r="AA208" s="2437" t="s">
        <v>1981</v>
      </c>
      <c r="AB208" s="4715"/>
      <c r="AC208" s="4715"/>
      <c r="AD208" s="4715"/>
      <c r="AE208" s="4715"/>
      <c r="AF208" s="4715"/>
      <c r="AG208" s="4715"/>
      <c r="AH208" s="4715"/>
      <c r="AI208" s="4715"/>
      <c r="AJ208" s="4715"/>
      <c r="AK208" s="4715"/>
      <c r="AL208" s="4715"/>
      <c r="AM208" s="4715"/>
      <c r="AN208" s="4715"/>
      <c r="AO208" s="4715"/>
      <c r="AP208" s="4715"/>
      <c r="AQ208" s="4715"/>
      <c r="AR208" s="4715"/>
      <c r="AS208" s="4715"/>
      <c r="AT208" s="4715"/>
      <c r="AU208" s="4715"/>
      <c r="AV208" s="4715"/>
      <c r="AW208" s="4715"/>
      <c r="AX208" s="4715"/>
      <c r="AY208" s="4715"/>
      <c r="AZ208" s="4715"/>
      <c r="BA208" s="4715"/>
      <c r="BB208" s="4715"/>
      <c r="BC208" s="4715"/>
      <c r="BD208" s="4715"/>
      <c r="BE208" s="4715"/>
      <c r="BF208" s="4715"/>
      <c r="BG208" s="4715"/>
      <c r="BH208" s="4665"/>
      <c r="BI208" s="4668"/>
      <c r="BJ208" s="4668"/>
      <c r="BK208" s="4670"/>
      <c r="BL208" s="4665"/>
      <c r="BM208" s="4365"/>
      <c r="BN208" s="4722"/>
      <c r="BO208" s="4722"/>
      <c r="BP208" s="4722"/>
      <c r="BQ208" s="4365"/>
      <c r="BR208" s="3595"/>
    </row>
    <row r="209" spans="1:71" ht="57.75" customHeight="1" x14ac:dyDescent="0.2">
      <c r="A209" s="2445"/>
      <c r="B209" s="1596"/>
      <c r="C209" s="1737"/>
      <c r="D209" s="1596"/>
      <c r="E209" s="1737"/>
      <c r="F209" s="1596"/>
      <c r="G209" s="2378"/>
      <c r="H209" s="2378"/>
      <c r="I209" s="2379"/>
      <c r="J209" s="4600"/>
      <c r="K209" s="4603"/>
      <c r="L209" s="4606"/>
      <c r="M209" s="3289"/>
      <c r="N209" s="3289"/>
      <c r="O209" s="4606"/>
      <c r="P209" s="4606"/>
      <c r="Q209" s="4603"/>
      <c r="R209" s="4639"/>
      <c r="S209" s="4642"/>
      <c r="T209" s="4603"/>
      <c r="U209" s="4603"/>
      <c r="V209" s="2384" t="s">
        <v>2269</v>
      </c>
      <c r="W209" s="993">
        <v>3600000</v>
      </c>
      <c r="X209" s="1621">
        <v>2868125</v>
      </c>
      <c r="Y209" s="1621">
        <v>349750</v>
      </c>
      <c r="Z209" s="2385">
        <v>61</v>
      </c>
      <c r="AA209" s="2437" t="s">
        <v>1981</v>
      </c>
      <c r="AB209" s="4715"/>
      <c r="AC209" s="4715"/>
      <c r="AD209" s="4715"/>
      <c r="AE209" s="4715"/>
      <c r="AF209" s="4715"/>
      <c r="AG209" s="4715"/>
      <c r="AH209" s="4715"/>
      <c r="AI209" s="4715"/>
      <c r="AJ209" s="4715"/>
      <c r="AK209" s="4715"/>
      <c r="AL209" s="4715"/>
      <c r="AM209" s="4715"/>
      <c r="AN209" s="4715"/>
      <c r="AO209" s="4715"/>
      <c r="AP209" s="4715"/>
      <c r="AQ209" s="4715"/>
      <c r="AR209" s="4715"/>
      <c r="AS209" s="4715"/>
      <c r="AT209" s="4715"/>
      <c r="AU209" s="4715"/>
      <c r="AV209" s="4715"/>
      <c r="AW209" s="4715"/>
      <c r="AX209" s="4715"/>
      <c r="AY209" s="4715"/>
      <c r="AZ209" s="4715"/>
      <c r="BA209" s="4715"/>
      <c r="BB209" s="4715"/>
      <c r="BC209" s="4715"/>
      <c r="BD209" s="4715"/>
      <c r="BE209" s="4715"/>
      <c r="BF209" s="4715"/>
      <c r="BG209" s="4715"/>
      <c r="BH209" s="4665"/>
      <c r="BI209" s="4668"/>
      <c r="BJ209" s="4668"/>
      <c r="BK209" s="4670"/>
      <c r="BL209" s="4665"/>
      <c r="BM209" s="4365"/>
      <c r="BN209" s="4722"/>
      <c r="BO209" s="4722"/>
      <c r="BP209" s="4722"/>
      <c r="BQ209" s="4365"/>
      <c r="BR209" s="3595"/>
    </row>
    <row r="210" spans="1:71" ht="45" x14ac:dyDescent="0.2">
      <c r="A210" s="2445"/>
      <c r="B210" s="1596"/>
      <c r="C210" s="1737"/>
      <c r="D210" s="1596"/>
      <c r="E210" s="1737"/>
      <c r="F210" s="1596"/>
      <c r="G210" s="2378"/>
      <c r="H210" s="2378"/>
      <c r="I210" s="2379"/>
      <c r="J210" s="4600"/>
      <c r="K210" s="4603"/>
      <c r="L210" s="4606"/>
      <c r="M210" s="3289"/>
      <c r="N210" s="3289"/>
      <c r="O210" s="4606"/>
      <c r="P210" s="4606"/>
      <c r="Q210" s="4603"/>
      <c r="R210" s="4639"/>
      <c r="S210" s="4642"/>
      <c r="T210" s="4603"/>
      <c r="U210" s="4603"/>
      <c r="V210" s="2384" t="s">
        <v>2270</v>
      </c>
      <c r="W210" s="993">
        <v>6000000</v>
      </c>
      <c r="X210" s="1621">
        <v>2868125</v>
      </c>
      <c r="Y210" s="1621">
        <v>349750</v>
      </c>
      <c r="Z210" s="2385">
        <v>61</v>
      </c>
      <c r="AA210" s="2437" t="s">
        <v>1981</v>
      </c>
      <c r="AB210" s="4715"/>
      <c r="AC210" s="4715"/>
      <c r="AD210" s="4715"/>
      <c r="AE210" s="4715"/>
      <c r="AF210" s="4715"/>
      <c r="AG210" s="4715"/>
      <c r="AH210" s="4715"/>
      <c r="AI210" s="4715"/>
      <c r="AJ210" s="4715"/>
      <c r="AK210" s="4715"/>
      <c r="AL210" s="4715"/>
      <c r="AM210" s="4715"/>
      <c r="AN210" s="4715"/>
      <c r="AO210" s="4715"/>
      <c r="AP210" s="4715"/>
      <c r="AQ210" s="4715"/>
      <c r="AR210" s="4715"/>
      <c r="AS210" s="4715"/>
      <c r="AT210" s="4715"/>
      <c r="AU210" s="4715"/>
      <c r="AV210" s="4715"/>
      <c r="AW210" s="4715"/>
      <c r="AX210" s="4715"/>
      <c r="AY210" s="4715"/>
      <c r="AZ210" s="4715"/>
      <c r="BA210" s="4715"/>
      <c r="BB210" s="4715"/>
      <c r="BC210" s="4715"/>
      <c r="BD210" s="4715"/>
      <c r="BE210" s="4715"/>
      <c r="BF210" s="4715"/>
      <c r="BG210" s="4715"/>
      <c r="BH210" s="4665"/>
      <c r="BI210" s="4668"/>
      <c r="BJ210" s="4668"/>
      <c r="BK210" s="4670"/>
      <c r="BL210" s="4665"/>
      <c r="BM210" s="4365"/>
      <c r="BN210" s="4722"/>
      <c r="BO210" s="4722"/>
      <c r="BP210" s="4722"/>
      <c r="BQ210" s="4365"/>
      <c r="BR210" s="3595"/>
    </row>
    <row r="211" spans="1:71" ht="45" x14ac:dyDescent="0.2">
      <c r="A211" s="2445"/>
      <c r="B211" s="1596"/>
      <c r="C211" s="1737"/>
      <c r="D211" s="1596"/>
      <c r="E211" s="1737"/>
      <c r="F211" s="1596"/>
      <c r="G211" s="2378"/>
      <c r="H211" s="2378"/>
      <c r="I211" s="2379"/>
      <c r="J211" s="4600"/>
      <c r="K211" s="4603"/>
      <c r="L211" s="4606"/>
      <c r="M211" s="3289"/>
      <c r="N211" s="3289"/>
      <c r="O211" s="4606"/>
      <c r="P211" s="4606"/>
      <c r="Q211" s="4603"/>
      <c r="R211" s="4639"/>
      <c r="S211" s="4642"/>
      <c r="T211" s="4603"/>
      <c r="U211" s="4603"/>
      <c r="V211" s="2384" t="s">
        <v>2271</v>
      </c>
      <c r="W211" s="993">
        <v>8000000</v>
      </c>
      <c r="X211" s="1621">
        <v>2868125</v>
      </c>
      <c r="Y211" s="1621">
        <v>349750</v>
      </c>
      <c r="Z211" s="2385">
        <v>61</v>
      </c>
      <c r="AA211" s="2437" t="s">
        <v>1981</v>
      </c>
      <c r="AB211" s="4715"/>
      <c r="AC211" s="4715"/>
      <c r="AD211" s="4715"/>
      <c r="AE211" s="4715"/>
      <c r="AF211" s="4715"/>
      <c r="AG211" s="4715"/>
      <c r="AH211" s="4715"/>
      <c r="AI211" s="4715"/>
      <c r="AJ211" s="4715"/>
      <c r="AK211" s="4715"/>
      <c r="AL211" s="4715"/>
      <c r="AM211" s="4715"/>
      <c r="AN211" s="4715"/>
      <c r="AO211" s="4715"/>
      <c r="AP211" s="4715"/>
      <c r="AQ211" s="4715"/>
      <c r="AR211" s="4715"/>
      <c r="AS211" s="4715"/>
      <c r="AT211" s="4715"/>
      <c r="AU211" s="4715"/>
      <c r="AV211" s="4715"/>
      <c r="AW211" s="4715"/>
      <c r="AX211" s="4715"/>
      <c r="AY211" s="4715"/>
      <c r="AZ211" s="4715"/>
      <c r="BA211" s="4715"/>
      <c r="BB211" s="4715"/>
      <c r="BC211" s="4715"/>
      <c r="BD211" s="4715"/>
      <c r="BE211" s="4715"/>
      <c r="BF211" s="4715"/>
      <c r="BG211" s="4715"/>
      <c r="BH211" s="4665"/>
      <c r="BI211" s="4668"/>
      <c r="BJ211" s="4668"/>
      <c r="BK211" s="4670"/>
      <c r="BL211" s="4665"/>
      <c r="BM211" s="4365"/>
      <c r="BN211" s="4722"/>
      <c r="BO211" s="4722"/>
      <c r="BP211" s="4722"/>
      <c r="BQ211" s="4365"/>
      <c r="BR211" s="3595"/>
    </row>
    <row r="212" spans="1:71" ht="45" x14ac:dyDescent="0.2">
      <c r="A212" s="2445"/>
      <c r="B212" s="1596"/>
      <c r="C212" s="1737"/>
      <c r="D212" s="1596"/>
      <c r="E212" s="1737"/>
      <c r="F212" s="1596"/>
      <c r="G212" s="2378"/>
      <c r="H212" s="2378"/>
      <c r="I212" s="2379"/>
      <c r="J212" s="4600"/>
      <c r="K212" s="4603"/>
      <c r="L212" s="4606"/>
      <c r="M212" s="3289"/>
      <c r="N212" s="3289"/>
      <c r="O212" s="4606"/>
      <c r="P212" s="4606"/>
      <c r="Q212" s="4603"/>
      <c r="R212" s="4639"/>
      <c r="S212" s="4642"/>
      <c r="T212" s="4603"/>
      <c r="U212" s="4603"/>
      <c r="V212" s="2384" t="s">
        <v>2272</v>
      </c>
      <c r="W212" s="993">
        <v>12000000</v>
      </c>
      <c r="X212" s="1621">
        <v>2868125</v>
      </c>
      <c r="Y212" s="1621">
        <v>349750</v>
      </c>
      <c r="Z212" s="2385">
        <v>61</v>
      </c>
      <c r="AA212" s="2437" t="s">
        <v>1981</v>
      </c>
      <c r="AB212" s="4715"/>
      <c r="AC212" s="4715"/>
      <c r="AD212" s="4715"/>
      <c r="AE212" s="4715"/>
      <c r="AF212" s="4715"/>
      <c r="AG212" s="4715"/>
      <c r="AH212" s="4715"/>
      <c r="AI212" s="4715"/>
      <c r="AJ212" s="4715"/>
      <c r="AK212" s="4715"/>
      <c r="AL212" s="4715"/>
      <c r="AM212" s="4715"/>
      <c r="AN212" s="4715"/>
      <c r="AO212" s="4715"/>
      <c r="AP212" s="4715"/>
      <c r="AQ212" s="4715"/>
      <c r="AR212" s="4715"/>
      <c r="AS212" s="4715"/>
      <c r="AT212" s="4715"/>
      <c r="AU212" s="4715"/>
      <c r="AV212" s="4715"/>
      <c r="AW212" s="4715"/>
      <c r="AX212" s="4715"/>
      <c r="AY212" s="4715"/>
      <c r="AZ212" s="4715"/>
      <c r="BA212" s="4715"/>
      <c r="BB212" s="4715"/>
      <c r="BC212" s="4715"/>
      <c r="BD212" s="4715"/>
      <c r="BE212" s="4715"/>
      <c r="BF212" s="4715"/>
      <c r="BG212" s="4715"/>
      <c r="BH212" s="4665"/>
      <c r="BI212" s="4668"/>
      <c r="BJ212" s="4668"/>
      <c r="BK212" s="4670"/>
      <c r="BL212" s="4665"/>
      <c r="BM212" s="4365"/>
      <c r="BN212" s="4722"/>
      <c r="BO212" s="4722"/>
      <c r="BP212" s="4722"/>
      <c r="BQ212" s="4365"/>
      <c r="BR212" s="3595"/>
    </row>
    <row r="213" spans="1:71" ht="60" x14ac:dyDescent="0.2">
      <c r="A213" s="2445"/>
      <c r="B213" s="1596"/>
      <c r="C213" s="1737"/>
      <c r="D213" s="1596"/>
      <c r="E213" s="1737"/>
      <c r="F213" s="1596"/>
      <c r="G213" s="2387"/>
      <c r="H213" s="2387"/>
      <c r="I213" s="2388"/>
      <c r="J213" s="4601"/>
      <c r="K213" s="4604"/>
      <c r="L213" s="4607"/>
      <c r="M213" s="3289"/>
      <c r="N213" s="3289"/>
      <c r="O213" s="4607"/>
      <c r="P213" s="4607"/>
      <c r="Q213" s="4604"/>
      <c r="R213" s="4640"/>
      <c r="S213" s="4643"/>
      <c r="T213" s="4604"/>
      <c r="U213" s="4604"/>
      <c r="V213" s="2384" t="s">
        <v>2273</v>
      </c>
      <c r="W213" s="993">
        <v>6000000</v>
      </c>
      <c r="X213" s="1621">
        <v>2868125</v>
      </c>
      <c r="Y213" s="1621">
        <v>349750</v>
      </c>
      <c r="Z213" s="2385">
        <v>61</v>
      </c>
      <c r="AA213" s="2437" t="s">
        <v>1981</v>
      </c>
      <c r="AB213" s="4716"/>
      <c r="AC213" s="4716"/>
      <c r="AD213" s="4716"/>
      <c r="AE213" s="4716"/>
      <c r="AF213" s="4716"/>
      <c r="AG213" s="4716"/>
      <c r="AH213" s="4716"/>
      <c r="AI213" s="4716"/>
      <c r="AJ213" s="4716"/>
      <c r="AK213" s="4716"/>
      <c r="AL213" s="4716"/>
      <c r="AM213" s="4716"/>
      <c r="AN213" s="4716"/>
      <c r="AO213" s="4716"/>
      <c r="AP213" s="4716"/>
      <c r="AQ213" s="4716"/>
      <c r="AR213" s="4716"/>
      <c r="AS213" s="4716"/>
      <c r="AT213" s="4716"/>
      <c r="AU213" s="4716"/>
      <c r="AV213" s="4716"/>
      <c r="AW213" s="4716"/>
      <c r="AX213" s="4716"/>
      <c r="AY213" s="4716"/>
      <c r="AZ213" s="4716"/>
      <c r="BA213" s="4716"/>
      <c r="BB213" s="4716"/>
      <c r="BC213" s="4716"/>
      <c r="BD213" s="4716"/>
      <c r="BE213" s="4716"/>
      <c r="BF213" s="4716"/>
      <c r="BG213" s="4716"/>
      <c r="BH213" s="4008"/>
      <c r="BI213" s="4718"/>
      <c r="BJ213" s="4718"/>
      <c r="BK213" s="4719"/>
      <c r="BL213" s="4008"/>
      <c r="BM213" s="4717"/>
      <c r="BN213" s="4723"/>
      <c r="BO213" s="4723"/>
      <c r="BP213" s="4723"/>
      <c r="BQ213" s="4717"/>
      <c r="BR213" s="3596"/>
    </row>
    <row r="214" spans="1:71" ht="15" customHeight="1" x14ac:dyDescent="0.2">
      <c r="A214" s="2445"/>
      <c r="B214" s="1596"/>
      <c r="C214" s="1737"/>
      <c r="D214" s="1596"/>
      <c r="E214" s="1737"/>
      <c r="G214" s="2406">
        <v>45</v>
      </c>
      <c r="H214" s="2375" t="s">
        <v>2274</v>
      </c>
      <c r="I214" s="2375"/>
      <c r="J214" s="2375"/>
      <c r="K214" s="2407"/>
      <c r="L214" s="2375"/>
      <c r="M214" s="2408"/>
      <c r="N214" s="2408"/>
      <c r="O214" s="2375"/>
      <c r="P214" s="2375"/>
      <c r="Q214" s="2375"/>
      <c r="R214" s="2375"/>
      <c r="S214" s="2375"/>
      <c r="T214" s="2375"/>
      <c r="U214" s="2407"/>
      <c r="V214" s="2375"/>
      <c r="W214" s="2414"/>
      <c r="X214" s="2414"/>
      <c r="Y214" s="2414"/>
      <c r="Z214" s="2375"/>
      <c r="AA214" s="2413"/>
      <c r="AB214" s="2375"/>
      <c r="AC214" s="2375"/>
      <c r="AD214" s="2375"/>
      <c r="AE214" s="2375"/>
      <c r="AF214" s="2375"/>
      <c r="AG214" s="2375"/>
      <c r="AH214" s="2375"/>
      <c r="AI214" s="2375"/>
      <c r="AJ214" s="2375"/>
      <c r="AK214" s="2375"/>
      <c r="AL214" s="2375"/>
      <c r="AM214" s="2375"/>
      <c r="AN214" s="2375"/>
      <c r="AO214" s="2375"/>
      <c r="AP214" s="2375"/>
      <c r="AQ214" s="2375"/>
      <c r="AR214" s="2375"/>
      <c r="AS214" s="2375"/>
      <c r="AT214" s="2375"/>
      <c r="AU214" s="2375"/>
      <c r="AV214" s="2375"/>
      <c r="AW214" s="2375"/>
      <c r="AX214" s="2375"/>
      <c r="AY214" s="2375"/>
      <c r="AZ214" s="2375"/>
      <c r="BA214" s="2375"/>
      <c r="BB214" s="2375"/>
      <c r="BC214" s="2375"/>
      <c r="BD214" s="2375"/>
      <c r="BE214" s="2375"/>
      <c r="BF214" s="2375"/>
      <c r="BG214" s="2375"/>
      <c r="BH214" s="2375"/>
      <c r="BI214" s="2414"/>
      <c r="BJ214" s="2414"/>
      <c r="BK214" s="2375"/>
      <c r="BL214" s="2375"/>
      <c r="BM214" s="2464"/>
      <c r="BN214" s="2465"/>
      <c r="BO214" s="2465"/>
      <c r="BP214" s="2465"/>
      <c r="BQ214" s="2464"/>
      <c r="BR214" s="2375"/>
      <c r="BS214" s="2466"/>
    </row>
    <row r="215" spans="1:71" ht="39.75" customHeight="1" x14ac:dyDescent="0.2">
      <c r="A215" s="2445"/>
      <c r="B215" s="1596"/>
      <c r="C215" s="1737"/>
      <c r="D215" s="1596"/>
      <c r="E215" s="1737"/>
      <c r="F215" s="1596"/>
      <c r="G215" s="2382"/>
      <c r="H215" s="2382"/>
      <c r="I215" s="2383"/>
      <c r="J215" s="4599">
        <v>158</v>
      </c>
      <c r="K215" s="4605" t="s">
        <v>2275</v>
      </c>
      <c r="L215" s="4605" t="s">
        <v>1974</v>
      </c>
      <c r="M215" s="3594">
        <v>11</v>
      </c>
      <c r="N215" s="4665">
        <v>0</v>
      </c>
      <c r="O215" s="4605" t="s">
        <v>2276</v>
      </c>
      <c r="P215" s="4605" t="s">
        <v>2277</v>
      </c>
      <c r="Q215" s="4602" t="s">
        <v>2278</v>
      </c>
      <c r="R215" s="4725">
        <v>1</v>
      </c>
      <c r="S215" s="4641">
        <f>SUM(W215:W219)</f>
        <v>1222110000</v>
      </c>
      <c r="T215" s="4602" t="s">
        <v>2279</v>
      </c>
      <c r="U215" s="4602" t="s">
        <v>2280</v>
      </c>
      <c r="V215" s="2384" t="s">
        <v>2281</v>
      </c>
      <c r="W215" s="2427">
        <v>180000000</v>
      </c>
      <c r="X215" s="1621">
        <v>81769000</v>
      </c>
      <c r="Y215" s="1621">
        <v>11847250</v>
      </c>
      <c r="Z215" s="2385">
        <v>61</v>
      </c>
      <c r="AA215" s="2437" t="s">
        <v>1981</v>
      </c>
      <c r="AB215" s="4608">
        <v>292684</v>
      </c>
      <c r="AC215" s="4714">
        <f>SUM(AB215*0.41)</f>
        <v>120000.43999999999</v>
      </c>
      <c r="AD215" s="4608">
        <v>282326</v>
      </c>
      <c r="AE215" s="4714">
        <f>SUM(AD215*0.41)</f>
        <v>115753.65999999999</v>
      </c>
      <c r="AF215" s="4608">
        <v>135912</v>
      </c>
      <c r="AG215" s="4714">
        <f>SUM(AF215*0.41)</f>
        <v>55723.92</v>
      </c>
      <c r="AH215" s="4608">
        <v>45122</v>
      </c>
      <c r="AI215" s="4714">
        <f>SUM(AH215*0.41)</f>
        <v>18500.02</v>
      </c>
      <c r="AJ215" s="4608">
        <v>307101</v>
      </c>
      <c r="AK215" s="4714">
        <f>SUM(AJ215*0.41)</f>
        <v>125911.40999999999</v>
      </c>
      <c r="AL215" s="4608">
        <v>86875</v>
      </c>
      <c r="AM215" s="4714">
        <f>SUM(AL215*0.41)</f>
        <v>35618.75</v>
      </c>
      <c r="AN215" s="4608">
        <v>2145</v>
      </c>
      <c r="AO215" s="4714">
        <f>SUM(AN215*0.41)</f>
        <v>879.44999999999993</v>
      </c>
      <c r="AP215" s="4608">
        <v>12718</v>
      </c>
      <c r="AQ215" s="4714">
        <f>SUM(AP215*0.41)</f>
        <v>5214.38</v>
      </c>
      <c r="AR215" s="4608">
        <v>26</v>
      </c>
      <c r="AS215" s="4714">
        <f>SUM(AR215*0.41)</f>
        <v>10.66</v>
      </c>
      <c r="AT215" s="4608">
        <v>37</v>
      </c>
      <c r="AU215" s="4714">
        <f>SUM(AT215*0.41)</f>
        <v>15.17</v>
      </c>
      <c r="AV215" s="4608" t="s">
        <v>2015</v>
      </c>
      <c r="AW215" s="4714" t="s">
        <v>2015</v>
      </c>
      <c r="AX215" s="4608" t="s">
        <v>2015</v>
      </c>
      <c r="AY215" s="4714" t="s">
        <v>2015</v>
      </c>
      <c r="AZ215" s="4608">
        <v>53164</v>
      </c>
      <c r="BA215" s="4714">
        <f>SUM(AZ215*0.41)</f>
        <v>21797.239999999998</v>
      </c>
      <c r="BB215" s="4608">
        <v>16982</v>
      </c>
      <c r="BC215" s="4714">
        <f>SUM(BB215*0.41)</f>
        <v>6962.62</v>
      </c>
      <c r="BD215" s="4608">
        <v>60013</v>
      </c>
      <c r="BE215" s="4714">
        <f>SUM(BD215*0.41)</f>
        <v>24605.329999999998</v>
      </c>
      <c r="BF215" s="4608">
        <v>575010</v>
      </c>
      <c r="BG215" s="4714">
        <f>SUM(BF215*0.41)</f>
        <v>235754.09999999998</v>
      </c>
      <c r="BH215" s="4727">
        <v>28</v>
      </c>
      <c r="BI215" s="4667">
        <f>SUM(X215:X219)</f>
        <v>265307000</v>
      </c>
      <c r="BJ215" s="4667">
        <f>SUM(Y215:Y219)</f>
        <v>47389000</v>
      </c>
      <c r="BK215" s="4669">
        <f>+BJ215/BI215</f>
        <v>0.17861948610477674</v>
      </c>
      <c r="BL215" s="4006">
        <v>61</v>
      </c>
      <c r="BM215" s="4666" t="s">
        <v>1982</v>
      </c>
      <c r="BN215" s="4721">
        <v>43466</v>
      </c>
      <c r="BO215" s="4721">
        <v>43467</v>
      </c>
      <c r="BP215" s="4721">
        <v>43830</v>
      </c>
      <c r="BQ215" s="4724">
        <v>43830</v>
      </c>
      <c r="BR215" s="3594"/>
    </row>
    <row r="216" spans="1:71" ht="41.25" customHeight="1" x14ac:dyDescent="0.2">
      <c r="A216" s="2445"/>
      <c r="B216" s="1596"/>
      <c r="C216" s="1737"/>
      <c r="D216" s="1596"/>
      <c r="E216" s="1737"/>
      <c r="F216" s="1596"/>
      <c r="G216" s="2378"/>
      <c r="H216" s="2380"/>
      <c r="I216" s="2379"/>
      <c r="J216" s="4600"/>
      <c r="K216" s="4606"/>
      <c r="L216" s="4606"/>
      <c r="M216" s="3595"/>
      <c r="N216" s="4665"/>
      <c r="O216" s="4606"/>
      <c r="P216" s="4606"/>
      <c r="Q216" s="4603"/>
      <c r="R216" s="4726"/>
      <c r="S216" s="4642"/>
      <c r="T216" s="4603"/>
      <c r="U216" s="4603"/>
      <c r="V216" s="2384" t="s">
        <v>2282</v>
      </c>
      <c r="W216" s="2427">
        <v>20000000</v>
      </c>
      <c r="X216" s="1621">
        <v>20000000</v>
      </c>
      <c r="Y216" s="1621">
        <v>11847250</v>
      </c>
      <c r="Z216" s="2385">
        <v>61</v>
      </c>
      <c r="AA216" s="2437" t="s">
        <v>1981</v>
      </c>
      <c r="AB216" s="4609"/>
      <c r="AC216" s="4715"/>
      <c r="AD216" s="4609"/>
      <c r="AE216" s="4715"/>
      <c r="AF216" s="4609"/>
      <c r="AG216" s="4715"/>
      <c r="AH216" s="4609"/>
      <c r="AI216" s="4715"/>
      <c r="AJ216" s="4609"/>
      <c r="AK216" s="4715"/>
      <c r="AL216" s="4609"/>
      <c r="AM216" s="4715"/>
      <c r="AN216" s="4609"/>
      <c r="AO216" s="4715"/>
      <c r="AP216" s="4609"/>
      <c r="AQ216" s="4715"/>
      <c r="AR216" s="4609"/>
      <c r="AS216" s="4715"/>
      <c r="AT216" s="4609"/>
      <c r="AU216" s="4715"/>
      <c r="AV216" s="4609"/>
      <c r="AW216" s="4715"/>
      <c r="AX216" s="4609"/>
      <c r="AY216" s="4715"/>
      <c r="AZ216" s="4609"/>
      <c r="BA216" s="4715"/>
      <c r="BB216" s="4609"/>
      <c r="BC216" s="4715"/>
      <c r="BD216" s="4609"/>
      <c r="BE216" s="4715"/>
      <c r="BF216" s="4609"/>
      <c r="BG216" s="4715"/>
      <c r="BH216" s="4728"/>
      <c r="BI216" s="4668"/>
      <c r="BJ216" s="4668"/>
      <c r="BK216" s="4670"/>
      <c r="BL216" s="4665"/>
      <c r="BM216" s="4365"/>
      <c r="BN216" s="4722"/>
      <c r="BO216" s="4722"/>
      <c r="BP216" s="4722"/>
      <c r="BQ216" s="4365"/>
      <c r="BR216" s="3595"/>
    </row>
    <row r="217" spans="1:71" ht="30" x14ac:dyDescent="0.2">
      <c r="A217" s="2445"/>
      <c r="B217" s="1596"/>
      <c r="C217" s="1737"/>
      <c r="D217" s="1596"/>
      <c r="E217" s="1737"/>
      <c r="F217" s="1596"/>
      <c r="G217" s="2378"/>
      <c r="H217" s="2380"/>
      <c r="I217" s="2379"/>
      <c r="J217" s="4600"/>
      <c r="K217" s="4606"/>
      <c r="L217" s="4606"/>
      <c r="M217" s="3595"/>
      <c r="N217" s="4665"/>
      <c r="O217" s="4606"/>
      <c r="P217" s="4606"/>
      <c r="Q217" s="4603"/>
      <c r="R217" s="4726"/>
      <c r="S217" s="4642"/>
      <c r="T217" s="4603"/>
      <c r="U217" s="4603"/>
      <c r="V217" s="2384" t="s">
        <v>2283</v>
      </c>
      <c r="W217" s="2427">
        <v>300000000</v>
      </c>
      <c r="X217" s="1621">
        <v>81769000</v>
      </c>
      <c r="Y217" s="1621">
        <v>11847250</v>
      </c>
      <c r="Z217" s="2385">
        <v>61</v>
      </c>
      <c r="AA217" s="2437" t="s">
        <v>1981</v>
      </c>
      <c r="AB217" s="4609"/>
      <c r="AC217" s="4715"/>
      <c r="AD217" s="4609"/>
      <c r="AE217" s="4715"/>
      <c r="AF217" s="4609"/>
      <c r="AG217" s="4715"/>
      <c r="AH217" s="4609"/>
      <c r="AI217" s="4715"/>
      <c r="AJ217" s="4609"/>
      <c r="AK217" s="4715"/>
      <c r="AL217" s="4609"/>
      <c r="AM217" s="4715"/>
      <c r="AN217" s="4609"/>
      <c r="AO217" s="4715"/>
      <c r="AP217" s="4609"/>
      <c r="AQ217" s="4715"/>
      <c r="AR217" s="4609"/>
      <c r="AS217" s="4715"/>
      <c r="AT217" s="4609"/>
      <c r="AU217" s="4715"/>
      <c r="AV217" s="4609"/>
      <c r="AW217" s="4715"/>
      <c r="AX217" s="4609"/>
      <c r="AY217" s="4715"/>
      <c r="AZ217" s="4609"/>
      <c r="BA217" s="4715"/>
      <c r="BB217" s="4609"/>
      <c r="BC217" s="4715"/>
      <c r="BD217" s="4609"/>
      <c r="BE217" s="4715"/>
      <c r="BF217" s="4609"/>
      <c r="BG217" s="4715"/>
      <c r="BH217" s="4728"/>
      <c r="BI217" s="4668"/>
      <c r="BJ217" s="4668"/>
      <c r="BK217" s="4670"/>
      <c r="BL217" s="4665"/>
      <c r="BM217" s="4365"/>
      <c r="BN217" s="4722"/>
      <c r="BO217" s="4722"/>
      <c r="BP217" s="4722"/>
      <c r="BQ217" s="4365"/>
      <c r="BR217" s="3595"/>
    </row>
    <row r="218" spans="1:71" ht="43.5" customHeight="1" x14ac:dyDescent="0.2">
      <c r="A218" s="2445"/>
      <c r="B218" s="1596"/>
      <c r="C218" s="1737"/>
      <c r="D218" s="1596"/>
      <c r="E218" s="1737"/>
      <c r="F218" s="1596"/>
      <c r="G218" s="2378"/>
      <c r="H218" s="2380"/>
      <c r="I218" s="2379"/>
      <c r="J218" s="4601"/>
      <c r="K218" s="4607"/>
      <c r="L218" s="2467"/>
      <c r="M218" s="3596"/>
      <c r="N218" s="4665"/>
      <c r="O218" s="4606"/>
      <c r="P218" s="4606"/>
      <c r="Q218" s="4603"/>
      <c r="R218" s="4726"/>
      <c r="S218" s="4642"/>
      <c r="T218" s="4603"/>
      <c r="U218" s="4604"/>
      <c r="V218" s="2384" t="s">
        <v>2284</v>
      </c>
      <c r="W218" s="2427">
        <v>722110000</v>
      </c>
      <c r="X218" s="1621">
        <v>81769000</v>
      </c>
      <c r="Y218" s="1621">
        <v>11847250</v>
      </c>
      <c r="Z218" s="2385">
        <v>61</v>
      </c>
      <c r="AA218" s="2437" t="s">
        <v>1981</v>
      </c>
      <c r="AB218" s="4609"/>
      <c r="AC218" s="4715"/>
      <c r="AD218" s="4609"/>
      <c r="AE218" s="4715"/>
      <c r="AF218" s="4609"/>
      <c r="AG218" s="4715"/>
      <c r="AH218" s="4609"/>
      <c r="AI218" s="4715"/>
      <c r="AJ218" s="4609"/>
      <c r="AK218" s="4715"/>
      <c r="AL218" s="4609"/>
      <c r="AM218" s="4715"/>
      <c r="AN218" s="4609"/>
      <c r="AO218" s="4715"/>
      <c r="AP218" s="4609"/>
      <c r="AQ218" s="4715"/>
      <c r="AR218" s="4609"/>
      <c r="AS218" s="4715"/>
      <c r="AT218" s="4609"/>
      <c r="AU218" s="4715"/>
      <c r="AV218" s="4609"/>
      <c r="AW218" s="4715"/>
      <c r="AX218" s="4609"/>
      <c r="AY218" s="4715"/>
      <c r="AZ218" s="4609"/>
      <c r="BA218" s="4715"/>
      <c r="BB218" s="4609"/>
      <c r="BC218" s="4715"/>
      <c r="BD218" s="4609"/>
      <c r="BE218" s="4715"/>
      <c r="BF218" s="4609"/>
      <c r="BG218" s="4715"/>
      <c r="BH218" s="4728"/>
      <c r="BI218" s="4668"/>
      <c r="BJ218" s="4668"/>
      <c r="BK218" s="4670"/>
      <c r="BL218" s="4665"/>
      <c r="BM218" s="4365"/>
      <c r="BN218" s="4722"/>
      <c r="BO218" s="4722"/>
      <c r="BP218" s="4722"/>
      <c r="BQ218" s="4365"/>
      <c r="BR218" s="3595"/>
    </row>
    <row r="219" spans="1:71" ht="88.5" customHeight="1" x14ac:dyDescent="0.2">
      <c r="A219" s="2445"/>
      <c r="B219" s="1596"/>
      <c r="C219" s="1737"/>
      <c r="D219" s="1596"/>
      <c r="E219" s="1737"/>
      <c r="F219" s="1596"/>
      <c r="G219" s="2387"/>
      <c r="H219" s="2387"/>
      <c r="I219" s="2388"/>
      <c r="J219" s="2451">
        <v>159</v>
      </c>
      <c r="K219" s="2435" t="s">
        <v>2285</v>
      </c>
      <c r="L219" s="2467" t="s">
        <v>1974</v>
      </c>
      <c r="M219" s="2468">
        <v>8</v>
      </c>
      <c r="N219" s="202">
        <v>0</v>
      </c>
      <c r="O219" s="4607"/>
      <c r="P219" s="4607"/>
      <c r="Q219" s="4604"/>
      <c r="R219" s="101"/>
      <c r="S219" s="4643"/>
      <c r="T219" s="4604"/>
      <c r="U219" s="2435" t="s">
        <v>2286</v>
      </c>
      <c r="V219" s="2384" t="s">
        <v>2287</v>
      </c>
      <c r="W219" s="2427">
        <v>0</v>
      </c>
      <c r="X219" s="1621"/>
      <c r="Y219" s="1621"/>
      <c r="Z219" s="2385"/>
      <c r="AA219" s="2437"/>
      <c r="AB219" s="4610"/>
      <c r="AC219" s="4716"/>
      <c r="AD219" s="4610"/>
      <c r="AE219" s="4716"/>
      <c r="AF219" s="4610"/>
      <c r="AG219" s="4716"/>
      <c r="AH219" s="4610"/>
      <c r="AI219" s="4716"/>
      <c r="AJ219" s="4610"/>
      <c r="AK219" s="4716"/>
      <c r="AL219" s="4610"/>
      <c r="AM219" s="4716"/>
      <c r="AN219" s="4610"/>
      <c r="AO219" s="4716"/>
      <c r="AP219" s="4610"/>
      <c r="AQ219" s="4716"/>
      <c r="AR219" s="4610"/>
      <c r="AS219" s="4716"/>
      <c r="AT219" s="4610"/>
      <c r="AU219" s="4716"/>
      <c r="AV219" s="4610"/>
      <c r="AW219" s="4716"/>
      <c r="AX219" s="4610"/>
      <c r="AY219" s="4716"/>
      <c r="AZ219" s="4610"/>
      <c r="BA219" s="4716"/>
      <c r="BB219" s="4610"/>
      <c r="BC219" s="4716"/>
      <c r="BD219" s="4610"/>
      <c r="BE219" s="4716"/>
      <c r="BF219" s="4610"/>
      <c r="BG219" s="4716"/>
      <c r="BH219" s="4729"/>
      <c r="BI219" s="4718"/>
      <c r="BJ219" s="4718"/>
      <c r="BK219" s="4719"/>
      <c r="BL219" s="4008"/>
      <c r="BM219" s="4717"/>
      <c r="BN219" s="4723"/>
      <c r="BO219" s="4723"/>
      <c r="BP219" s="4723"/>
      <c r="BQ219" s="4717"/>
      <c r="BR219" s="3596"/>
    </row>
    <row r="220" spans="1:71" ht="15" customHeight="1" x14ac:dyDescent="0.2">
      <c r="A220" s="2445"/>
      <c r="B220" s="1596"/>
      <c r="C220" s="1737"/>
      <c r="D220" s="1596"/>
      <c r="E220" s="1737"/>
      <c r="G220" s="2406">
        <v>46</v>
      </c>
      <c r="H220" s="2375" t="s">
        <v>2288</v>
      </c>
      <c r="I220" s="2375"/>
      <c r="J220" s="2375"/>
      <c r="K220" s="2407"/>
      <c r="L220" s="2375"/>
      <c r="M220" s="2408"/>
      <c r="N220" s="2408"/>
      <c r="O220" s="2375"/>
      <c r="P220" s="2375"/>
      <c r="Q220" s="2375"/>
      <c r="R220" s="2375"/>
      <c r="S220" s="2375"/>
      <c r="T220" s="2375"/>
      <c r="U220" s="2407"/>
      <c r="V220" s="2375"/>
      <c r="W220" s="2414"/>
      <c r="X220" s="2414"/>
      <c r="Y220" s="2414"/>
      <c r="Z220" s="2375"/>
      <c r="AA220" s="2413"/>
      <c r="AB220" s="2407"/>
      <c r="AC220" s="2407"/>
      <c r="AD220" s="2407"/>
      <c r="AE220" s="2407"/>
      <c r="AF220" s="2407"/>
      <c r="AG220" s="2407"/>
      <c r="AH220" s="2407"/>
      <c r="AI220" s="2407"/>
      <c r="AJ220" s="2407"/>
      <c r="AK220" s="2407"/>
      <c r="AL220" s="2407"/>
      <c r="AM220" s="2407"/>
      <c r="AN220" s="2407"/>
      <c r="AO220" s="2407"/>
      <c r="AP220" s="2407"/>
      <c r="AQ220" s="2407"/>
      <c r="AR220" s="2407"/>
      <c r="AS220" s="2407"/>
      <c r="AT220" s="2407"/>
      <c r="AU220" s="2407"/>
      <c r="AV220" s="2407"/>
      <c r="AW220" s="2407"/>
      <c r="AX220" s="2407"/>
      <c r="AY220" s="2407"/>
      <c r="AZ220" s="2407"/>
      <c r="BA220" s="2407"/>
      <c r="BB220" s="2407"/>
      <c r="BC220" s="2407"/>
      <c r="BD220" s="2407"/>
      <c r="BE220" s="2407"/>
      <c r="BF220" s="2407"/>
      <c r="BG220" s="2407"/>
      <c r="BH220" s="2407"/>
      <c r="BI220" s="2423"/>
      <c r="BJ220" s="2423"/>
      <c r="BK220" s="2407"/>
      <c r="BL220" s="2407"/>
      <c r="BM220" s="2432"/>
      <c r="BN220" s="2469"/>
      <c r="BO220" s="2469"/>
      <c r="BP220" s="2469"/>
      <c r="BQ220" s="2432"/>
      <c r="BR220" s="2470"/>
    </row>
    <row r="221" spans="1:71" ht="41.25" customHeight="1" x14ac:dyDescent="0.2">
      <c r="A221" s="2445"/>
      <c r="B221" s="1596"/>
      <c r="C221" s="1737"/>
      <c r="D221" s="1596"/>
      <c r="E221" s="1737"/>
      <c r="F221" s="1596"/>
      <c r="G221" s="2382"/>
      <c r="H221" s="2382"/>
      <c r="I221" s="2383"/>
      <c r="J221" s="4631">
        <v>160</v>
      </c>
      <c r="K221" s="4602" t="s">
        <v>2289</v>
      </c>
      <c r="L221" s="4605" t="s">
        <v>1974</v>
      </c>
      <c r="M221" s="3594">
        <v>300</v>
      </c>
      <c r="N221" s="3594">
        <v>100</v>
      </c>
      <c r="O221" s="4605" t="s">
        <v>2290</v>
      </c>
      <c r="P221" s="4605" t="s">
        <v>2291</v>
      </c>
      <c r="Q221" s="4602" t="s">
        <v>2292</v>
      </c>
      <c r="R221" s="3816">
        <v>1</v>
      </c>
      <c r="S221" s="4641">
        <f>SUM(W221:W228)</f>
        <v>888000000</v>
      </c>
      <c r="T221" s="4602" t="s">
        <v>2293</v>
      </c>
      <c r="U221" s="4679" t="s">
        <v>2294</v>
      </c>
      <c r="V221" s="4730" t="s">
        <v>2295</v>
      </c>
      <c r="W221" s="2427">
        <v>238058000</v>
      </c>
      <c r="X221" s="1621">
        <v>189258813</v>
      </c>
      <c r="Y221" s="1621">
        <v>12631600</v>
      </c>
      <c r="Z221" s="2455">
        <v>61</v>
      </c>
      <c r="AA221" s="2437" t="s">
        <v>2296</v>
      </c>
      <c r="AB221" s="4608">
        <v>292684</v>
      </c>
      <c r="AC221" s="4714">
        <f>SUM(AB221*0.37)</f>
        <v>108293.08</v>
      </c>
      <c r="AD221" s="4608">
        <v>282326</v>
      </c>
      <c r="AE221" s="4714">
        <f>SUM(AD221*0.37)</f>
        <v>104460.62</v>
      </c>
      <c r="AF221" s="4608">
        <v>135912</v>
      </c>
      <c r="AG221" s="4714">
        <f>SUM(AF221*0.37)</f>
        <v>50287.44</v>
      </c>
      <c r="AH221" s="4608">
        <v>45122</v>
      </c>
      <c r="AI221" s="4714">
        <f>SUM(AH221*0.37)</f>
        <v>16695.14</v>
      </c>
      <c r="AJ221" s="4608">
        <f>SUM(AJ215)</f>
        <v>307101</v>
      </c>
      <c r="AK221" s="4714">
        <f>SUM(AJ221*0.37)</f>
        <v>113627.37</v>
      </c>
      <c r="AL221" s="4608">
        <f>SUM(AL215)</f>
        <v>86875</v>
      </c>
      <c r="AM221" s="4714">
        <f>SUM(AL221*0.37)</f>
        <v>32143.75</v>
      </c>
      <c r="AN221" s="4608">
        <v>2145</v>
      </c>
      <c r="AO221" s="4714">
        <f>SUM(AN221*0.37)</f>
        <v>793.65</v>
      </c>
      <c r="AP221" s="4608">
        <v>12718</v>
      </c>
      <c r="AQ221" s="4714">
        <f>SUM(AP221*0.37)</f>
        <v>4705.66</v>
      </c>
      <c r="AR221" s="4608">
        <v>26</v>
      </c>
      <c r="AS221" s="4714">
        <f>SUM(AR221*0.37)</f>
        <v>9.6199999999999992</v>
      </c>
      <c r="AT221" s="4608">
        <v>37</v>
      </c>
      <c r="AU221" s="4714">
        <f>SUM(AT221*0.37)</f>
        <v>13.69</v>
      </c>
      <c r="AV221" s="4608" t="s">
        <v>2015</v>
      </c>
      <c r="AW221" s="4714" t="s">
        <v>2015</v>
      </c>
      <c r="AX221" s="4608" t="s">
        <v>2015</v>
      </c>
      <c r="AY221" s="4714" t="s">
        <v>2015</v>
      </c>
      <c r="AZ221" s="4608">
        <v>53164</v>
      </c>
      <c r="BA221" s="4714">
        <f>SUM(AZ221*0.37)</f>
        <v>19670.68</v>
      </c>
      <c r="BB221" s="4608">
        <v>16982</v>
      </c>
      <c r="BC221" s="4714">
        <f>SUM(BB221*0.37)</f>
        <v>6283.34</v>
      </c>
      <c r="BD221" s="4608">
        <v>60013</v>
      </c>
      <c r="BE221" s="4714">
        <f>SUM(BD221*0.37)</f>
        <v>22204.81</v>
      </c>
      <c r="BF221" s="4608">
        <v>575010</v>
      </c>
      <c r="BG221" s="4714">
        <f>SUM(BF221*0.37)</f>
        <v>212753.7</v>
      </c>
      <c r="BH221" s="3594">
        <v>18</v>
      </c>
      <c r="BI221" s="3408">
        <f>SUM(X221:X228)</f>
        <v>322809881</v>
      </c>
      <c r="BJ221" s="3408">
        <f>SUM(Y221:Y228)</f>
        <v>63158000</v>
      </c>
      <c r="BK221" s="4698">
        <f>+BJ221/BI221</f>
        <v>0.19565076448202029</v>
      </c>
      <c r="BL221" s="3594" t="s">
        <v>2116</v>
      </c>
      <c r="BM221" s="3190" t="s">
        <v>1982</v>
      </c>
      <c r="BN221" s="3952">
        <v>43466</v>
      </c>
      <c r="BO221" s="3952">
        <v>43467</v>
      </c>
      <c r="BP221" s="3952">
        <v>43830</v>
      </c>
      <c r="BQ221" s="4732">
        <v>43830</v>
      </c>
      <c r="BR221" s="3190" t="s">
        <v>1983</v>
      </c>
    </row>
    <row r="222" spans="1:71" ht="41.25" customHeight="1" x14ac:dyDescent="0.2">
      <c r="A222" s="2445"/>
      <c r="B222" s="1596"/>
      <c r="C222" s="1737"/>
      <c r="D222" s="1596"/>
      <c r="E222" s="1737"/>
      <c r="F222" s="1596"/>
      <c r="G222" s="2378"/>
      <c r="H222" s="2378"/>
      <c r="I222" s="2379"/>
      <c r="J222" s="4631"/>
      <c r="K222" s="4603"/>
      <c r="L222" s="4606"/>
      <c r="M222" s="3595"/>
      <c r="N222" s="3595"/>
      <c r="O222" s="4606"/>
      <c r="P222" s="4606"/>
      <c r="Q222" s="4603"/>
      <c r="R222" s="3817"/>
      <c r="S222" s="4642"/>
      <c r="T222" s="4603"/>
      <c r="U222" s="4680"/>
      <c r="V222" s="4731"/>
      <c r="W222" s="2427">
        <v>211942000</v>
      </c>
      <c r="X222" s="1621">
        <v>0</v>
      </c>
      <c r="Y222" s="1621">
        <v>0</v>
      </c>
      <c r="Z222" s="2455">
        <v>20</v>
      </c>
      <c r="AA222" s="2417" t="s">
        <v>71</v>
      </c>
      <c r="AB222" s="4609"/>
      <c r="AC222" s="4715"/>
      <c r="AD222" s="4609"/>
      <c r="AE222" s="4715"/>
      <c r="AF222" s="4609"/>
      <c r="AG222" s="4715"/>
      <c r="AH222" s="4609"/>
      <c r="AI222" s="4715"/>
      <c r="AJ222" s="4609"/>
      <c r="AK222" s="4715"/>
      <c r="AL222" s="4609"/>
      <c r="AM222" s="4715"/>
      <c r="AN222" s="4609"/>
      <c r="AO222" s="4715"/>
      <c r="AP222" s="4609"/>
      <c r="AQ222" s="4715"/>
      <c r="AR222" s="4609"/>
      <c r="AS222" s="4715"/>
      <c r="AT222" s="4609"/>
      <c r="AU222" s="4715"/>
      <c r="AV222" s="4609"/>
      <c r="AW222" s="4715"/>
      <c r="AX222" s="4609"/>
      <c r="AY222" s="4715"/>
      <c r="AZ222" s="4609"/>
      <c r="BA222" s="4715"/>
      <c r="BB222" s="4609"/>
      <c r="BC222" s="4715"/>
      <c r="BD222" s="4609"/>
      <c r="BE222" s="4715"/>
      <c r="BF222" s="4609"/>
      <c r="BG222" s="4715"/>
      <c r="BH222" s="3595"/>
      <c r="BI222" s="3409"/>
      <c r="BJ222" s="3409"/>
      <c r="BK222" s="4699"/>
      <c r="BL222" s="3595"/>
      <c r="BM222" s="3191"/>
      <c r="BN222" s="3970"/>
      <c r="BO222" s="3970"/>
      <c r="BP222" s="3970"/>
      <c r="BQ222" s="3191"/>
      <c r="BR222" s="3595"/>
    </row>
    <row r="223" spans="1:71" ht="41.25" customHeight="1" x14ac:dyDescent="0.2">
      <c r="A223" s="2445"/>
      <c r="B223" s="1596"/>
      <c r="C223" s="1737"/>
      <c r="D223" s="1596"/>
      <c r="E223" s="1737"/>
      <c r="F223" s="1596"/>
      <c r="G223" s="2378"/>
      <c r="H223" s="2378"/>
      <c r="I223" s="2379"/>
      <c r="J223" s="4631"/>
      <c r="K223" s="4603"/>
      <c r="L223" s="4606"/>
      <c r="M223" s="3595"/>
      <c r="N223" s="3595"/>
      <c r="O223" s="4606"/>
      <c r="P223" s="4606"/>
      <c r="Q223" s="4603"/>
      <c r="R223" s="3817"/>
      <c r="S223" s="4642"/>
      <c r="T223" s="4603"/>
      <c r="U223" s="4680"/>
      <c r="V223" s="2384" t="s">
        <v>2297</v>
      </c>
      <c r="W223" s="2427">
        <v>50000000</v>
      </c>
      <c r="X223" s="1621">
        <v>0</v>
      </c>
      <c r="Y223" s="1621"/>
      <c r="Z223" s="2385">
        <v>61</v>
      </c>
      <c r="AA223" s="2437" t="s">
        <v>1981</v>
      </c>
      <c r="AB223" s="4609"/>
      <c r="AC223" s="4715"/>
      <c r="AD223" s="4609"/>
      <c r="AE223" s="4715"/>
      <c r="AF223" s="4609"/>
      <c r="AG223" s="4715"/>
      <c r="AH223" s="4609"/>
      <c r="AI223" s="4715"/>
      <c r="AJ223" s="4609"/>
      <c r="AK223" s="4715"/>
      <c r="AL223" s="4609"/>
      <c r="AM223" s="4715"/>
      <c r="AN223" s="4609"/>
      <c r="AO223" s="4715"/>
      <c r="AP223" s="4609"/>
      <c r="AQ223" s="4715"/>
      <c r="AR223" s="4609"/>
      <c r="AS223" s="4715"/>
      <c r="AT223" s="4609"/>
      <c r="AU223" s="4715"/>
      <c r="AV223" s="4609"/>
      <c r="AW223" s="4715"/>
      <c r="AX223" s="4609"/>
      <c r="AY223" s="4715"/>
      <c r="AZ223" s="4609"/>
      <c r="BA223" s="4715"/>
      <c r="BB223" s="4609"/>
      <c r="BC223" s="4715"/>
      <c r="BD223" s="4609"/>
      <c r="BE223" s="4715"/>
      <c r="BF223" s="4609"/>
      <c r="BG223" s="4715"/>
      <c r="BH223" s="3595"/>
      <c r="BI223" s="3409"/>
      <c r="BJ223" s="3409"/>
      <c r="BK223" s="4699"/>
      <c r="BL223" s="3595"/>
      <c r="BM223" s="3191"/>
      <c r="BN223" s="3970"/>
      <c r="BO223" s="3970"/>
      <c r="BP223" s="3970"/>
      <c r="BQ223" s="3191"/>
      <c r="BR223" s="3595"/>
    </row>
    <row r="224" spans="1:71" ht="60" x14ac:dyDescent="0.2">
      <c r="A224" s="2445"/>
      <c r="B224" s="1596"/>
      <c r="C224" s="1737"/>
      <c r="D224" s="1596"/>
      <c r="E224" s="1737"/>
      <c r="F224" s="1596"/>
      <c r="G224" s="2378"/>
      <c r="H224" s="2378"/>
      <c r="I224" s="2379"/>
      <c r="J224" s="4631"/>
      <c r="K224" s="4603"/>
      <c r="L224" s="4606"/>
      <c r="M224" s="3595"/>
      <c r="N224" s="3595"/>
      <c r="O224" s="4606"/>
      <c r="P224" s="4606"/>
      <c r="Q224" s="4603"/>
      <c r="R224" s="3817"/>
      <c r="S224" s="4642"/>
      <c r="T224" s="4603"/>
      <c r="U224" s="4680"/>
      <c r="V224" s="2384" t="s">
        <v>2298</v>
      </c>
      <c r="W224" s="2427">
        <v>74900000</v>
      </c>
      <c r="X224" s="1621">
        <v>37095534</v>
      </c>
      <c r="Y224" s="1621">
        <v>12631600</v>
      </c>
      <c r="Z224" s="2385">
        <v>61</v>
      </c>
      <c r="AA224" s="2437" t="s">
        <v>1981</v>
      </c>
      <c r="AB224" s="4609"/>
      <c r="AC224" s="4715"/>
      <c r="AD224" s="4609"/>
      <c r="AE224" s="4715"/>
      <c r="AF224" s="4609"/>
      <c r="AG224" s="4715"/>
      <c r="AH224" s="4609"/>
      <c r="AI224" s="4715"/>
      <c r="AJ224" s="4609"/>
      <c r="AK224" s="4715"/>
      <c r="AL224" s="4609"/>
      <c r="AM224" s="4715"/>
      <c r="AN224" s="4609"/>
      <c r="AO224" s="4715"/>
      <c r="AP224" s="4609"/>
      <c r="AQ224" s="4715"/>
      <c r="AR224" s="4609"/>
      <c r="AS224" s="4715"/>
      <c r="AT224" s="4609"/>
      <c r="AU224" s="4715"/>
      <c r="AV224" s="4609"/>
      <c r="AW224" s="4715"/>
      <c r="AX224" s="4609"/>
      <c r="AY224" s="4715"/>
      <c r="AZ224" s="4609"/>
      <c r="BA224" s="4715"/>
      <c r="BB224" s="4609"/>
      <c r="BC224" s="4715"/>
      <c r="BD224" s="4609"/>
      <c r="BE224" s="4715"/>
      <c r="BF224" s="4609"/>
      <c r="BG224" s="4715"/>
      <c r="BH224" s="3595"/>
      <c r="BI224" s="3409"/>
      <c r="BJ224" s="3409"/>
      <c r="BK224" s="4699"/>
      <c r="BL224" s="3595"/>
      <c r="BM224" s="3191"/>
      <c r="BN224" s="3970"/>
      <c r="BO224" s="3970"/>
      <c r="BP224" s="3970"/>
      <c r="BQ224" s="3191"/>
      <c r="BR224" s="3595"/>
    </row>
    <row r="225" spans="1:70" ht="63.75" customHeight="1" x14ac:dyDescent="0.2">
      <c r="A225" s="2445"/>
      <c r="B225" s="1596"/>
      <c r="C225" s="1737"/>
      <c r="D225" s="1596"/>
      <c r="E225" s="1737"/>
      <c r="F225" s="1596"/>
      <c r="G225" s="2378"/>
      <c r="H225" s="2378"/>
      <c r="I225" s="2379"/>
      <c r="J225" s="4631"/>
      <c r="K225" s="4603"/>
      <c r="L225" s="4606"/>
      <c r="M225" s="3595"/>
      <c r="N225" s="3595"/>
      <c r="O225" s="4606"/>
      <c r="P225" s="4606"/>
      <c r="Q225" s="4603"/>
      <c r="R225" s="3817"/>
      <c r="S225" s="4642"/>
      <c r="T225" s="4603"/>
      <c r="U225" s="4681"/>
      <c r="V225" s="2384" t="s">
        <v>2299</v>
      </c>
      <c r="W225" s="2427">
        <v>40630000</v>
      </c>
      <c r="X225" s="1621">
        <v>37095534</v>
      </c>
      <c r="Y225" s="1621">
        <v>12631600</v>
      </c>
      <c r="Z225" s="2385">
        <v>61</v>
      </c>
      <c r="AA225" s="2437" t="s">
        <v>1981</v>
      </c>
      <c r="AB225" s="4609"/>
      <c r="AC225" s="4715"/>
      <c r="AD225" s="4609"/>
      <c r="AE225" s="4715"/>
      <c r="AF225" s="4609"/>
      <c r="AG225" s="4715"/>
      <c r="AH225" s="4609"/>
      <c r="AI225" s="4715"/>
      <c r="AJ225" s="4609"/>
      <c r="AK225" s="4715"/>
      <c r="AL225" s="4609"/>
      <c r="AM225" s="4715"/>
      <c r="AN225" s="4609"/>
      <c r="AO225" s="4715"/>
      <c r="AP225" s="4609"/>
      <c r="AQ225" s="4715"/>
      <c r="AR225" s="4609"/>
      <c r="AS225" s="4715"/>
      <c r="AT225" s="4609"/>
      <c r="AU225" s="4715"/>
      <c r="AV225" s="4609"/>
      <c r="AW225" s="4715"/>
      <c r="AX225" s="4609"/>
      <c r="AY225" s="4715"/>
      <c r="AZ225" s="4609"/>
      <c r="BA225" s="4715"/>
      <c r="BB225" s="4609"/>
      <c r="BC225" s="4715"/>
      <c r="BD225" s="4609"/>
      <c r="BE225" s="4715"/>
      <c r="BF225" s="4609"/>
      <c r="BG225" s="4715"/>
      <c r="BH225" s="3595"/>
      <c r="BI225" s="3409"/>
      <c r="BJ225" s="3409"/>
      <c r="BK225" s="4699"/>
      <c r="BL225" s="3595"/>
      <c r="BM225" s="3191"/>
      <c r="BN225" s="3970"/>
      <c r="BO225" s="3970"/>
      <c r="BP225" s="3970"/>
      <c r="BQ225" s="3191"/>
      <c r="BR225" s="3595"/>
    </row>
    <row r="226" spans="1:70" ht="54" customHeight="1" x14ac:dyDescent="0.2">
      <c r="A226" s="2445"/>
      <c r="B226" s="1596"/>
      <c r="C226" s="1737"/>
      <c r="D226" s="1596"/>
      <c r="E226" s="1737"/>
      <c r="F226" s="1596"/>
      <c r="G226" s="2378"/>
      <c r="H226" s="2378"/>
      <c r="I226" s="2379"/>
      <c r="J226" s="4631"/>
      <c r="K226" s="4603"/>
      <c r="L226" s="4606"/>
      <c r="M226" s="3595"/>
      <c r="N226" s="3595"/>
      <c r="O226" s="4606"/>
      <c r="P226" s="4606"/>
      <c r="Q226" s="4603"/>
      <c r="R226" s="3817"/>
      <c r="S226" s="4642"/>
      <c r="T226" s="4603"/>
      <c r="U226" s="4693" t="s">
        <v>2300</v>
      </c>
      <c r="V226" s="2384" t="s">
        <v>2301</v>
      </c>
      <c r="W226" s="2427">
        <v>44000000</v>
      </c>
      <c r="X226" s="1621">
        <v>21200000</v>
      </c>
      <c r="Y226" s="1621">
        <v>12631600</v>
      </c>
      <c r="Z226" s="2385">
        <v>61</v>
      </c>
      <c r="AA226" s="2437" t="s">
        <v>1981</v>
      </c>
      <c r="AB226" s="4609"/>
      <c r="AC226" s="4715"/>
      <c r="AD226" s="4609"/>
      <c r="AE226" s="4715"/>
      <c r="AF226" s="4609"/>
      <c r="AG226" s="4715"/>
      <c r="AH226" s="4609"/>
      <c r="AI226" s="4715"/>
      <c r="AJ226" s="4609"/>
      <c r="AK226" s="4715"/>
      <c r="AL226" s="4609"/>
      <c r="AM226" s="4715"/>
      <c r="AN226" s="4609"/>
      <c r="AO226" s="4715"/>
      <c r="AP226" s="4609"/>
      <c r="AQ226" s="4715"/>
      <c r="AR226" s="4609"/>
      <c r="AS226" s="4715"/>
      <c r="AT226" s="4609"/>
      <c r="AU226" s="4715"/>
      <c r="AV226" s="4609"/>
      <c r="AW226" s="4715"/>
      <c r="AX226" s="4609"/>
      <c r="AY226" s="4715"/>
      <c r="AZ226" s="4609"/>
      <c r="BA226" s="4715"/>
      <c r="BB226" s="4609"/>
      <c r="BC226" s="4715"/>
      <c r="BD226" s="4609"/>
      <c r="BE226" s="4715"/>
      <c r="BF226" s="4609"/>
      <c r="BG226" s="4715"/>
      <c r="BH226" s="3595"/>
      <c r="BI226" s="3409"/>
      <c r="BJ226" s="3409"/>
      <c r="BK226" s="4699"/>
      <c r="BL226" s="3595"/>
      <c r="BM226" s="3191"/>
      <c r="BN226" s="3970"/>
      <c r="BO226" s="3970"/>
      <c r="BP226" s="3970"/>
      <c r="BQ226" s="3191"/>
      <c r="BR226" s="3595"/>
    </row>
    <row r="227" spans="1:70" ht="62.25" customHeight="1" x14ac:dyDescent="0.2">
      <c r="A227" s="2445"/>
      <c r="B227" s="1596"/>
      <c r="C227" s="1737"/>
      <c r="D227" s="1596"/>
      <c r="E227" s="1737"/>
      <c r="F227" s="1596"/>
      <c r="G227" s="2378"/>
      <c r="H227" s="2378"/>
      <c r="I227" s="2379"/>
      <c r="J227" s="4631"/>
      <c r="K227" s="4603"/>
      <c r="L227" s="4606"/>
      <c r="M227" s="3595"/>
      <c r="N227" s="3595"/>
      <c r="O227" s="4606"/>
      <c r="P227" s="4606"/>
      <c r="Q227" s="4603"/>
      <c r="R227" s="3817"/>
      <c r="S227" s="4642"/>
      <c r="T227" s="4603"/>
      <c r="U227" s="4694"/>
      <c r="V227" s="2384" t="s">
        <v>2302</v>
      </c>
      <c r="W227" s="2427">
        <v>140470000</v>
      </c>
      <c r="X227" s="1621">
        <v>38160000</v>
      </c>
      <c r="Y227" s="1621">
        <v>12631600</v>
      </c>
      <c r="Z227" s="2385">
        <v>61</v>
      </c>
      <c r="AA227" s="2437" t="s">
        <v>1981</v>
      </c>
      <c r="AB227" s="4609"/>
      <c r="AC227" s="4715"/>
      <c r="AD227" s="4609"/>
      <c r="AE227" s="4715"/>
      <c r="AF227" s="4609"/>
      <c r="AG227" s="4715"/>
      <c r="AH227" s="4609"/>
      <c r="AI227" s="4715"/>
      <c r="AJ227" s="4609"/>
      <c r="AK227" s="4715"/>
      <c r="AL227" s="4609"/>
      <c r="AM227" s="4715"/>
      <c r="AN227" s="4609"/>
      <c r="AO227" s="4715"/>
      <c r="AP227" s="4609"/>
      <c r="AQ227" s="4715"/>
      <c r="AR227" s="4609"/>
      <c r="AS227" s="4715"/>
      <c r="AT227" s="4609"/>
      <c r="AU227" s="4715"/>
      <c r="AV227" s="4609"/>
      <c r="AW227" s="4715"/>
      <c r="AX227" s="4609"/>
      <c r="AY227" s="4715"/>
      <c r="AZ227" s="4609"/>
      <c r="BA227" s="4715"/>
      <c r="BB227" s="4609"/>
      <c r="BC227" s="4715"/>
      <c r="BD227" s="4609"/>
      <c r="BE227" s="4715"/>
      <c r="BF227" s="4609"/>
      <c r="BG227" s="4715"/>
      <c r="BH227" s="3595"/>
      <c r="BI227" s="3409"/>
      <c r="BJ227" s="3409"/>
      <c r="BK227" s="4699"/>
      <c r="BL227" s="3595"/>
      <c r="BM227" s="3191"/>
      <c r="BN227" s="3970"/>
      <c r="BO227" s="3970"/>
      <c r="BP227" s="3970"/>
      <c r="BQ227" s="3191"/>
      <c r="BR227" s="3595"/>
    </row>
    <row r="228" spans="1:70" ht="45" x14ac:dyDescent="0.2">
      <c r="A228" s="2445"/>
      <c r="B228" s="1596"/>
      <c r="C228" s="1737"/>
      <c r="D228" s="1596"/>
      <c r="E228" s="1737"/>
      <c r="F228" s="1596"/>
      <c r="G228" s="2378"/>
      <c r="H228" s="2378"/>
      <c r="I228" s="2379"/>
      <c r="J228" s="4631"/>
      <c r="K228" s="4604"/>
      <c r="L228" s="4607"/>
      <c r="M228" s="3596"/>
      <c r="N228" s="3596"/>
      <c r="O228" s="4607"/>
      <c r="P228" s="4607"/>
      <c r="Q228" s="4604"/>
      <c r="R228" s="3818"/>
      <c r="S228" s="4643"/>
      <c r="T228" s="4604"/>
      <c r="U228" s="2384" t="s">
        <v>2303</v>
      </c>
      <c r="V228" s="2384" t="s">
        <v>2304</v>
      </c>
      <c r="W228" s="2427">
        <v>88000000</v>
      </c>
      <c r="X228" s="1621">
        <v>0</v>
      </c>
      <c r="Y228" s="1621">
        <v>0</v>
      </c>
      <c r="Z228" s="2385">
        <v>61</v>
      </c>
      <c r="AA228" s="2437" t="s">
        <v>1981</v>
      </c>
      <c r="AB228" s="4610"/>
      <c r="AC228" s="4716"/>
      <c r="AD228" s="4610"/>
      <c r="AE228" s="4716"/>
      <c r="AF228" s="4610"/>
      <c r="AG228" s="4716"/>
      <c r="AH228" s="4610"/>
      <c r="AI228" s="4716"/>
      <c r="AJ228" s="4610"/>
      <c r="AK228" s="4716"/>
      <c r="AL228" s="4610"/>
      <c r="AM228" s="4716"/>
      <c r="AN228" s="4610"/>
      <c r="AO228" s="4716"/>
      <c r="AP228" s="4610"/>
      <c r="AQ228" s="4716"/>
      <c r="AR228" s="4610"/>
      <c r="AS228" s="4716"/>
      <c r="AT228" s="4610"/>
      <c r="AU228" s="4716"/>
      <c r="AV228" s="4610"/>
      <c r="AW228" s="4716"/>
      <c r="AX228" s="4610"/>
      <c r="AY228" s="4716"/>
      <c r="AZ228" s="4610"/>
      <c r="BA228" s="4716"/>
      <c r="BB228" s="4610"/>
      <c r="BC228" s="4716"/>
      <c r="BD228" s="4610"/>
      <c r="BE228" s="4716"/>
      <c r="BF228" s="4610"/>
      <c r="BG228" s="4716"/>
      <c r="BH228" s="3596"/>
      <c r="BI228" s="3410"/>
      <c r="BJ228" s="3410"/>
      <c r="BK228" s="4700"/>
      <c r="BL228" s="3596"/>
      <c r="BM228" s="3192"/>
      <c r="BN228" s="3953"/>
      <c r="BO228" s="3953"/>
      <c r="BP228" s="3953"/>
      <c r="BQ228" s="3192"/>
      <c r="BR228" s="3596"/>
    </row>
    <row r="229" spans="1:70" ht="54" customHeight="1" x14ac:dyDescent="0.2">
      <c r="A229" s="2445"/>
      <c r="B229" s="1596"/>
      <c r="C229" s="1737"/>
      <c r="D229" s="1596"/>
      <c r="E229" s="1737"/>
      <c r="F229" s="1596"/>
      <c r="G229" s="2378"/>
      <c r="H229" s="2378"/>
      <c r="I229" s="2379"/>
      <c r="J229" s="4599">
        <v>161</v>
      </c>
      <c r="K229" s="4602" t="s">
        <v>2305</v>
      </c>
      <c r="L229" s="4605" t="s">
        <v>1974</v>
      </c>
      <c r="M229" s="3594">
        <v>100</v>
      </c>
      <c r="N229" s="3594">
        <v>66</v>
      </c>
      <c r="O229" s="4605" t="s">
        <v>2306</v>
      </c>
      <c r="P229" s="4605" t="s">
        <v>2307</v>
      </c>
      <c r="Q229" s="4602" t="s">
        <v>2308</v>
      </c>
      <c r="R229" s="3306">
        <f>+(W229+W230+W231+W232)/S229</f>
        <v>0.23764853033145716</v>
      </c>
      <c r="S229" s="4641">
        <v>319800000</v>
      </c>
      <c r="T229" s="4602" t="s">
        <v>2309</v>
      </c>
      <c r="U229" s="4602" t="s">
        <v>2310</v>
      </c>
      <c r="V229" s="2384" t="s">
        <v>2311</v>
      </c>
      <c r="W229" s="2427">
        <v>15000000</v>
      </c>
      <c r="X229" s="1621">
        <v>15000000</v>
      </c>
      <c r="Y229" s="1621">
        <v>3298750</v>
      </c>
      <c r="Z229" s="2385">
        <v>61</v>
      </c>
      <c r="AA229" s="2437" t="s">
        <v>1981</v>
      </c>
      <c r="AB229" s="4608">
        <v>292684</v>
      </c>
      <c r="AC229" s="4714">
        <f>SUM(AB229*0.57)</f>
        <v>166829.87999999998</v>
      </c>
      <c r="AD229" s="4608">
        <v>282326</v>
      </c>
      <c r="AE229" s="4714">
        <f>SUM(AD229*0.57)</f>
        <v>160925.81999999998</v>
      </c>
      <c r="AF229" s="4608">
        <v>135912</v>
      </c>
      <c r="AG229" s="4714">
        <f>SUM(AF229*0.57)</f>
        <v>77469.84</v>
      </c>
      <c r="AH229" s="4608">
        <v>45122</v>
      </c>
      <c r="AI229" s="4714">
        <f>SUM(AH229*0.57)</f>
        <v>25719.539999999997</v>
      </c>
      <c r="AJ229" s="4608">
        <v>307101</v>
      </c>
      <c r="AK229" s="4714">
        <v>175047.56999999998</v>
      </c>
      <c r="AL229" s="4608">
        <v>86875</v>
      </c>
      <c r="AM229" s="4714">
        <v>49518.749999999993</v>
      </c>
      <c r="AN229" s="4608">
        <v>2145</v>
      </c>
      <c r="AO229" s="4714">
        <f>SUM(AN229*0.57)</f>
        <v>1222.6499999999999</v>
      </c>
      <c r="AP229" s="4608">
        <v>12718</v>
      </c>
      <c r="AQ229" s="4714">
        <f>SUM(AP229*0.57)</f>
        <v>7249.2599999999993</v>
      </c>
      <c r="AR229" s="4608">
        <v>26</v>
      </c>
      <c r="AS229" s="4714">
        <f>SUM(AR229*0.57)</f>
        <v>14.819999999999999</v>
      </c>
      <c r="AT229" s="4608">
        <v>37</v>
      </c>
      <c r="AU229" s="4714">
        <f>SUM(AT229*0.57)</f>
        <v>21.09</v>
      </c>
      <c r="AV229" s="4608" t="s">
        <v>2015</v>
      </c>
      <c r="AW229" s="4714" t="s">
        <v>2015</v>
      </c>
      <c r="AX229" s="4608" t="s">
        <v>2015</v>
      </c>
      <c r="AY229" s="4714" t="s">
        <v>2015</v>
      </c>
      <c r="AZ229" s="4608">
        <v>53164</v>
      </c>
      <c r="BA229" s="4714">
        <f>SUM(AZ229*0.57)</f>
        <v>30303.479999999996</v>
      </c>
      <c r="BB229" s="4608">
        <v>16982</v>
      </c>
      <c r="BC229" s="4714">
        <f>SUM(BB229*0.57)</f>
        <v>9679.74</v>
      </c>
      <c r="BD229" s="4608">
        <v>60013</v>
      </c>
      <c r="BE229" s="4714">
        <f>SUM(BD229*0.57)</f>
        <v>34207.409999999996</v>
      </c>
      <c r="BF229" s="4608">
        <v>575010</v>
      </c>
      <c r="BG229" s="4714">
        <f>SUM(BF229*0.57)</f>
        <v>327755.69999999995</v>
      </c>
      <c r="BH229" s="3594">
        <v>17</v>
      </c>
      <c r="BI229" s="3408">
        <f>SUM(X229:X237)</f>
        <v>220525000</v>
      </c>
      <c r="BJ229" s="3408">
        <f>SUM(Y229:Y237)</f>
        <v>44105000</v>
      </c>
      <c r="BK229" s="4698">
        <f>+BJ229/BI229</f>
        <v>0.2</v>
      </c>
      <c r="BL229" s="3594">
        <v>61</v>
      </c>
      <c r="BM229" s="3190" t="s">
        <v>1982</v>
      </c>
      <c r="BN229" s="3952">
        <v>43466</v>
      </c>
      <c r="BO229" s="3952">
        <v>43467</v>
      </c>
      <c r="BP229" s="3952">
        <v>43830</v>
      </c>
      <c r="BQ229" s="4732">
        <v>43830</v>
      </c>
      <c r="BR229" s="3190" t="s">
        <v>1983</v>
      </c>
    </row>
    <row r="230" spans="1:70" ht="47.25" customHeight="1" x14ac:dyDescent="0.2">
      <c r="A230" s="2445"/>
      <c r="B230" s="1596"/>
      <c r="C230" s="1737"/>
      <c r="D230" s="1596"/>
      <c r="E230" s="1737"/>
      <c r="F230" s="1596"/>
      <c r="G230" s="2378"/>
      <c r="H230" s="2378"/>
      <c r="I230" s="2379"/>
      <c r="J230" s="4600"/>
      <c r="K230" s="4603"/>
      <c r="L230" s="4606"/>
      <c r="M230" s="3595"/>
      <c r="N230" s="3595"/>
      <c r="O230" s="4606"/>
      <c r="P230" s="4606"/>
      <c r="Q230" s="4603"/>
      <c r="R230" s="3306"/>
      <c r="S230" s="4642"/>
      <c r="T230" s="4603"/>
      <c r="U230" s="4603"/>
      <c r="V230" s="2384" t="s">
        <v>2312</v>
      </c>
      <c r="W230" s="2427">
        <v>25000000</v>
      </c>
      <c r="X230" s="1621">
        <v>19987500</v>
      </c>
      <c r="Y230" s="1621">
        <v>3298750</v>
      </c>
      <c r="Z230" s="2385">
        <v>61</v>
      </c>
      <c r="AA230" s="2437" t="s">
        <v>1981</v>
      </c>
      <c r="AB230" s="4609"/>
      <c r="AC230" s="4715"/>
      <c r="AD230" s="4609"/>
      <c r="AE230" s="4715"/>
      <c r="AF230" s="4609"/>
      <c r="AG230" s="4715"/>
      <c r="AH230" s="4609"/>
      <c r="AI230" s="4715"/>
      <c r="AJ230" s="4609">
        <v>307101</v>
      </c>
      <c r="AK230" s="4715">
        <v>175047.56999999998</v>
      </c>
      <c r="AL230" s="4609">
        <v>86875</v>
      </c>
      <c r="AM230" s="4715">
        <v>49518.749999999993</v>
      </c>
      <c r="AN230" s="4609"/>
      <c r="AO230" s="4715"/>
      <c r="AP230" s="4609"/>
      <c r="AQ230" s="4715"/>
      <c r="AR230" s="4609"/>
      <c r="AS230" s="4715"/>
      <c r="AT230" s="4609"/>
      <c r="AU230" s="4715"/>
      <c r="AV230" s="4609"/>
      <c r="AW230" s="4715"/>
      <c r="AX230" s="4609"/>
      <c r="AY230" s="4715"/>
      <c r="AZ230" s="4609"/>
      <c r="BA230" s="4715"/>
      <c r="BB230" s="4609"/>
      <c r="BC230" s="4715"/>
      <c r="BD230" s="4609"/>
      <c r="BE230" s="4715"/>
      <c r="BF230" s="4609"/>
      <c r="BG230" s="4715"/>
      <c r="BH230" s="3595"/>
      <c r="BI230" s="3409"/>
      <c r="BJ230" s="3409"/>
      <c r="BK230" s="4699"/>
      <c r="BL230" s="3595"/>
      <c r="BM230" s="3191"/>
      <c r="BN230" s="3970"/>
      <c r="BO230" s="3970"/>
      <c r="BP230" s="3970"/>
      <c r="BQ230" s="3191"/>
      <c r="BR230" s="3595"/>
    </row>
    <row r="231" spans="1:70" ht="75" x14ac:dyDescent="0.2">
      <c r="A231" s="2445"/>
      <c r="B231" s="1596"/>
      <c r="C231" s="1737"/>
      <c r="D231" s="1596"/>
      <c r="E231" s="1737"/>
      <c r="F231" s="1596"/>
      <c r="G231" s="2378"/>
      <c r="H231" s="2378"/>
      <c r="I231" s="2379"/>
      <c r="J231" s="4600"/>
      <c r="K231" s="4603"/>
      <c r="L231" s="4606"/>
      <c r="M231" s="3595"/>
      <c r="N231" s="3595"/>
      <c r="O231" s="4606"/>
      <c r="P231" s="4606"/>
      <c r="Q231" s="4603"/>
      <c r="R231" s="3306"/>
      <c r="S231" s="4642"/>
      <c r="T231" s="4603"/>
      <c r="U231" s="4603"/>
      <c r="V231" s="2384" t="s">
        <v>2313</v>
      </c>
      <c r="W231" s="2427">
        <v>25000000</v>
      </c>
      <c r="X231" s="1621">
        <v>19987500</v>
      </c>
      <c r="Y231" s="1621">
        <v>3298750</v>
      </c>
      <c r="Z231" s="2385">
        <v>61</v>
      </c>
      <c r="AA231" s="2437" t="s">
        <v>1981</v>
      </c>
      <c r="AB231" s="4609"/>
      <c r="AC231" s="4715"/>
      <c r="AD231" s="4609"/>
      <c r="AE231" s="4715"/>
      <c r="AF231" s="4609"/>
      <c r="AG231" s="4715"/>
      <c r="AH231" s="4609"/>
      <c r="AI231" s="4715"/>
      <c r="AJ231" s="4609">
        <v>307101</v>
      </c>
      <c r="AK231" s="4715">
        <v>175047.56999999998</v>
      </c>
      <c r="AL231" s="4609">
        <v>86875</v>
      </c>
      <c r="AM231" s="4715">
        <v>49518.749999999993</v>
      </c>
      <c r="AN231" s="4609"/>
      <c r="AO231" s="4715"/>
      <c r="AP231" s="4609"/>
      <c r="AQ231" s="4715"/>
      <c r="AR231" s="4609"/>
      <c r="AS231" s="4715"/>
      <c r="AT231" s="4609"/>
      <c r="AU231" s="4715"/>
      <c r="AV231" s="4609"/>
      <c r="AW231" s="4715"/>
      <c r="AX231" s="4609"/>
      <c r="AY231" s="4715"/>
      <c r="AZ231" s="4609"/>
      <c r="BA231" s="4715"/>
      <c r="BB231" s="4609"/>
      <c r="BC231" s="4715"/>
      <c r="BD231" s="4609"/>
      <c r="BE231" s="4715"/>
      <c r="BF231" s="4609"/>
      <c r="BG231" s="4715"/>
      <c r="BH231" s="3595"/>
      <c r="BI231" s="3409"/>
      <c r="BJ231" s="3409"/>
      <c r="BK231" s="4699"/>
      <c r="BL231" s="3595"/>
      <c r="BM231" s="3191"/>
      <c r="BN231" s="3970"/>
      <c r="BO231" s="3970"/>
      <c r="BP231" s="3970"/>
      <c r="BQ231" s="3191"/>
      <c r="BR231" s="3595"/>
    </row>
    <row r="232" spans="1:70" ht="58.5" customHeight="1" x14ac:dyDescent="0.2">
      <c r="A232" s="2445"/>
      <c r="B232" s="1596"/>
      <c r="C232" s="1737"/>
      <c r="D232" s="1596"/>
      <c r="E232" s="1737"/>
      <c r="F232" s="1596"/>
      <c r="G232" s="2378"/>
      <c r="H232" s="2378"/>
      <c r="I232" s="2379"/>
      <c r="J232" s="4601"/>
      <c r="K232" s="4604"/>
      <c r="L232" s="4607"/>
      <c r="M232" s="3596"/>
      <c r="N232" s="3596"/>
      <c r="O232" s="4606"/>
      <c r="P232" s="4606"/>
      <c r="Q232" s="4603"/>
      <c r="R232" s="3306"/>
      <c r="S232" s="4642"/>
      <c r="T232" s="4603"/>
      <c r="U232" s="4604"/>
      <c r="V232" s="2384" t="s">
        <v>2314</v>
      </c>
      <c r="W232" s="2427">
        <v>11000000</v>
      </c>
      <c r="X232" s="1621">
        <v>11000000</v>
      </c>
      <c r="Y232" s="1621">
        <v>3298750</v>
      </c>
      <c r="Z232" s="2385">
        <v>61</v>
      </c>
      <c r="AA232" s="2437" t="s">
        <v>1981</v>
      </c>
      <c r="AB232" s="4609"/>
      <c r="AC232" s="4715"/>
      <c r="AD232" s="4609"/>
      <c r="AE232" s="4715"/>
      <c r="AF232" s="4609"/>
      <c r="AG232" s="4715"/>
      <c r="AH232" s="4609"/>
      <c r="AI232" s="4715"/>
      <c r="AJ232" s="4609">
        <v>307101</v>
      </c>
      <c r="AK232" s="4715">
        <v>175047.56999999998</v>
      </c>
      <c r="AL232" s="4609">
        <v>86875</v>
      </c>
      <c r="AM232" s="4715">
        <v>49518.749999999993</v>
      </c>
      <c r="AN232" s="4609"/>
      <c r="AO232" s="4715"/>
      <c r="AP232" s="4609"/>
      <c r="AQ232" s="4715"/>
      <c r="AR232" s="4609"/>
      <c r="AS232" s="4715"/>
      <c r="AT232" s="4609"/>
      <c r="AU232" s="4715"/>
      <c r="AV232" s="4609"/>
      <c r="AW232" s="4715"/>
      <c r="AX232" s="4609"/>
      <c r="AY232" s="4715"/>
      <c r="AZ232" s="4609"/>
      <c r="BA232" s="4715"/>
      <c r="BB232" s="4609"/>
      <c r="BC232" s="4715"/>
      <c r="BD232" s="4609"/>
      <c r="BE232" s="4715"/>
      <c r="BF232" s="4609"/>
      <c r="BG232" s="4715"/>
      <c r="BH232" s="3595"/>
      <c r="BI232" s="3409"/>
      <c r="BJ232" s="3409"/>
      <c r="BK232" s="4699"/>
      <c r="BL232" s="3595"/>
      <c r="BM232" s="3191"/>
      <c r="BN232" s="3970"/>
      <c r="BO232" s="3970"/>
      <c r="BP232" s="3970"/>
      <c r="BQ232" s="3191"/>
      <c r="BR232" s="3595"/>
    </row>
    <row r="233" spans="1:70" ht="60" x14ac:dyDescent="0.2">
      <c r="A233" s="2445"/>
      <c r="B233" s="1596"/>
      <c r="C233" s="1737"/>
      <c r="D233" s="1596"/>
      <c r="E233" s="1737"/>
      <c r="F233" s="1596"/>
      <c r="G233" s="2378"/>
      <c r="H233" s="2378"/>
      <c r="I233" s="2379"/>
      <c r="J233" s="4631">
        <v>162</v>
      </c>
      <c r="K233" s="4602" t="s">
        <v>2315</v>
      </c>
      <c r="L233" s="4605" t="s">
        <v>1974</v>
      </c>
      <c r="M233" s="3595">
        <v>83</v>
      </c>
      <c r="N233" s="3595">
        <v>67</v>
      </c>
      <c r="O233" s="4606"/>
      <c r="P233" s="4606"/>
      <c r="Q233" s="4603"/>
      <c r="R233" s="3306">
        <f>+(W233+W234+W235+W236+W237)/S229</f>
        <v>0.76235146966854284</v>
      </c>
      <c r="S233" s="4642"/>
      <c r="T233" s="4603"/>
      <c r="U233" s="4602" t="s">
        <v>2316</v>
      </c>
      <c r="V233" s="2384" t="s">
        <v>2317</v>
      </c>
      <c r="W233" s="2427">
        <v>120000000</v>
      </c>
      <c r="X233" s="1621">
        <f>50000000+2275000</f>
        <v>52275000</v>
      </c>
      <c r="Y233" s="1621">
        <v>6182000</v>
      </c>
      <c r="Z233" s="2385">
        <v>61</v>
      </c>
      <c r="AA233" s="2437" t="s">
        <v>1981</v>
      </c>
      <c r="AB233" s="4609"/>
      <c r="AC233" s="4715"/>
      <c r="AD233" s="4609"/>
      <c r="AE233" s="4715"/>
      <c r="AF233" s="4609"/>
      <c r="AG233" s="4715"/>
      <c r="AH233" s="4609"/>
      <c r="AI233" s="4715"/>
      <c r="AJ233" s="4609">
        <v>307101</v>
      </c>
      <c r="AK233" s="4715">
        <v>175047.56999999998</v>
      </c>
      <c r="AL233" s="4609">
        <v>86875</v>
      </c>
      <c r="AM233" s="4715">
        <v>49518.749999999993</v>
      </c>
      <c r="AN233" s="4609"/>
      <c r="AO233" s="4715"/>
      <c r="AP233" s="4609"/>
      <c r="AQ233" s="4715"/>
      <c r="AR233" s="4609"/>
      <c r="AS233" s="4715"/>
      <c r="AT233" s="4609"/>
      <c r="AU233" s="4715"/>
      <c r="AV233" s="4609"/>
      <c r="AW233" s="4715"/>
      <c r="AX233" s="4609"/>
      <c r="AY233" s="4715"/>
      <c r="AZ233" s="4609"/>
      <c r="BA233" s="4715"/>
      <c r="BB233" s="4609"/>
      <c r="BC233" s="4715"/>
      <c r="BD233" s="4609"/>
      <c r="BE233" s="4715"/>
      <c r="BF233" s="4609"/>
      <c r="BG233" s="4715"/>
      <c r="BH233" s="3595"/>
      <c r="BI233" s="3409"/>
      <c r="BJ233" s="3409"/>
      <c r="BK233" s="4699"/>
      <c r="BL233" s="3595"/>
      <c r="BM233" s="3191"/>
      <c r="BN233" s="3970"/>
      <c r="BO233" s="3970"/>
      <c r="BP233" s="3970"/>
      <c r="BQ233" s="3191"/>
      <c r="BR233" s="3595"/>
    </row>
    <row r="234" spans="1:70" ht="50.25" customHeight="1" x14ac:dyDescent="0.2">
      <c r="A234" s="2445"/>
      <c r="B234" s="1596"/>
      <c r="C234" s="1737"/>
      <c r="D234" s="1596"/>
      <c r="E234" s="1737"/>
      <c r="F234" s="1596"/>
      <c r="G234" s="2378"/>
      <c r="H234" s="2378"/>
      <c r="I234" s="2379"/>
      <c r="J234" s="4631"/>
      <c r="K234" s="4603"/>
      <c r="L234" s="4606"/>
      <c r="M234" s="3595"/>
      <c r="N234" s="3595"/>
      <c r="O234" s="4606"/>
      <c r="P234" s="4606"/>
      <c r="Q234" s="4603"/>
      <c r="R234" s="3306"/>
      <c r="S234" s="4642"/>
      <c r="T234" s="4603"/>
      <c r="U234" s="4603"/>
      <c r="V234" s="2384" t="s">
        <v>2318</v>
      </c>
      <c r="W234" s="2427">
        <v>53800000</v>
      </c>
      <c r="X234" s="1621">
        <v>32275000</v>
      </c>
      <c r="Y234" s="1621">
        <v>6182000</v>
      </c>
      <c r="Z234" s="2385">
        <v>61</v>
      </c>
      <c r="AA234" s="2437" t="s">
        <v>1981</v>
      </c>
      <c r="AB234" s="4609"/>
      <c r="AC234" s="4715"/>
      <c r="AD234" s="4609"/>
      <c r="AE234" s="4715"/>
      <c r="AF234" s="4609"/>
      <c r="AG234" s="4715"/>
      <c r="AH234" s="4609"/>
      <c r="AI234" s="4715"/>
      <c r="AJ234" s="4609">
        <v>307101</v>
      </c>
      <c r="AK234" s="4715">
        <v>175047.56999999998</v>
      </c>
      <c r="AL234" s="4609">
        <v>86875</v>
      </c>
      <c r="AM234" s="4715">
        <v>49518.749999999993</v>
      </c>
      <c r="AN234" s="4609"/>
      <c r="AO234" s="4715"/>
      <c r="AP234" s="4609"/>
      <c r="AQ234" s="4715"/>
      <c r="AR234" s="4609"/>
      <c r="AS234" s="4715"/>
      <c r="AT234" s="4609"/>
      <c r="AU234" s="4715"/>
      <c r="AV234" s="4609"/>
      <c r="AW234" s="4715"/>
      <c r="AX234" s="4609"/>
      <c r="AY234" s="4715"/>
      <c r="AZ234" s="4609"/>
      <c r="BA234" s="4715"/>
      <c r="BB234" s="4609"/>
      <c r="BC234" s="4715"/>
      <c r="BD234" s="4609"/>
      <c r="BE234" s="4715"/>
      <c r="BF234" s="4609"/>
      <c r="BG234" s="4715"/>
      <c r="BH234" s="3595"/>
      <c r="BI234" s="3409"/>
      <c r="BJ234" s="3409"/>
      <c r="BK234" s="4699"/>
      <c r="BL234" s="3595"/>
      <c r="BM234" s="3191"/>
      <c r="BN234" s="3970"/>
      <c r="BO234" s="3970"/>
      <c r="BP234" s="3970"/>
      <c r="BQ234" s="3191"/>
      <c r="BR234" s="3595"/>
    </row>
    <row r="235" spans="1:70" ht="62.25" customHeight="1" x14ac:dyDescent="0.2">
      <c r="A235" s="2445"/>
      <c r="B235" s="1596"/>
      <c r="C235" s="1737"/>
      <c r="D235" s="1596"/>
      <c r="E235" s="1737"/>
      <c r="F235" s="1596"/>
      <c r="G235" s="2378"/>
      <c r="H235" s="2378"/>
      <c r="I235" s="2379"/>
      <c r="J235" s="4631"/>
      <c r="K235" s="4603"/>
      <c r="L235" s="4606"/>
      <c r="M235" s="3595"/>
      <c r="N235" s="3595"/>
      <c r="O235" s="4606"/>
      <c r="P235" s="4606"/>
      <c r="Q235" s="4603"/>
      <c r="R235" s="3306"/>
      <c r="S235" s="4642"/>
      <c r="T235" s="4603"/>
      <c r="U235" s="4603"/>
      <c r="V235" s="2384" t="s">
        <v>2319</v>
      </c>
      <c r="W235" s="2427">
        <v>30000000</v>
      </c>
      <c r="X235" s="1621">
        <v>30000000</v>
      </c>
      <c r="Y235" s="1621">
        <v>6182000</v>
      </c>
      <c r="Z235" s="2385">
        <v>61</v>
      </c>
      <c r="AA235" s="2437" t="s">
        <v>1981</v>
      </c>
      <c r="AB235" s="4609"/>
      <c r="AC235" s="4715"/>
      <c r="AD235" s="4609"/>
      <c r="AE235" s="4715"/>
      <c r="AF235" s="4609"/>
      <c r="AG235" s="4715"/>
      <c r="AH235" s="4609"/>
      <c r="AI235" s="4715"/>
      <c r="AJ235" s="4609">
        <v>307101</v>
      </c>
      <c r="AK235" s="4715">
        <v>175047.56999999998</v>
      </c>
      <c r="AL235" s="4609">
        <v>86875</v>
      </c>
      <c r="AM235" s="4715">
        <v>49518.749999999993</v>
      </c>
      <c r="AN235" s="4609"/>
      <c r="AO235" s="4715"/>
      <c r="AP235" s="4609"/>
      <c r="AQ235" s="4715"/>
      <c r="AR235" s="4609"/>
      <c r="AS235" s="4715"/>
      <c r="AT235" s="4609"/>
      <c r="AU235" s="4715"/>
      <c r="AV235" s="4609"/>
      <c r="AW235" s="4715"/>
      <c r="AX235" s="4609"/>
      <c r="AY235" s="4715"/>
      <c r="AZ235" s="4609"/>
      <c r="BA235" s="4715"/>
      <c r="BB235" s="4609"/>
      <c r="BC235" s="4715"/>
      <c r="BD235" s="4609"/>
      <c r="BE235" s="4715"/>
      <c r="BF235" s="4609"/>
      <c r="BG235" s="4715"/>
      <c r="BH235" s="3595"/>
      <c r="BI235" s="3409"/>
      <c r="BJ235" s="3409"/>
      <c r="BK235" s="4699"/>
      <c r="BL235" s="3595"/>
      <c r="BM235" s="3191"/>
      <c r="BN235" s="3970"/>
      <c r="BO235" s="3970"/>
      <c r="BP235" s="3970"/>
      <c r="BQ235" s="3191"/>
      <c r="BR235" s="3595"/>
    </row>
    <row r="236" spans="1:70" ht="51" customHeight="1" x14ac:dyDescent="0.2">
      <c r="A236" s="2445"/>
      <c r="B236" s="1596"/>
      <c r="C236" s="1737"/>
      <c r="D236" s="1596"/>
      <c r="E236" s="1737"/>
      <c r="F236" s="1596"/>
      <c r="G236" s="2378"/>
      <c r="H236" s="2378"/>
      <c r="I236" s="2379"/>
      <c r="J236" s="4631"/>
      <c r="K236" s="4603"/>
      <c r="L236" s="4606"/>
      <c r="M236" s="3595"/>
      <c r="N236" s="3595"/>
      <c r="O236" s="4606"/>
      <c r="P236" s="4606"/>
      <c r="Q236" s="4603"/>
      <c r="R236" s="3306"/>
      <c r="S236" s="4642"/>
      <c r="T236" s="4603"/>
      <c r="U236" s="4603"/>
      <c r="V236" s="2384" t="s">
        <v>2320</v>
      </c>
      <c r="W236" s="2427">
        <v>10000000</v>
      </c>
      <c r="X236" s="1621">
        <v>10000000</v>
      </c>
      <c r="Y236" s="1621">
        <v>6182000</v>
      </c>
      <c r="Z236" s="2385">
        <v>61</v>
      </c>
      <c r="AA236" s="2437" t="s">
        <v>1981</v>
      </c>
      <c r="AB236" s="4609"/>
      <c r="AC236" s="4715"/>
      <c r="AD236" s="4609"/>
      <c r="AE236" s="4715"/>
      <c r="AF236" s="4609"/>
      <c r="AG236" s="4715"/>
      <c r="AH236" s="4609"/>
      <c r="AI236" s="4715"/>
      <c r="AJ236" s="4609">
        <v>307101</v>
      </c>
      <c r="AK236" s="4715">
        <v>175047.56999999998</v>
      </c>
      <c r="AL236" s="4609">
        <v>86875</v>
      </c>
      <c r="AM236" s="4715">
        <v>49518.749999999993</v>
      </c>
      <c r="AN236" s="4609"/>
      <c r="AO236" s="4715"/>
      <c r="AP236" s="4609"/>
      <c r="AQ236" s="4715"/>
      <c r="AR236" s="4609"/>
      <c r="AS236" s="4715"/>
      <c r="AT236" s="4609"/>
      <c r="AU236" s="4715"/>
      <c r="AV236" s="4609"/>
      <c r="AW236" s="4715"/>
      <c r="AX236" s="4609"/>
      <c r="AY236" s="4715"/>
      <c r="AZ236" s="4609"/>
      <c r="BA236" s="4715"/>
      <c r="BB236" s="4609"/>
      <c r="BC236" s="4715"/>
      <c r="BD236" s="4609"/>
      <c r="BE236" s="4715"/>
      <c r="BF236" s="4609"/>
      <c r="BG236" s="4715"/>
      <c r="BH236" s="3595"/>
      <c r="BI236" s="3409"/>
      <c r="BJ236" s="3409"/>
      <c r="BK236" s="4699"/>
      <c r="BL236" s="3595"/>
      <c r="BM236" s="3191"/>
      <c r="BN236" s="3970"/>
      <c r="BO236" s="3970"/>
      <c r="BP236" s="3970"/>
      <c r="BQ236" s="3191"/>
      <c r="BR236" s="3595"/>
    </row>
    <row r="237" spans="1:70" ht="75" x14ac:dyDescent="0.2">
      <c r="A237" s="2445"/>
      <c r="B237" s="1596"/>
      <c r="C237" s="1737"/>
      <c r="D237" s="1596"/>
      <c r="E237" s="1737"/>
      <c r="F237" s="1596"/>
      <c r="G237" s="2378"/>
      <c r="H237" s="2378"/>
      <c r="I237" s="2379"/>
      <c r="J237" s="4631"/>
      <c r="K237" s="4604"/>
      <c r="L237" s="4607"/>
      <c r="M237" s="3596"/>
      <c r="N237" s="3596"/>
      <c r="O237" s="4607"/>
      <c r="P237" s="4607"/>
      <c r="Q237" s="4604"/>
      <c r="R237" s="3306"/>
      <c r="S237" s="4642"/>
      <c r="T237" s="4604"/>
      <c r="U237" s="4604"/>
      <c r="V237" s="2384" t="s">
        <v>2321</v>
      </c>
      <c r="W237" s="2427">
        <v>30000000</v>
      </c>
      <c r="X237" s="1621">
        <v>30000000</v>
      </c>
      <c r="Y237" s="1621">
        <v>6182000</v>
      </c>
      <c r="Z237" s="2385">
        <v>61</v>
      </c>
      <c r="AA237" s="2437" t="s">
        <v>1981</v>
      </c>
      <c r="AB237" s="4610"/>
      <c r="AC237" s="4716"/>
      <c r="AD237" s="4610"/>
      <c r="AE237" s="4716"/>
      <c r="AF237" s="4610"/>
      <c r="AG237" s="4716"/>
      <c r="AH237" s="4610"/>
      <c r="AI237" s="4716"/>
      <c r="AJ237" s="4610">
        <v>307101</v>
      </c>
      <c r="AK237" s="4716">
        <v>175047.56999999998</v>
      </c>
      <c r="AL237" s="4610">
        <v>86875</v>
      </c>
      <c r="AM237" s="4716">
        <v>49518.749999999993</v>
      </c>
      <c r="AN237" s="4610"/>
      <c r="AO237" s="4716"/>
      <c r="AP237" s="4610"/>
      <c r="AQ237" s="4716"/>
      <c r="AR237" s="4610"/>
      <c r="AS237" s="4716"/>
      <c r="AT237" s="4610"/>
      <c r="AU237" s="4716"/>
      <c r="AV237" s="4610"/>
      <c r="AW237" s="4716"/>
      <c r="AX237" s="4610"/>
      <c r="AY237" s="4716"/>
      <c r="AZ237" s="4610"/>
      <c r="BA237" s="4716"/>
      <c r="BB237" s="4610"/>
      <c r="BC237" s="4716"/>
      <c r="BD237" s="4610"/>
      <c r="BE237" s="4716"/>
      <c r="BF237" s="4610"/>
      <c r="BG237" s="4716"/>
      <c r="BH237" s="3596"/>
      <c r="BI237" s="3410"/>
      <c r="BJ237" s="3410"/>
      <c r="BK237" s="4700"/>
      <c r="BL237" s="3596"/>
      <c r="BM237" s="3192"/>
      <c r="BN237" s="3953"/>
      <c r="BO237" s="3953"/>
      <c r="BP237" s="3953"/>
      <c r="BQ237" s="3192"/>
      <c r="BR237" s="3596"/>
    </row>
    <row r="238" spans="1:70" s="2367" customFormat="1" ht="15.75" x14ac:dyDescent="0.2">
      <c r="A238" s="2390"/>
      <c r="B238" s="2391"/>
      <c r="C238" s="2392"/>
      <c r="D238" s="2393">
        <v>13</v>
      </c>
      <c r="E238" s="2394" t="s">
        <v>2322</v>
      </c>
      <c r="F238" s="2371"/>
      <c r="G238" s="2371"/>
      <c r="H238" s="2371"/>
      <c r="I238" s="2371"/>
      <c r="J238" s="2471"/>
      <c r="K238" s="2472"/>
      <c r="L238" s="2471"/>
      <c r="M238" s="2473"/>
      <c r="N238" s="2474"/>
      <c r="O238" s="2471"/>
      <c r="P238" s="2472"/>
      <c r="Q238" s="2471"/>
      <c r="R238" s="2475"/>
      <c r="S238" s="2471"/>
      <c r="T238" s="2472"/>
      <c r="U238" s="2472"/>
      <c r="V238" s="2476"/>
      <c r="W238" s="1451"/>
      <c r="X238" s="1451"/>
      <c r="Y238" s="1451"/>
      <c r="Z238" s="2477"/>
      <c r="AA238" s="2477"/>
      <c r="AB238" s="2477"/>
      <c r="AC238" s="2477"/>
      <c r="AD238" s="2477"/>
      <c r="AE238" s="2477"/>
      <c r="AF238" s="2477"/>
      <c r="AG238" s="2477"/>
      <c r="AH238" s="2477"/>
      <c r="AI238" s="2477"/>
      <c r="AJ238" s="2477"/>
      <c r="AK238" s="2477"/>
      <c r="AL238" s="2477"/>
      <c r="AM238" s="2477"/>
      <c r="AN238" s="2477"/>
      <c r="AO238" s="2471"/>
      <c r="AP238" s="2471"/>
      <c r="AQ238" s="2371"/>
      <c r="AR238" s="2396"/>
      <c r="AS238" s="2472"/>
      <c r="AT238" s="2472"/>
      <c r="AU238" s="2472"/>
      <c r="AV238" s="2472"/>
      <c r="AW238" s="2472"/>
      <c r="AX238" s="2472"/>
      <c r="AY238" s="2472"/>
      <c r="AZ238" s="2472"/>
      <c r="BA238" s="2472"/>
      <c r="BB238" s="2472"/>
      <c r="BC238" s="2472"/>
      <c r="BD238" s="2472"/>
      <c r="BE238" s="2472"/>
      <c r="BF238" s="2472"/>
      <c r="BG238" s="2472"/>
      <c r="BH238" s="2472"/>
      <c r="BI238" s="2478"/>
      <c r="BJ238" s="2478"/>
      <c r="BK238" s="2472"/>
      <c r="BL238" s="2472"/>
      <c r="BM238" s="2472"/>
      <c r="BN238" s="2479"/>
      <c r="BO238" s="2479"/>
      <c r="BP238" s="2479"/>
      <c r="BQ238" s="2480"/>
      <c r="BR238" s="2481"/>
    </row>
    <row r="239" spans="1:70" ht="15.75" x14ac:dyDescent="0.2">
      <c r="A239" s="2445"/>
      <c r="B239" s="1596"/>
      <c r="C239" s="1737"/>
      <c r="D239" s="1596"/>
      <c r="E239" s="1737"/>
      <c r="G239" s="2406">
        <v>47</v>
      </c>
      <c r="H239" s="2482" t="s">
        <v>2323</v>
      </c>
      <c r="I239" s="2482"/>
      <c r="J239" s="2375"/>
      <c r="K239" s="2407"/>
      <c r="L239" s="2375"/>
      <c r="M239" s="2408"/>
      <c r="N239" s="2409"/>
      <c r="O239" s="2407"/>
      <c r="P239" s="2407"/>
      <c r="Q239" s="2407"/>
      <c r="R239" s="2407"/>
      <c r="S239" s="2407"/>
      <c r="T239" s="2407"/>
      <c r="U239" s="2407"/>
      <c r="V239" s="2407"/>
      <c r="W239" s="2423"/>
      <c r="X239" s="2423"/>
      <c r="Y239" s="2423"/>
      <c r="Z239" s="2407"/>
      <c r="AA239" s="2413"/>
      <c r="AB239" s="2407"/>
      <c r="AC239" s="2407"/>
      <c r="AD239" s="2407"/>
      <c r="AE239" s="2407"/>
      <c r="AF239" s="2407"/>
      <c r="AG239" s="2407"/>
      <c r="AH239" s="2407"/>
      <c r="AI239" s="2407"/>
      <c r="AJ239" s="2407"/>
      <c r="AK239" s="2407"/>
      <c r="AL239" s="2407"/>
      <c r="AM239" s="2407"/>
      <c r="AN239" s="2407"/>
      <c r="AO239" s="2407"/>
      <c r="AP239" s="2407"/>
      <c r="AQ239" s="2407"/>
      <c r="AR239" s="2407"/>
      <c r="AS239" s="2407"/>
      <c r="AT239" s="2407"/>
      <c r="AU239" s="2407"/>
      <c r="AV239" s="2407"/>
      <c r="AW239" s="2407"/>
      <c r="AX239" s="2407"/>
      <c r="AY239" s="2407"/>
      <c r="AZ239" s="2407"/>
      <c r="BA239" s="2407"/>
      <c r="BB239" s="2407"/>
      <c r="BC239" s="2407"/>
      <c r="BD239" s="2407"/>
      <c r="BE239" s="2407"/>
      <c r="BF239" s="2407"/>
      <c r="BG239" s="2407"/>
      <c r="BH239" s="2407"/>
      <c r="BI239" s="2423"/>
      <c r="BJ239" s="2423"/>
      <c r="BK239" s="2407"/>
      <c r="BL239" s="2407"/>
      <c r="BM239" s="2407"/>
      <c r="BN239" s="2469"/>
      <c r="BO239" s="2469"/>
      <c r="BP239" s="2469"/>
      <c r="BQ239" s="2432"/>
      <c r="BR239" s="2470"/>
    </row>
    <row r="240" spans="1:70" ht="30" x14ac:dyDescent="0.2">
      <c r="A240" s="2445"/>
      <c r="B240" s="1596"/>
      <c r="C240" s="1737"/>
      <c r="D240" s="1596"/>
      <c r="E240" s="1737"/>
      <c r="G240" s="4738"/>
      <c r="H240" s="4720"/>
      <c r="I240" s="4720"/>
      <c r="J240" s="4631">
        <v>163</v>
      </c>
      <c r="K240" s="4711" t="s">
        <v>2324</v>
      </c>
      <c r="L240" s="4720" t="s">
        <v>1974</v>
      </c>
      <c r="M240" s="4720">
        <v>12</v>
      </c>
      <c r="N240" s="4720">
        <v>7</v>
      </c>
      <c r="O240" s="4711" t="s">
        <v>2325</v>
      </c>
      <c r="P240" s="4599" t="s">
        <v>2326</v>
      </c>
      <c r="Q240" s="4733" t="s">
        <v>2327</v>
      </c>
      <c r="R240" s="4736">
        <f>+(W240+W241)/S240</f>
        <v>1.4524367180229285E-3</v>
      </c>
      <c r="S240" s="4737">
        <v>21205743161</v>
      </c>
      <c r="T240" s="4602" t="s">
        <v>2328</v>
      </c>
      <c r="U240" s="4679" t="s">
        <v>2329</v>
      </c>
      <c r="V240" s="2483" t="s">
        <v>2330</v>
      </c>
      <c r="W240" s="992">
        <v>15400000</v>
      </c>
      <c r="X240" s="1621">
        <v>14270500</v>
      </c>
      <c r="Y240" s="1621">
        <v>4197000</v>
      </c>
      <c r="Z240" s="2484">
        <v>20</v>
      </c>
      <c r="AA240" s="2485" t="s">
        <v>2331</v>
      </c>
      <c r="AB240" s="4608">
        <v>292684</v>
      </c>
      <c r="AC240" s="4714">
        <f>SUM(AB240*0.12)</f>
        <v>35122.080000000002</v>
      </c>
      <c r="AD240" s="4608">
        <v>282326</v>
      </c>
      <c r="AE240" s="4714">
        <f>SUM(AD240*0.12)</f>
        <v>33879.119999999995</v>
      </c>
      <c r="AF240" s="4608">
        <v>135912</v>
      </c>
      <c r="AG240" s="4714">
        <f>SUM(AF240*0.12)</f>
        <v>16309.439999999999</v>
      </c>
      <c r="AH240" s="4608">
        <v>45122</v>
      </c>
      <c r="AI240" s="4714">
        <f>SUM(AH240*0.12)</f>
        <v>5414.6399999999994</v>
      </c>
      <c r="AJ240" s="4608">
        <v>307101</v>
      </c>
      <c r="AK240" s="4714">
        <v>36852.119999999995</v>
      </c>
      <c r="AL240" s="4608">
        <v>86875</v>
      </c>
      <c r="AM240" s="4714">
        <v>10425</v>
      </c>
      <c r="AN240" s="4608">
        <v>2145</v>
      </c>
      <c r="AO240" s="4714">
        <f>SUM(AN240*0.12)</f>
        <v>257.39999999999998</v>
      </c>
      <c r="AP240" s="4608">
        <v>12718</v>
      </c>
      <c r="AQ240" s="4714">
        <f>SUM(AP240*0.12)</f>
        <v>1526.1599999999999</v>
      </c>
      <c r="AR240" s="4608">
        <v>26</v>
      </c>
      <c r="AS240" s="4714">
        <f>SUM(AR240*0.12)</f>
        <v>3.12</v>
      </c>
      <c r="AT240" s="4608">
        <v>37</v>
      </c>
      <c r="AU240" s="4714">
        <f>SUM(AT240*0.12)</f>
        <v>4.4399999999999995</v>
      </c>
      <c r="AV240" s="4608" t="s">
        <v>2015</v>
      </c>
      <c r="AW240" s="4714" t="s">
        <v>2015</v>
      </c>
      <c r="AX240" s="4608" t="s">
        <v>2015</v>
      </c>
      <c r="AY240" s="4714" t="s">
        <v>2015</v>
      </c>
      <c r="AZ240" s="4608">
        <v>53164</v>
      </c>
      <c r="BA240" s="4714">
        <f>SUM(AZ240*0.12)</f>
        <v>6379.6799999999994</v>
      </c>
      <c r="BB240" s="4608">
        <v>16982</v>
      </c>
      <c r="BC240" s="4714">
        <f>SUM(BB240*0.12)</f>
        <v>2037.84</v>
      </c>
      <c r="BD240" s="4608">
        <v>60013</v>
      </c>
      <c r="BE240" s="4714">
        <f>SUM(BD240*0.12)</f>
        <v>7201.5599999999995</v>
      </c>
      <c r="BF240" s="4608">
        <v>575010</v>
      </c>
      <c r="BG240" s="4714">
        <f>SUM(BF240*0.12)</f>
        <v>69001.2</v>
      </c>
      <c r="BH240" s="3594">
        <v>5</v>
      </c>
      <c r="BI240" s="3408">
        <f>+X240+X241+X243+X244+X246+X247</f>
        <v>2235022367</v>
      </c>
      <c r="BJ240" s="3408">
        <f>+Y240+Y241+Y243+Y244+Y246+Y247</f>
        <v>2199486367</v>
      </c>
      <c r="BK240" s="4698">
        <f>+BJ240/BI240</f>
        <v>0.98410038283075496</v>
      </c>
      <c r="BL240" s="4745">
        <v>20</v>
      </c>
      <c r="BM240" s="4666" t="s">
        <v>2332</v>
      </c>
      <c r="BN240" s="4721">
        <v>43466</v>
      </c>
      <c r="BO240" s="4721">
        <v>43467</v>
      </c>
      <c r="BP240" s="4721">
        <v>43830</v>
      </c>
      <c r="BQ240" s="4724">
        <v>43830</v>
      </c>
      <c r="BR240" s="3190" t="s">
        <v>1983</v>
      </c>
    </row>
    <row r="241" spans="1:71" ht="45" x14ac:dyDescent="0.2">
      <c r="A241" s="2445"/>
      <c r="B241" s="1596"/>
      <c r="C241" s="1737"/>
      <c r="D241" s="1596"/>
      <c r="E241" s="1737"/>
      <c r="G241" s="4738"/>
      <c r="H241" s="4720"/>
      <c r="I241" s="4720"/>
      <c r="J241" s="4631"/>
      <c r="K241" s="4713"/>
      <c r="L241" s="4720"/>
      <c r="M241" s="4720"/>
      <c r="N241" s="4720"/>
      <c r="O241" s="4713"/>
      <c r="P241" s="4600"/>
      <c r="Q241" s="4734"/>
      <c r="R241" s="4736"/>
      <c r="S241" s="4737"/>
      <c r="T241" s="4603"/>
      <c r="U241" s="4681"/>
      <c r="V241" s="2483" t="s">
        <v>2333</v>
      </c>
      <c r="W241" s="992">
        <v>15400000</v>
      </c>
      <c r="X241" s="1621">
        <v>14270500</v>
      </c>
      <c r="Y241" s="1621">
        <v>4197000</v>
      </c>
      <c r="Z241" s="2484">
        <v>20</v>
      </c>
      <c r="AA241" s="2485" t="s">
        <v>2331</v>
      </c>
      <c r="AB241" s="4609"/>
      <c r="AC241" s="4715"/>
      <c r="AD241" s="4609"/>
      <c r="AE241" s="4715"/>
      <c r="AF241" s="4609"/>
      <c r="AG241" s="4715"/>
      <c r="AH241" s="4609"/>
      <c r="AI241" s="4715"/>
      <c r="AJ241" s="4609">
        <v>307101</v>
      </c>
      <c r="AK241" s="4715">
        <v>36852.119999999995</v>
      </c>
      <c r="AL241" s="4609">
        <v>86875</v>
      </c>
      <c r="AM241" s="4715">
        <v>10425</v>
      </c>
      <c r="AN241" s="4609"/>
      <c r="AO241" s="4715"/>
      <c r="AP241" s="4609"/>
      <c r="AQ241" s="4715"/>
      <c r="AR241" s="4609"/>
      <c r="AS241" s="4715"/>
      <c r="AT241" s="4609"/>
      <c r="AU241" s="4715"/>
      <c r="AV241" s="4609"/>
      <c r="AW241" s="4715"/>
      <c r="AX241" s="4609"/>
      <c r="AY241" s="4715"/>
      <c r="AZ241" s="4609"/>
      <c r="BA241" s="4715"/>
      <c r="BB241" s="4609"/>
      <c r="BC241" s="4715"/>
      <c r="BD241" s="4609"/>
      <c r="BE241" s="4715"/>
      <c r="BF241" s="4609"/>
      <c r="BG241" s="4715"/>
      <c r="BH241" s="3595"/>
      <c r="BI241" s="3409"/>
      <c r="BJ241" s="3409"/>
      <c r="BK241" s="4699"/>
      <c r="BL241" s="4746"/>
      <c r="BM241" s="4717"/>
      <c r="BN241" s="4723"/>
      <c r="BO241" s="4723"/>
      <c r="BP241" s="4723"/>
      <c r="BQ241" s="4717"/>
      <c r="BR241" s="3596"/>
    </row>
    <row r="242" spans="1:71" ht="15.75" x14ac:dyDescent="0.2">
      <c r="A242" s="2445"/>
      <c r="B242" s="1596"/>
      <c r="C242" s="1737"/>
      <c r="D242" s="1596"/>
      <c r="E242" s="1737"/>
      <c r="G242" s="2406">
        <v>48</v>
      </c>
      <c r="H242" s="2375" t="s">
        <v>2334</v>
      </c>
      <c r="I242" s="2375"/>
      <c r="J242" s="2375"/>
      <c r="K242" s="2407"/>
      <c r="L242" s="2375"/>
      <c r="M242" s="2408"/>
      <c r="N242" s="2408"/>
      <c r="O242" s="2375"/>
      <c r="P242" s="4600"/>
      <c r="Q242" s="4734"/>
      <c r="R242" s="2375"/>
      <c r="S242" s="4737"/>
      <c r="T242" s="4603"/>
      <c r="U242" s="2407"/>
      <c r="V242" s="2375"/>
      <c r="W242" s="2414"/>
      <c r="X242" s="2414"/>
      <c r="Y242" s="2414"/>
      <c r="Z242" s="2375"/>
      <c r="AA242" s="2413"/>
      <c r="AB242" s="4609"/>
      <c r="AC242" s="4715"/>
      <c r="AD242" s="4609"/>
      <c r="AE242" s="4715"/>
      <c r="AF242" s="4609"/>
      <c r="AG242" s="4715"/>
      <c r="AH242" s="4609"/>
      <c r="AI242" s="4715"/>
      <c r="AJ242" s="4609">
        <v>307101</v>
      </c>
      <c r="AK242" s="4715">
        <v>36852.119999999995</v>
      </c>
      <c r="AL242" s="4609">
        <v>86875</v>
      </c>
      <c r="AM242" s="4715">
        <v>10425</v>
      </c>
      <c r="AN242" s="4609"/>
      <c r="AO242" s="4715"/>
      <c r="AP242" s="4609"/>
      <c r="AQ242" s="4715"/>
      <c r="AR242" s="4609"/>
      <c r="AS242" s="4715"/>
      <c r="AT242" s="4609"/>
      <c r="AU242" s="4715"/>
      <c r="AV242" s="4609"/>
      <c r="AW242" s="4715"/>
      <c r="AX242" s="4609"/>
      <c r="AY242" s="4715"/>
      <c r="AZ242" s="4609"/>
      <c r="BA242" s="4715"/>
      <c r="BB242" s="4609"/>
      <c r="BC242" s="4715"/>
      <c r="BD242" s="4609"/>
      <c r="BE242" s="4715"/>
      <c r="BF242" s="4609"/>
      <c r="BG242" s="4715"/>
      <c r="BH242" s="3595"/>
      <c r="BI242" s="3409"/>
      <c r="BJ242" s="3409"/>
      <c r="BK242" s="4699"/>
      <c r="BL242" s="2375"/>
      <c r="BM242" s="2375"/>
      <c r="BN242" s="2465"/>
      <c r="BO242" s="2465"/>
      <c r="BP242" s="2465"/>
      <c r="BQ242" s="2464"/>
      <c r="BR242" s="2375"/>
      <c r="BS242" s="2466"/>
    </row>
    <row r="243" spans="1:71" ht="54.75" customHeight="1" x14ac:dyDescent="0.2">
      <c r="A243" s="2445"/>
      <c r="B243" s="1596"/>
      <c r="C243" s="1737"/>
      <c r="D243" s="1596"/>
      <c r="E243" s="1737"/>
      <c r="G243" s="4711"/>
      <c r="H243" s="4711"/>
      <c r="I243" s="4711"/>
      <c r="J243" s="4631">
        <v>164</v>
      </c>
      <c r="K243" s="4743" t="s">
        <v>2335</v>
      </c>
      <c r="L243" s="4720" t="s">
        <v>1974</v>
      </c>
      <c r="M243" s="4664">
        <v>12</v>
      </c>
      <c r="N243" s="4664">
        <v>2</v>
      </c>
      <c r="O243" s="4743" t="s">
        <v>2336</v>
      </c>
      <c r="P243" s="4600"/>
      <c r="Q243" s="4734"/>
      <c r="R243" s="4736">
        <f>+(W243+W244)/S240</f>
        <v>0.99755726551968871</v>
      </c>
      <c r="S243" s="4737"/>
      <c r="T243" s="4603"/>
      <c r="U243" s="4739" t="s">
        <v>2337</v>
      </c>
      <c r="V243" s="4739" t="s">
        <v>2338</v>
      </c>
      <c r="W243" s="992">
        <v>21075738778</v>
      </c>
      <c r="X243" s="1621">
        <v>2185496367</v>
      </c>
      <c r="Y243" s="1621">
        <v>2185496367</v>
      </c>
      <c r="Z243" s="2486">
        <v>154</v>
      </c>
      <c r="AA243" s="2485" t="s">
        <v>2339</v>
      </c>
      <c r="AB243" s="4609"/>
      <c r="AC243" s="4715"/>
      <c r="AD243" s="4609"/>
      <c r="AE243" s="4715"/>
      <c r="AF243" s="4609"/>
      <c r="AG243" s="4715"/>
      <c r="AH243" s="4609"/>
      <c r="AI243" s="4715"/>
      <c r="AJ243" s="4609">
        <v>307101</v>
      </c>
      <c r="AK243" s="4715">
        <v>36852.119999999995</v>
      </c>
      <c r="AL243" s="4609">
        <v>86875</v>
      </c>
      <c r="AM243" s="4715">
        <v>10425</v>
      </c>
      <c r="AN243" s="4609"/>
      <c r="AO243" s="4715"/>
      <c r="AP243" s="4609"/>
      <c r="AQ243" s="4715"/>
      <c r="AR243" s="4609"/>
      <c r="AS243" s="4715"/>
      <c r="AT243" s="4609"/>
      <c r="AU243" s="4715"/>
      <c r="AV243" s="4609"/>
      <c r="AW243" s="4715"/>
      <c r="AX243" s="4609"/>
      <c r="AY243" s="4715"/>
      <c r="AZ243" s="4609"/>
      <c r="BA243" s="4715"/>
      <c r="BB243" s="4609"/>
      <c r="BC243" s="4715"/>
      <c r="BD243" s="4609"/>
      <c r="BE243" s="4715"/>
      <c r="BF243" s="4609"/>
      <c r="BG243" s="4715"/>
      <c r="BH243" s="3595"/>
      <c r="BI243" s="3409"/>
      <c r="BJ243" s="3409"/>
      <c r="BK243" s="4699"/>
      <c r="BL243" s="2487">
        <v>154</v>
      </c>
      <c r="BM243" s="225" t="s">
        <v>2332</v>
      </c>
      <c r="BN243" s="2488">
        <v>43466</v>
      </c>
      <c r="BO243" s="2488">
        <v>43467</v>
      </c>
      <c r="BP243" s="2488">
        <v>43830</v>
      </c>
      <c r="BQ243" s="2489">
        <v>43830</v>
      </c>
      <c r="BR243" s="2490" t="s">
        <v>1983</v>
      </c>
    </row>
    <row r="244" spans="1:71" ht="54.75" customHeight="1" x14ac:dyDescent="0.2">
      <c r="A244" s="2445"/>
      <c r="B244" s="1596"/>
      <c r="C244" s="1737"/>
      <c r="D244" s="1596"/>
      <c r="E244" s="1737"/>
      <c r="G244" s="4713"/>
      <c r="H244" s="4713"/>
      <c r="I244" s="4713"/>
      <c r="J244" s="4631"/>
      <c r="K244" s="4744"/>
      <c r="L244" s="4720"/>
      <c r="M244" s="4664"/>
      <c r="N244" s="4664"/>
      <c r="O244" s="4744"/>
      <c r="P244" s="4600"/>
      <c r="Q244" s="4734"/>
      <c r="R244" s="4736"/>
      <c r="S244" s="4737"/>
      <c r="T244" s="4603"/>
      <c r="U244" s="4740"/>
      <c r="V244" s="4740"/>
      <c r="W244" s="992">
        <v>78204383</v>
      </c>
      <c r="X244" s="1621"/>
      <c r="Y244" s="1621"/>
      <c r="Z244" s="2486">
        <v>154</v>
      </c>
      <c r="AA244" s="2491" t="s">
        <v>2340</v>
      </c>
      <c r="AB244" s="4609"/>
      <c r="AC244" s="4715"/>
      <c r="AD244" s="4609"/>
      <c r="AE244" s="4715"/>
      <c r="AF244" s="4609"/>
      <c r="AG244" s="4715"/>
      <c r="AH244" s="4609"/>
      <c r="AI244" s="4715"/>
      <c r="AJ244" s="4609"/>
      <c r="AK244" s="4715"/>
      <c r="AL244" s="4609"/>
      <c r="AM244" s="4715"/>
      <c r="AN244" s="4609"/>
      <c r="AO244" s="4715"/>
      <c r="AP244" s="4609"/>
      <c r="AQ244" s="4715"/>
      <c r="AR244" s="4609"/>
      <c r="AS244" s="4715"/>
      <c r="AT244" s="4609"/>
      <c r="AU244" s="4715"/>
      <c r="AV244" s="4609"/>
      <c r="AW244" s="4715"/>
      <c r="AX244" s="4609"/>
      <c r="AY244" s="4715"/>
      <c r="AZ244" s="4609"/>
      <c r="BA244" s="4715"/>
      <c r="BB244" s="4609"/>
      <c r="BC244" s="4715"/>
      <c r="BD244" s="4609"/>
      <c r="BE244" s="4715"/>
      <c r="BF244" s="4609"/>
      <c r="BG244" s="4715"/>
      <c r="BH244" s="3595"/>
      <c r="BI244" s="3409"/>
      <c r="BJ244" s="3409"/>
      <c r="BK244" s="4699"/>
      <c r="BL244" s="2492"/>
      <c r="BM244" s="2493"/>
      <c r="BN244" s="2494"/>
      <c r="BO244" s="2494"/>
      <c r="BP244" s="2494"/>
      <c r="BQ244" s="2495"/>
      <c r="BR244" s="2496"/>
    </row>
    <row r="245" spans="1:71" ht="15.75" x14ac:dyDescent="0.2">
      <c r="A245" s="2445"/>
      <c r="B245" s="1596"/>
      <c r="C245" s="1737"/>
      <c r="D245" s="1596"/>
      <c r="E245" s="1737"/>
      <c r="G245" s="2406">
        <v>49</v>
      </c>
      <c r="H245" s="2375" t="s">
        <v>2341</v>
      </c>
      <c r="I245" s="2375"/>
      <c r="J245" s="2375"/>
      <c r="K245" s="2407"/>
      <c r="L245" s="2375"/>
      <c r="M245" s="2408"/>
      <c r="N245" s="2409"/>
      <c r="O245" s="2375"/>
      <c r="P245" s="4600"/>
      <c r="Q245" s="4734"/>
      <c r="R245" s="2375"/>
      <c r="S245" s="4737"/>
      <c r="T245" s="4603"/>
      <c r="U245" s="2407"/>
      <c r="V245" s="2375"/>
      <c r="W245" s="2414"/>
      <c r="X245" s="2414"/>
      <c r="Y245" s="2414"/>
      <c r="Z245" s="2375"/>
      <c r="AA245" s="2413"/>
      <c r="AB245" s="4609"/>
      <c r="AC245" s="4715"/>
      <c r="AD245" s="4609"/>
      <c r="AE245" s="4715"/>
      <c r="AF245" s="4609"/>
      <c r="AG245" s="4715"/>
      <c r="AH245" s="4609"/>
      <c r="AI245" s="4715"/>
      <c r="AJ245" s="4609">
        <v>307101</v>
      </c>
      <c r="AK245" s="4715">
        <v>36852.119999999995</v>
      </c>
      <c r="AL245" s="4609">
        <v>86875</v>
      </c>
      <c r="AM245" s="4715">
        <v>10425</v>
      </c>
      <c r="AN245" s="4609"/>
      <c r="AO245" s="4715"/>
      <c r="AP245" s="4609"/>
      <c r="AQ245" s="4715"/>
      <c r="AR245" s="4609"/>
      <c r="AS245" s="4715"/>
      <c r="AT245" s="4609"/>
      <c r="AU245" s="4715"/>
      <c r="AV245" s="4609"/>
      <c r="AW245" s="4715"/>
      <c r="AX245" s="4609"/>
      <c r="AY245" s="4715"/>
      <c r="AZ245" s="4609"/>
      <c r="BA245" s="4715"/>
      <c r="BB245" s="4609"/>
      <c r="BC245" s="4715"/>
      <c r="BD245" s="4609"/>
      <c r="BE245" s="4715"/>
      <c r="BF245" s="4609"/>
      <c r="BG245" s="4715"/>
      <c r="BH245" s="3595"/>
      <c r="BI245" s="3409"/>
      <c r="BJ245" s="3409"/>
      <c r="BK245" s="4699"/>
      <c r="BL245" s="2375"/>
      <c r="BM245" s="2374"/>
      <c r="BN245" s="2465"/>
      <c r="BO245" s="2465"/>
      <c r="BP245" s="2465"/>
      <c r="BQ245" s="2464"/>
      <c r="BR245" s="2434"/>
    </row>
    <row r="246" spans="1:71" ht="58.5" customHeight="1" x14ac:dyDescent="0.2">
      <c r="A246" s="2445"/>
      <c r="B246" s="1596"/>
      <c r="C246" s="1737"/>
      <c r="D246" s="1596"/>
      <c r="E246" s="1737"/>
      <c r="G246" s="4738"/>
      <c r="H246" s="4720"/>
      <c r="I246" s="4720"/>
      <c r="J246" s="4631">
        <v>165</v>
      </c>
      <c r="K246" s="4663" t="s">
        <v>2342</v>
      </c>
      <c r="L246" s="4720" t="s">
        <v>1974</v>
      </c>
      <c r="M246" s="4720">
        <v>12</v>
      </c>
      <c r="N246" s="4720">
        <v>4</v>
      </c>
      <c r="O246" s="4720" t="s">
        <v>2343</v>
      </c>
      <c r="P246" s="4600"/>
      <c r="Q246" s="4734"/>
      <c r="R246" s="4736">
        <f>+(W246+W247)/S240</f>
        <v>9.9029776228836026E-4</v>
      </c>
      <c r="S246" s="4737"/>
      <c r="T246" s="4603"/>
      <c r="U246" s="4741" t="s">
        <v>2344</v>
      </c>
      <c r="V246" s="2497" t="s">
        <v>2345</v>
      </c>
      <c r="W246" s="992">
        <v>10500000</v>
      </c>
      <c r="X246" s="1621">
        <v>10492500</v>
      </c>
      <c r="Y246" s="1621">
        <v>2798000</v>
      </c>
      <c r="Z246" s="2484">
        <v>20</v>
      </c>
      <c r="AA246" s="2485" t="s">
        <v>2331</v>
      </c>
      <c r="AB246" s="4609"/>
      <c r="AC246" s="4715"/>
      <c r="AD246" s="4609"/>
      <c r="AE246" s="4715"/>
      <c r="AF246" s="4609"/>
      <c r="AG246" s="4715"/>
      <c r="AH246" s="4609"/>
      <c r="AI246" s="4715"/>
      <c r="AJ246" s="4609">
        <v>307101</v>
      </c>
      <c r="AK246" s="4715">
        <v>36852.119999999995</v>
      </c>
      <c r="AL246" s="4609">
        <v>86875</v>
      </c>
      <c r="AM246" s="4715">
        <v>10425</v>
      </c>
      <c r="AN246" s="4609"/>
      <c r="AO246" s="4715"/>
      <c r="AP246" s="4609"/>
      <c r="AQ246" s="4715"/>
      <c r="AR246" s="4609"/>
      <c r="AS246" s="4715"/>
      <c r="AT246" s="4609"/>
      <c r="AU246" s="4715"/>
      <c r="AV246" s="4609"/>
      <c r="AW246" s="4715"/>
      <c r="AX246" s="4609"/>
      <c r="AY246" s="4715"/>
      <c r="AZ246" s="4609"/>
      <c r="BA246" s="4715"/>
      <c r="BB246" s="4609"/>
      <c r="BC246" s="4715"/>
      <c r="BD246" s="4609"/>
      <c r="BE246" s="4715"/>
      <c r="BF246" s="4609"/>
      <c r="BG246" s="4715"/>
      <c r="BH246" s="3595"/>
      <c r="BI246" s="3409"/>
      <c r="BJ246" s="3409"/>
      <c r="BK246" s="4699"/>
      <c r="BL246" s="4007">
        <v>20</v>
      </c>
      <c r="BM246" s="3190" t="s">
        <v>2332</v>
      </c>
      <c r="BN246" s="3952">
        <v>43466</v>
      </c>
      <c r="BO246" s="3952">
        <v>43467</v>
      </c>
      <c r="BP246" s="3952">
        <v>43830</v>
      </c>
      <c r="BQ246" s="4732">
        <v>43830</v>
      </c>
      <c r="BR246" s="3190" t="s">
        <v>1983</v>
      </c>
    </row>
    <row r="247" spans="1:71" ht="60" customHeight="1" x14ac:dyDescent="0.2">
      <c r="A247" s="2445"/>
      <c r="B247" s="1596"/>
      <c r="C247" s="1737"/>
      <c r="D247" s="2498"/>
      <c r="E247" s="2340"/>
      <c r="G247" s="4738"/>
      <c r="H247" s="4720"/>
      <c r="I247" s="4720"/>
      <c r="J247" s="4631"/>
      <c r="K247" s="4663"/>
      <c r="L247" s="4720"/>
      <c r="M247" s="4720"/>
      <c r="N247" s="4720"/>
      <c r="O247" s="4720"/>
      <c r="P247" s="4601"/>
      <c r="Q247" s="4735"/>
      <c r="R247" s="4736"/>
      <c r="S247" s="4737"/>
      <c r="T247" s="4604"/>
      <c r="U247" s="4742"/>
      <c r="V247" s="2483" t="s">
        <v>2346</v>
      </c>
      <c r="W247" s="992">
        <v>10500000</v>
      </c>
      <c r="X247" s="1621">
        <v>10492500</v>
      </c>
      <c r="Y247" s="1621">
        <v>2798000</v>
      </c>
      <c r="Z247" s="2484">
        <v>20</v>
      </c>
      <c r="AA247" s="2485" t="s">
        <v>2331</v>
      </c>
      <c r="AB247" s="4610"/>
      <c r="AC247" s="4716"/>
      <c r="AD247" s="4610"/>
      <c r="AE247" s="4716"/>
      <c r="AF247" s="4610"/>
      <c r="AG247" s="4716"/>
      <c r="AH247" s="4610"/>
      <c r="AI247" s="4716"/>
      <c r="AJ247" s="4610">
        <v>307101</v>
      </c>
      <c r="AK247" s="4716">
        <v>36852.119999999995</v>
      </c>
      <c r="AL247" s="4610">
        <v>86875</v>
      </c>
      <c r="AM247" s="4716">
        <v>10425</v>
      </c>
      <c r="AN247" s="4610"/>
      <c r="AO247" s="4716"/>
      <c r="AP247" s="4610"/>
      <c r="AQ247" s="4716"/>
      <c r="AR247" s="4610"/>
      <c r="AS247" s="4716"/>
      <c r="AT247" s="4610"/>
      <c r="AU247" s="4716"/>
      <c r="AV247" s="4610"/>
      <c r="AW247" s="4716"/>
      <c r="AX247" s="4610"/>
      <c r="AY247" s="4716"/>
      <c r="AZ247" s="4610"/>
      <c r="BA247" s="4716"/>
      <c r="BB247" s="4610"/>
      <c r="BC247" s="4716"/>
      <c r="BD247" s="4610"/>
      <c r="BE247" s="4716"/>
      <c r="BF247" s="4610"/>
      <c r="BG247" s="4716"/>
      <c r="BH247" s="3596"/>
      <c r="BI247" s="3410"/>
      <c r="BJ247" s="3410"/>
      <c r="BK247" s="4700"/>
      <c r="BL247" s="4009"/>
      <c r="BM247" s="3192"/>
      <c r="BN247" s="3953"/>
      <c r="BO247" s="3953"/>
      <c r="BP247" s="3953"/>
      <c r="BQ247" s="3192"/>
      <c r="BR247" s="3596"/>
    </row>
    <row r="248" spans="1:71" ht="14.25" customHeight="1" x14ac:dyDescent="0.2">
      <c r="A248" s="2445"/>
      <c r="B248" s="1596"/>
      <c r="C248" s="1737"/>
      <c r="D248" s="2499">
        <v>14</v>
      </c>
      <c r="E248" s="2370" t="s">
        <v>2347</v>
      </c>
      <c r="F248" s="2370"/>
      <c r="G248" s="2371"/>
      <c r="H248" s="2371"/>
      <c r="I248" s="2371"/>
      <c r="J248" s="2371"/>
      <c r="K248" s="2396"/>
      <c r="L248" s="2371"/>
      <c r="M248" s="2397"/>
      <c r="N248" s="2500"/>
      <c r="O248" s="2399"/>
      <c r="P248" s="2399"/>
      <c r="Q248" s="2399"/>
      <c r="R248" s="2399"/>
      <c r="S248" s="2399"/>
      <c r="T248" s="2399"/>
      <c r="U248" s="2501"/>
      <c r="V248" s="2399"/>
      <c r="W248" s="965"/>
      <c r="X248" s="965"/>
      <c r="Y248" s="965"/>
      <c r="Z248" s="2399"/>
      <c r="AA248" s="2399"/>
      <c r="AB248" s="2399"/>
      <c r="AC248" s="2399"/>
      <c r="AD248" s="2399"/>
      <c r="AE248" s="2399"/>
      <c r="AF248" s="2399"/>
      <c r="AG248" s="2399"/>
      <c r="AH248" s="2399"/>
      <c r="AI248" s="2399"/>
      <c r="AJ248" s="2399"/>
      <c r="AK248" s="2399"/>
      <c r="AL248" s="2399"/>
      <c r="AM248" s="2399"/>
      <c r="AN248" s="2399"/>
      <c r="AO248" s="2399"/>
      <c r="AP248" s="2399"/>
      <c r="AQ248" s="2399"/>
      <c r="AR248" s="2399"/>
      <c r="AS248" s="2399"/>
      <c r="AT248" s="2399"/>
      <c r="AU248" s="2399"/>
      <c r="AV248" s="2399"/>
      <c r="AW248" s="2399"/>
      <c r="AX248" s="2399"/>
      <c r="AY248" s="2399"/>
      <c r="AZ248" s="2399"/>
      <c r="BA248" s="2399"/>
      <c r="BB248" s="2399"/>
      <c r="BC248" s="2399"/>
      <c r="BD248" s="2399"/>
      <c r="BE248" s="2399"/>
      <c r="BF248" s="2399"/>
      <c r="BG248" s="2399"/>
      <c r="BH248" s="2399"/>
      <c r="BI248" s="965"/>
      <c r="BJ248" s="965"/>
      <c r="BK248" s="2399"/>
      <c r="BL248" s="2399"/>
      <c r="BM248" s="2502"/>
      <c r="BN248" s="2503"/>
      <c r="BO248" s="2503"/>
      <c r="BP248" s="2503"/>
      <c r="BQ248" s="2502"/>
      <c r="BR248" s="2399"/>
    </row>
    <row r="249" spans="1:71" ht="14.25" customHeight="1" x14ac:dyDescent="0.2">
      <c r="A249" s="2445"/>
      <c r="B249" s="1596"/>
      <c r="C249" s="1737"/>
      <c r="D249" s="2404"/>
      <c r="E249" s="2405"/>
      <c r="F249" s="2405"/>
      <c r="G249" s="2504">
        <v>50</v>
      </c>
      <c r="H249" s="2440" t="s">
        <v>2348</v>
      </c>
      <c r="I249" s="2440"/>
      <c r="J249" s="2440"/>
      <c r="K249" s="2505"/>
      <c r="L249" s="2440"/>
      <c r="M249" s="2506"/>
      <c r="N249" s="2506"/>
      <c r="O249" s="2440"/>
      <c r="P249" s="2440"/>
      <c r="Q249" s="2440"/>
      <c r="R249" s="2440"/>
      <c r="S249" s="2440"/>
      <c r="T249" s="2440"/>
      <c r="U249" s="2505"/>
      <c r="V249" s="2440"/>
      <c r="W249" s="2507"/>
      <c r="X249" s="2507"/>
      <c r="Y249" s="2507"/>
      <c r="Z249" s="2440"/>
      <c r="AA249" s="2508"/>
      <c r="AB249" s="2440"/>
      <c r="AC249" s="2440"/>
      <c r="AD249" s="2440"/>
      <c r="AE249" s="2440"/>
      <c r="AF249" s="2440"/>
      <c r="AG249" s="2440"/>
      <c r="AH249" s="2440"/>
      <c r="AI249" s="2440"/>
      <c r="AJ249" s="2440"/>
      <c r="AK249" s="2440"/>
      <c r="AL249" s="2440"/>
      <c r="AM249" s="2440"/>
      <c r="AN249" s="2440"/>
      <c r="AO249" s="2440"/>
      <c r="AP249" s="2440"/>
      <c r="AQ249" s="2440"/>
      <c r="AR249" s="2440"/>
      <c r="AS249" s="2440"/>
      <c r="AT249" s="2440"/>
      <c r="AU249" s="2440"/>
      <c r="AV249" s="2440"/>
      <c r="AW249" s="2440"/>
      <c r="AX249" s="2440"/>
      <c r="AY249" s="2440"/>
      <c r="AZ249" s="2440"/>
      <c r="BA249" s="2440"/>
      <c r="BB249" s="2440"/>
      <c r="BC249" s="2440"/>
      <c r="BD249" s="2440"/>
      <c r="BE249" s="2440"/>
      <c r="BF249" s="2440"/>
      <c r="BG249" s="2440"/>
      <c r="BH249" s="2440"/>
      <c r="BI249" s="2507"/>
      <c r="BJ249" s="2507"/>
      <c r="BK249" s="2440"/>
      <c r="BL249" s="2440"/>
      <c r="BM249" s="2509"/>
      <c r="BN249" s="2510"/>
      <c r="BO249" s="2510"/>
      <c r="BP249" s="2510"/>
      <c r="BQ249" s="2511"/>
      <c r="BR249" s="2440"/>
    </row>
    <row r="250" spans="1:71" ht="90" x14ac:dyDescent="0.2">
      <c r="A250" s="2445"/>
      <c r="B250" s="1596"/>
      <c r="C250" s="1737"/>
      <c r="D250" s="2402"/>
      <c r="E250" s="2403"/>
      <c r="F250" s="2403"/>
      <c r="G250" s="2404"/>
      <c r="H250" s="2404"/>
      <c r="I250" s="2405"/>
      <c r="J250" s="2415">
        <v>166</v>
      </c>
      <c r="K250" s="2416" t="s">
        <v>2349</v>
      </c>
      <c r="L250" s="2417" t="s">
        <v>1974</v>
      </c>
      <c r="M250" s="2512">
        <v>1</v>
      </c>
      <c r="N250" s="2513">
        <v>0.3</v>
      </c>
      <c r="O250" s="4605" t="s">
        <v>2350</v>
      </c>
      <c r="P250" s="4747" t="s">
        <v>2351</v>
      </c>
      <c r="Q250" s="4602" t="s">
        <v>2352</v>
      </c>
      <c r="R250" s="2514">
        <v>0</v>
      </c>
      <c r="S250" s="4614">
        <v>12344412919</v>
      </c>
      <c r="T250" s="4602" t="s">
        <v>2353</v>
      </c>
      <c r="U250" s="2435" t="s">
        <v>2354</v>
      </c>
      <c r="V250" s="2515" t="s">
        <v>2355</v>
      </c>
      <c r="W250" s="992">
        <v>0</v>
      </c>
      <c r="X250" s="1621">
        <v>0</v>
      </c>
      <c r="Y250" s="1621">
        <v>0</v>
      </c>
      <c r="Z250" s="2516"/>
      <c r="AA250" s="2417"/>
      <c r="AB250" s="4608">
        <v>292684</v>
      </c>
      <c r="AC250" s="4714">
        <f>SUM(AB250*0.37)</f>
        <v>108293.08</v>
      </c>
      <c r="AD250" s="4608">
        <v>282326</v>
      </c>
      <c r="AE250" s="4714">
        <f>SUM(AD250*0.37)</f>
        <v>104460.62</v>
      </c>
      <c r="AF250" s="4608">
        <v>135912</v>
      </c>
      <c r="AG250" s="4714">
        <f>SUM(AF250*0.37)</f>
        <v>50287.44</v>
      </c>
      <c r="AH250" s="4608">
        <v>45122</v>
      </c>
      <c r="AI250" s="4714">
        <f>SUM(AH250*0.37)</f>
        <v>16695.14</v>
      </c>
      <c r="AJ250" s="4608">
        <v>307101</v>
      </c>
      <c r="AK250" s="4714">
        <v>113627.37</v>
      </c>
      <c r="AL250" s="4608">
        <v>86875</v>
      </c>
      <c r="AM250" s="4714">
        <v>32143.75</v>
      </c>
      <c r="AN250" s="4608">
        <v>2145</v>
      </c>
      <c r="AO250" s="4714">
        <f>SUM(AN250*0.37)</f>
        <v>793.65</v>
      </c>
      <c r="AP250" s="4608">
        <v>12718</v>
      </c>
      <c r="AQ250" s="4714">
        <f>SUM(AP250*0.37)</f>
        <v>4705.66</v>
      </c>
      <c r="AR250" s="4608">
        <v>26</v>
      </c>
      <c r="AS250" s="4714">
        <f>SUM(AR250*0.37)</f>
        <v>9.6199999999999992</v>
      </c>
      <c r="AT250" s="4608">
        <v>37</v>
      </c>
      <c r="AU250" s="4714">
        <f>SUM(AT250*0.37)</f>
        <v>13.69</v>
      </c>
      <c r="AV250" s="4608" t="s">
        <v>2015</v>
      </c>
      <c r="AW250" s="4714" t="s">
        <v>2015</v>
      </c>
      <c r="AX250" s="4608" t="s">
        <v>2015</v>
      </c>
      <c r="AY250" s="4714" t="s">
        <v>2015</v>
      </c>
      <c r="AZ250" s="4608">
        <v>53164</v>
      </c>
      <c r="BA250" s="4714">
        <f>SUM(AZ250*0.37)</f>
        <v>19670.68</v>
      </c>
      <c r="BB250" s="4608">
        <v>16982</v>
      </c>
      <c r="BC250" s="4714">
        <f>SUM(BB250*0.37)</f>
        <v>6283.34</v>
      </c>
      <c r="BD250" s="4608">
        <v>60013</v>
      </c>
      <c r="BE250" s="4714">
        <f>SUM(BD250*0.37)</f>
        <v>22204.81</v>
      </c>
      <c r="BF250" s="4608">
        <v>575010</v>
      </c>
      <c r="BG250" s="4714">
        <f>SUM(BF250*0.37)</f>
        <v>212753.7</v>
      </c>
      <c r="BH250" s="3594">
        <v>0</v>
      </c>
      <c r="BI250" s="3408">
        <f>SUM(X250:X257)</f>
        <v>3314300495</v>
      </c>
      <c r="BJ250" s="3408">
        <f>SUM(Y250:Y257)</f>
        <v>170521885</v>
      </c>
      <c r="BK250" s="4698">
        <f>+BJ250/BI250</f>
        <v>5.1450339297010546E-2</v>
      </c>
      <c r="BL250" s="3190" t="s">
        <v>2356</v>
      </c>
      <c r="BM250" s="3190" t="s">
        <v>2332</v>
      </c>
      <c r="BN250" s="3952"/>
      <c r="BO250" s="3952">
        <v>43467</v>
      </c>
      <c r="BP250" s="3952">
        <v>43830</v>
      </c>
      <c r="BQ250" s="4732">
        <v>43830</v>
      </c>
      <c r="BR250" s="3190" t="s">
        <v>1983</v>
      </c>
    </row>
    <row r="251" spans="1:71" ht="46.5" customHeight="1" x14ac:dyDescent="0.2">
      <c r="A251" s="2445"/>
      <c r="B251" s="1596"/>
      <c r="C251" s="1737"/>
      <c r="D251" s="2402"/>
      <c r="E251" s="2403"/>
      <c r="F251" s="2403"/>
      <c r="G251" s="2402"/>
      <c r="H251" s="2402"/>
      <c r="I251" s="2403"/>
      <c r="J251" s="4599">
        <v>167</v>
      </c>
      <c r="K251" s="4602" t="s">
        <v>2357</v>
      </c>
      <c r="L251" s="4605" t="s">
        <v>1974</v>
      </c>
      <c r="M251" s="4752">
        <v>15</v>
      </c>
      <c r="N251" s="3289">
        <v>14</v>
      </c>
      <c r="O251" s="4606"/>
      <c r="P251" s="4748"/>
      <c r="Q251" s="4603"/>
      <c r="R251" s="4638">
        <v>1</v>
      </c>
      <c r="S251" s="4615"/>
      <c r="T251" s="4603"/>
      <c r="U251" s="4602" t="s">
        <v>2358</v>
      </c>
      <c r="V251" s="4749" t="s">
        <v>2359</v>
      </c>
      <c r="W251" s="2517">
        <v>1097554095</v>
      </c>
      <c r="X251" s="1621">
        <v>0</v>
      </c>
      <c r="Y251" s="1621">
        <v>0</v>
      </c>
      <c r="Z251" s="2518">
        <v>110</v>
      </c>
      <c r="AA251" s="2437" t="s">
        <v>2360</v>
      </c>
      <c r="AB251" s="4609"/>
      <c r="AC251" s="4715"/>
      <c r="AD251" s="4609"/>
      <c r="AE251" s="4715"/>
      <c r="AF251" s="4609"/>
      <c r="AG251" s="4715"/>
      <c r="AH251" s="4609"/>
      <c r="AI251" s="4715"/>
      <c r="AJ251" s="4609">
        <v>307101</v>
      </c>
      <c r="AK251" s="4715">
        <v>113627.37</v>
      </c>
      <c r="AL251" s="4609">
        <v>86875</v>
      </c>
      <c r="AM251" s="4715">
        <v>32143.75</v>
      </c>
      <c r="AN251" s="4609"/>
      <c r="AO251" s="4715"/>
      <c r="AP251" s="4609"/>
      <c r="AQ251" s="4715"/>
      <c r="AR251" s="4609"/>
      <c r="AS251" s="4715"/>
      <c r="AT251" s="4609"/>
      <c r="AU251" s="4715"/>
      <c r="AV251" s="4609"/>
      <c r="AW251" s="4715"/>
      <c r="AX251" s="4609"/>
      <c r="AY251" s="4715"/>
      <c r="AZ251" s="4609"/>
      <c r="BA251" s="4715"/>
      <c r="BB251" s="4609"/>
      <c r="BC251" s="4715"/>
      <c r="BD251" s="4609"/>
      <c r="BE251" s="4715"/>
      <c r="BF251" s="4609"/>
      <c r="BG251" s="4715"/>
      <c r="BH251" s="3595"/>
      <c r="BI251" s="3409"/>
      <c r="BJ251" s="3409"/>
      <c r="BK251" s="4699"/>
      <c r="BL251" s="3191"/>
      <c r="BM251" s="3191"/>
      <c r="BN251" s="3970"/>
      <c r="BO251" s="3970"/>
      <c r="BP251" s="3970"/>
      <c r="BQ251" s="3191"/>
      <c r="BR251" s="3595"/>
    </row>
    <row r="252" spans="1:71" ht="36" customHeight="1" x14ac:dyDescent="0.2">
      <c r="A252" s="2445"/>
      <c r="B252" s="1596"/>
      <c r="C252" s="1737"/>
      <c r="D252" s="2402"/>
      <c r="E252" s="2403"/>
      <c r="F252" s="2403"/>
      <c r="G252" s="2402"/>
      <c r="H252" s="2402"/>
      <c r="I252" s="2403"/>
      <c r="J252" s="4600"/>
      <c r="K252" s="4603"/>
      <c r="L252" s="4606"/>
      <c r="M252" s="4753"/>
      <c r="N252" s="3289"/>
      <c r="O252" s="4606"/>
      <c r="P252" s="4748"/>
      <c r="Q252" s="4603"/>
      <c r="R252" s="4639"/>
      <c r="S252" s="4615"/>
      <c r="T252" s="4603"/>
      <c r="U252" s="4603"/>
      <c r="V252" s="4750"/>
      <c r="W252" s="2517">
        <v>3114728803</v>
      </c>
      <c r="X252" s="1621">
        <v>170521885</v>
      </c>
      <c r="Y252" s="1621">
        <v>170521885</v>
      </c>
      <c r="Z252" s="2518">
        <v>58</v>
      </c>
      <c r="AA252" s="2437" t="s">
        <v>2361</v>
      </c>
      <c r="AB252" s="4609"/>
      <c r="AC252" s="4715"/>
      <c r="AD252" s="4609"/>
      <c r="AE252" s="4715"/>
      <c r="AF252" s="4609"/>
      <c r="AG252" s="4715"/>
      <c r="AH252" s="4609"/>
      <c r="AI252" s="4715"/>
      <c r="AJ252" s="4609">
        <v>307101</v>
      </c>
      <c r="AK252" s="4715">
        <v>113627.37</v>
      </c>
      <c r="AL252" s="4609">
        <v>86875</v>
      </c>
      <c r="AM252" s="4715">
        <v>32143.75</v>
      </c>
      <c r="AN252" s="4609"/>
      <c r="AO252" s="4715"/>
      <c r="AP252" s="4609"/>
      <c r="AQ252" s="4715"/>
      <c r="AR252" s="4609"/>
      <c r="AS252" s="4715"/>
      <c r="AT252" s="4609"/>
      <c r="AU252" s="4715"/>
      <c r="AV252" s="4609"/>
      <c r="AW252" s="4715"/>
      <c r="AX252" s="4609"/>
      <c r="AY252" s="4715"/>
      <c r="AZ252" s="4609"/>
      <c r="BA252" s="4715"/>
      <c r="BB252" s="4609"/>
      <c r="BC252" s="4715"/>
      <c r="BD252" s="4609"/>
      <c r="BE252" s="4715"/>
      <c r="BF252" s="4609"/>
      <c r="BG252" s="4715"/>
      <c r="BH252" s="3595"/>
      <c r="BI252" s="3409"/>
      <c r="BJ252" s="3409"/>
      <c r="BK252" s="4699"/>
      <c r="BL252" s="3191"/>
      <c r="BM252" s="3191"/>
      <c r="BN252" s="3970"/>
      <c r="BO252" s="3970"/>
      <c r="BP252" s="3970"/>
      <c r="BQ252" s="3191"/>
      <c r="BR252" s="3595"/>
    </row>
    <row r="253" spans="1:71" ht="41.25" customHeight="1" x14ac:dyDescent="0.2">
      <c r="A253" s="2445"/>
      <c r="B253" s="1596"/>
      <c r="C253" s="1737"/>
      <c r="D253" s="2402"/>
      <c r="E253" s="2403"/>
      <c r="F253" s="2403"/>
      <c r="G253" s="2402"/>
      <c r="H253" s="2402"/>
      <c r="I253" s="2403"/>
      <c r="J253" s="4600"/>
      <c r="K253" s="4603"/>
      <c r="L253" s="4606"/>
      <c r="M253" s="4753"/>
      <c r="N253" s="3289"/>
      <c r="O253" s="4606"/>
      <c r="P253" s="4748"/>
      <c r="Q253" s="4603"/>
      <c r="R253" s="4639"/>
      <c r="S253" s="4615"/>
      <c r="T253" s="4603"/>
      <c r="U253" s="4603"/>
      <c r="V253" s="4750"/>
      <c r="W253" s="2517">
        <v>81073317</v>
      </c>
      <c r="X253" s="1621"/>
      <c r="Y253" s="1621"/>
      <c r="Z253" s="2518">
        <v>58</v>
      </c>
      <c r="AA253" s="2437" t="s">
        <v>2362</v>
      </c>
      <c r="AB253" s="4609"/>
      <c r="AC253" s="4715"/>
      <c r="AD253" s="4609"/>
      <c r="AE253" s="4715"/>
      <c r="AF253" s="4609"/>
      <c r="AG253" s="4715"/>
      <c r="AH253" s="4609"/>
      <c r="AI253" s="4715"/>
      <c r="AJ253" s="4609"/>
      <c r="AK253" s="4715"/>
      <c r="AL253" s="4609"/>
      <c r="AM253" s="4715"/>
      <c r="AN253" s="4609"/>
      <c r="AO253" s="4715"/>
      <c r="AP253" s="4609"/>
      <c r="AQ253" s="4715"/>
      <c r="AR253" s="4609"/>
      <c r="AS253" s="4715"/>
      <c r="AT253" s="4609"/>
      <c r="AU253" s="4715"/>
      <c r="AV253" s="4609"/>
      <c r="AW253" s="4715"/>
      <c r="AX253" s="4609"/>
      <c r="AY253" s="4715"/>
      <c r="AZ253" s="4609"/>
      <c r="BA253" s="4715"/>
      <c r="BB253" s="4609"/>
      <c r="BC253" s="4715"/>
      <c r="BD253" s="4609"/>
      <c r="BE253" s="4715"/>
      <c r="BF253" s="4609"/>
      <c r="BG253" s="4715"/>
      <c r="BH253" s="3595"/>
      <c r="BI253" s="3409"/>
      <c r="BJ253" s="3409"/>
      <c r="BK253" s="4699"/>
      <c r="BL253" s="3191"/>
      <c r="BM253" s="3191"/>
      <c r="BN253" s="3970"/>
      <c r="BO253" s="3970"/>
      <c r="BP253" s="3970"/>
      <c r="BQ253" s="3191"/>
      <c r="BR253" s="3595"/>
    </row>
    <row r="254" spans="1:71" ht="47.25" customHeight="1" x14ac:dyDescent="0.2">
      <c r="A254" s="2445"/>
      <c r="B254" s="1596"/>
      <c r="C254" s="1737"/>
      <c r="D254" s="2402"/>
      <c r="E254" s="2403"/>
      <c r="F254" s="2403"/>
      <c r="G254" s="2402"/>
      <c r="H254" s="2402"/>
      <c r="I254" s="2403"/>
      <c r="J254" s="4600"/>
      <c r="K254" s="4603"/>
      <c r="L254" s="4606"/>
      <c r="M254" s="4753"/>
      <c r="N254" s="3289"/>
      <c r="O254" s="4606"/>
      <c r="P254" s="4748"/>
      <c r="Q254" s="4603"/>
      <c r="R254" s="4639"/>
      <c r="S254" s="4615"/>
      <c r="T254" s="4603"/>
      <c r="U254" s="4603"/>
      <c r="V254" s="4750"/>
      <c r="W254" s="2517">
        <v>4163056704</v>
      </c>
      <c r="X254" s="1621">
        <v>2200000000</v>
      </c>
      <c r="Y254" s="1621">
        <v>0</v>
      </c>
      <c r="Z254" s="2518">
        <v>59</v>
      </c>
      <c r="AA254" s="2437" t="s">
        <v>2363</v>
      </c>
      <c r="AB254" s="4609"/>
      <c r="AC254" s="4715"/>
      <c r="AD254" s="4609"/>
      <c r="AE254" s="4715"/>
      <c r="AF254" s="4609"/>
      <c r="AG254" s="4715"/>
      <c r="AH254" s="4609"/>
      <c r="AI254" s="4715"/>
      <c r="AJ254" s="4609">
        <v>307101</v>
      </c>
      <c r="AK254" s="4715">
        <v>113627.37</v>
      </c>
      <c r="AL254" s="4609">
        <v>86875</v>
      </c>
      <c r="AM254" s="4715">
        <v>32143.75</v>
      </c>
      <c r="AN254" s="4609"/>
      <c r="AO254" s="4715"/>
      <c r="AP254" s="4609"/>
      <c r="AQ254" s="4715"/>
      <c r="AR254" s="4609"/>
      <c r="AS254" s="4715"/>
      <c r="AT254" s="4609"/>
      <c r="AU254" s="4715"/>
      <c r="AV254" s="4609"/>
      <c r="AW254" s="4715"/>
      <c r="AX254" s="4609"/>
      <c r="AY254" s="4715"/>
      <c r="AZ254" s="4609"/>
      <c r="BA254" s="4715"/>
      <c r="BB254" s="4609"/>
      <c r="BC254" s="4715"/>
      <c r="BD254" s="4609"/>
      <c r="BE254" s="4715"/>
      <c r="BF254" s="4609"/>
      <c r="BG254" s="4715"/>
      <c r="BH254" s="3595"/>
      <c r="BI254" s="3409"/>
      <c r="BJ254" s="3409"/>
      <c r="BK254" s="4699"/>
      <c r="BL254" s="3191"/>
      <c r="BM254" s="3191"/>
      <c r="BN254" s="3970"/>
      <c r="BO254" s="3970"/>
      <c r="BP254" s="3970"/>
      <c r="BQ254" s="3191"/>
      <c r="BR254" s="3595"/>
    </row>
    <row r="255" spans="1:71" ht="48" customHeight="1" x14ac:dyDescent="0.2">
      <c r="A255" s="2445"/>
      <c r="B255" s="1596"/>
      <c r="C255" s="1737"/>
      <c r="D255" s="2402"/>
      <c r="E255" s="2403"/>
      <c r="F255" s="2403"/>
      <c r="G255" s="2519"/>
      <c r="H255" s="2519"/>
      <c r="I255" s="2403"/>
      <c r="J255" s="4601"/>
      <c r="K255" s="4604"/>
      <c r="L255" s="4607"/>
      <c r="M255" s="4754"/>
      <c r="N255" s="3289"/>
      <c r="O255" s="4606"/>
      <c r="P255" s="4748"/>
      <c r="Q255" s="4603"/>
      <c r="R255" s="4640"/>
      <c r="S255" s="4615"/>
      <c r="T255" s="4603"/>
      <c r="U255" s="4604"/>
      <c r="V255" s="4751"/>
      <c r="W255" s="2517">
        <v>3888000000</v>
      </c>
      <c r="X255" s="1621">
        <v>943778610</v>
      </c>
      <c r="Y255" s="1621">
        <v>0</v>
      </c>
      <c r="Z255" s="2518">
        <v>60</v>
      </c>
      <c r="AA255" s="2437" t="s">
        <v>2364</v>
      </c>
      <c r="AB255" s="4609"/>
      <c r="AC255" s="4715"/>
      <c r="AD255" s="4609"/>
      <c r="AE255" s="4715"/>
      <c r="AF255" s="4609"/>
      <c r="AG255" s="4715"/>
      <c r="AH255" s="4609"/>
      <c r="AI255" s="4715"/>
      <c r="AJ255" s="4609">
        <v>307101</v>
      </c>
      <c r="AK255" s="4715">
        <v>113627.37</v>
      </c>
      <c r="AL255" s="4609">
        <v>86875</v>
      </c>
      <c r="AM255" s="4715">
        <v>32143.75</v>
      </c>
      <c r="AN255" s="4609"/>
      <c r="AO255" s="4715"/>
      <c r="AP255" s="4609"/>
      <c r="AQ255" s="4715"/>
      <c r="AR255" s="4609"/>
      <c r="AS255" s="4715"/>
      <c r="AT255" s="4609"/>
      <c r="AU255" s="4715"/>
      <c r="AV255" s="4609"/>
      <c r="AW255" s="4715"/>
      <c r="AX255" s="4609"/>
      <c r="AY255" s="4715"/>
      <c r="AZ255" s="4609"/>
      <c r="BA255" s="4715"/>
      <c r="BB255" s="4609"/>
      <c r="BC255" s="4715"/>
      <c r="BD255" s="4609"/>
      <c r="BE255" s="4715"/>
      <c r="BF255" s="4609"/>
      <c r="BG255" s="4715"/>
      <c r="BH255" s="3595"/>
      <c r="BI255" s="3409"/>
      <c r="BJ255" s="3409"/>
      <c r="BK255" s="4699"/>
      <c r="BL255" s="3191"/>
      <c r="BM255" s="3191"/>
      <c r="BN255" s="3970"/>
      <c r="BO255" s="3970"/>
      <c r="BP255" s="3970"/>
      <c r="BQ255" s="3191"/>
      <c r="BR255" s="3595"/>
    </row>
    <row r="256" spans="1:71" ht="45" x14ac:dyDescent="0.2">
      <c r="A256" s="2445"/>
      <c r="B256" s="1596"/>
      <c r="C256" s="1737"/>
      <c r="D256" s="2402"/>
      <c r="E256" s="2403"/>
      <c r="F256" s="2403"/>
      <c r="G256" s="2519"/>
      <c r="H256" s="2519"/>
      <c r="I256" s="2403"/>
      <c r="J256" s="4599">
        <v>168</v>
      </c>
      <c r="K256" s="4602" t="s">
        <v>2365</v>
      </c>
      <c r="L256" s="4605" t="s">
        <v>1974</v>
      </c>
      <c r="M256" s="4605">
        <v>14</v>
      </c>
      <c r="N256" s="3289">
        <v>4</v>
      </c>
      <c r="O256" s="4606"/>
      <c r="P256" s="4748"/>
      <c r="Q256" s="4603"/>
      <c r="R256" s="4638">
        <v>0</v>
      </c>
      <c r="S256" s="4615"/>
      <c r="T256" s="4603"/>
      <c r="U256" s="4602" t="s">
        <v>2366</v>
      </c>
      <c r="V256" s="2520" t="s">
        <v>2367</v>
      </c>
      <c r="W256" s="2521">
        <v>0</v>
      </c>
      <c r="X256" s="1621">
        <v>0</v>
      </c>
      <c r="Y256" s="1621">
        <v>0</v>
      </c>
      <c r="Z256" s="2522"/>
      <c r="AA256" s="2437"/>
      <c r="AB256" s="4609"/>
      <c r="AC256" s="4715"/>
      <c r="AD256" s="4609"/>
      <c r="AE256" s="4715"/>
      <c r="AF256" s="4609"/>
      <c r="AG256" s="4715"/>
      <c r="AH256" s="4609"/>
      <c r="AI256" s="4715"/>
      <c r="AJ256" s="4609">
        <v>307101</v>
      </c>
      <c r="AK256" s="4715">
        <v>113627.37</v>
      </c>
      <c r="AL256" s="4609">
        <v>86875</v>
      </c>
      <c r="AM256" s="4715">
        <v>32143.75</v>
      </c>
      <c r="AN256" s="4609"/>
      <c r="AO256" s="4715"/>
      <c r="AP256" s="4609"/>
      <c r="AQ256" s="4715"/>
      <c r="AR256" s="4609"/>
      <c r="AS256" s="4715"/>
      <c r="AT256" s="4609"/>
      <c r="AU256" s="4715"/>
      <c r="AV256" s="4609"/>
      <c r="AW256" s="4715"/>
      <c r="AX256" s="4609"/>
      <c r="AY256" s="4715"/>
      <c r="AZ256" s="4609"/>
      <c r="BA256" s="4715"/>
      <c r="BB256" s="4609"/>
      <c r="BC256" s="4715"/>
      <c r="BD256" s="4609"/>
      <c r="BE256" s="4715"/>
      <c r="BF256" s="4609"/>
      <c r="BG256" s="4715"/>
      <c r="BH256" s="3595"/>
      <c r="BI256" s="3409"/>
      <c r="BJ256" s="3409"/>
      <c r="BK256" s="4699"/>
      <c r="BL256" s="3191"/>
      <c r="BM256" s="3191"/>
      <c r="BN256" s="3970"/>
      <c r="BO256" s="3970"/>
      <c r="BP256" s="3970"/>
      <c r="BQ256" s="3191"/>
      <c r="BR256" s="3595"/>
    </row>
    <row r="257" spans="1:70" ht="57.75" customHeight="1" x14ac:dyDescent="0.2">
      <c r="A257" s="2445"/>
      <c r="B257" s="1596"/>
      <c r="C257" s="1737"/>
      <c r="D257" s="2402"/>
      <c r="E257" s="2403"/>
      <c r="F257" s="2403"/>
      <c r="G257" s="2523"/>
      <c r="H257" s="2523"/>
      <c r="I257" s="2524"/>
      <c r="J257" s="4601"/>
      <c r="K257" s="4604"/>
      <c r="L257" s="4606"/>
      <c r="M257" s="4606"/>
      <c r="N257" s="3289"/>
      <c r="O257" s="4607"/>
      <c r="P257" s="4748"/>
      <c r="Q257" s="4603"/>
      <c r="R257" s="4640"/>
      <c r="S257" s="4615"/>
      <c r="T257" s="4603"/>
      <c r="U257" s="4604"/>
      <c r="V257" s="2525" t="s">
        <v>2368</v>
      </c>
      <c r="W257" s="2526">
        <v>0</v>
      </c>
      <c r="X257" s="1621">
        <v>0</v>
      </c>
      <c r="Y257" s="1621">
        <v>0</v>
      </c>
      <c r="Z257" s="2522"/>
      <c r="AA257" s="2437"/>
      <c r="AB257" s="4610"/>
      <c r="AC257" s="4716"/>
      <c r="AD257" s="4610"/>
      <c r="AE257" s="4716"/>
      <c r="AF257" s="4610"/>
      <c r="AG257" s="4716"/>
      <c r="AH257" s="4610"/>
      <c r="AI257" s="4716"/>
      <c r="AJ257" s="4610">
        <v>307101</v>
      </c>
      <c r="AK257" s="4716">
        <v>113627.37</v>
      </c>
      <c r="AL257" s="4610">
        <v>86875</v>
      </c>
      <c r="AM257" s="4716">
        <v>32143.75</v>
      </c>
      <c r="AN257" s="4610"/>
      <c r="AO257" s="4716"/>
      <c r="AP257" s="4610"/>
      <c r="AQ257" s="4716"/>
      <c r="AR257" s="4610"/>
      <c r="AS257" s="4716"/>
      <c r="AT257" s="4610"/>
      <c r="AU257" s="4716"/>
      <c r="AV257" s="4610"/>
      <c r="AW257" s="4716"/>
      <c r="AX257" s="4610"/>
      <c r="AY257" s="4716"/>
      <c r="AZ257" s="4610"/>
      <c r="BA257" s="4716"/>
      <c r="BB257" s="4610"/>
      <c r="BC257" s="4716"/>
      <c r="BD257" s="4610"/>
      <c r="BE257" s="4716"/>
      <c r="BF257" s="4610"/>
      <c r="BG257" s="4716"/>
      <c r="BH257" s="3596"/>
      <c r="BI257" s="3410"/>
      <c r="BJ257" s="3410"/>
      <c r="BK257" s="4700"/>
      <c r="BL257" s="3192"/>
      <c r="BM257" s="3192"/>
      <c r="BN257" s="3953"/>
      <c r="BO257" s="3953"/>
      <c r="BP257" s="3953"/>
      <c r="BQ257" s="3192"/>
      <c r="BR257" s="3596"/>
    </row>
    <row r="258" spans="1:70" ht="15.75" x14ac:dyDescent="0.2">
      <c r="A258" s="2445"/>
      <c r="B258" s="1596"/>
      <c r="C258" s="1737"/>
      <c r="D258" s="2402"/>
      <c r="E258" s="2403"/>
      <c r="F258" s="2403"/>
      <c r="G258" s="2527">
        <v>51</v>
      </c>
      <c r="H258" s="2528" t="s">
        <v>2369</v>
      </c>
      <c r="I258" s="2528"/>
      <c r="J258" s="2482"/>
      <c r="K258" s="2529"/>
      <c r="L258" s="2375"/>
      <c r="M258" s="2408"/>
      <c r="N258" s="2408"/>
      <c r="O258" s="2375"/>
      <c r="P258" s="2375"/>
      <c r="Q258" s="2375"/>
      <c r="R258" s="2375"/>
      <c r="S258" s="2375"/>
      <c r="T258" s="2375"/>
      <c r="U258" s="2407"/>
      <c r="V258" s="2407"/>
      <c r="W258" s="2423"/>
      <c r="X258" s="2414"/>
      <c r="Y258" s="2414"/>
      <c r="Z258" s="2530"/>
      <c r="AA258" s="2413"/>
      <c r="AB258" s="2375"/>
      <c r="AC258" s="2375"/>
      <c r="AD258" s="2375"/>
      <c r="AE258" s="2375"/>
      <c r="AF258" s="2375"/>
      <c r="AG258" s="2375"/>
      <c r="AH258" s="2375"/>
      <c r="AI258" s="2375"/>
      <c r="AJ258" s="2375"/>
      <c r="AK258" s="2375"/>
      <c r="AL258" s="2375"/>
      <c r="AM258" s="2375"/>
      <c r="AN258" s="2375"/>
      <c r="AO258" s="2375"/>
      <c r="AP258" s="2375"/>
      <c r="AQ258" s="2375"/>
      <c r="AR258" s="2375"/>
      <c r="AS258" s="2375"/>
      <c r="AT258" s="2375"/>
      <c r="AU258" s="2375"/>
      <c r="AV258" s="2375"/>
      <c r="AW258" s="2375"/>
      <c r="AX258" s="2375"/>
      <c r="AY258" s="2375"/>
      <c r="AZ258" s="2375"/>
      <c r="BA258" s="2375"/>
      <c r="BB258" s="2375"/>
      <c r="BC258" s="2375"/>
      <c r="BD258" s="2375"/>
      <c r="BE258" s="2375"/>
      <c r="BF258" s="2375"/>
      <c r="BG258" s="2375"/>
      <c r="BH258" s="2375"/>
      <c r="BI258" s="2414"/>
      <c r="BJ258" s="2414"/>
      <c r="BK258" s="2375"/>
      <c r="BL258" s="2375"/>
      <c r="BM258" s="2374"/>
      <c r="BN258" s="2465"/>
      <c r="BO258" s="2465"/>
      <c r="BP258" s="2465"/>
      <c r="BQ258" s="2464"/>
      <c r="BR258" s="2375"/>
    </row>
    <row r="259" spans="1:70" ht="60" x14ac:dyDescent="0.2">
      <c r="A259" s="2445"/>
      <c r="B259" s="1596"/>
      <c r="C259" s="1737"/>
      <c r="D259" s="2531"/>
      <c r="E259" s="2532"/>
      <c r="F259" s="2532"/>
      <c r="G259" s="2533"/>
      <c r="H259" s="2533"/>
      <c r="I259" s="2534"/>
      <c r="J259" s="4605">
        <v>169</v>
      </c>
      <c r="K259" s="4602" t="s">
        <v>2370</v>
      </c>
      <c r="L259" s="4605" t="s">
        <v>1974</v>
      </c>
      <c r="M259" s="4605">
        <v>12</v>
      </c>
      <c r="N259" s="3594">
        <v>0.3</v>
      </c>
      <c r="O259" s="4605" t="s">
        <v>2371</v>
      </c>
      <c r="P259" s="4605" t="s">
        <v>2372</v>
      </c>
      <c r="Q259" s="4602" t="s">
        <v>2373</v>
      </c>
      <c r="R259" s="4638">
        <v>1</v>
      </c>
      <c r="S259" s="4614">
        <v>58080000</v>
      </c>
      <c r="T259" s="4602" t="s">
        <v>2374</v>
      </c>
      <c r="U259" s="2435" t="s">
        <v>2375</v>
      </c>
      <c r="V259" s="2447" t="s">
        <v>2376</v>
      </c>
      <c r="W259" s="992">
        <v>19360000</v>
      </c>
      <c r="X259" s="1621">
        <v>4664000</v>
      </c>
      <c r="Y259" s="1621">
        <v>1866000</v>
      </c>
      <c r="Z259" s="2385">
        <v>20</v>
      </c>
      <c r="AA259" s="2437" t="s">
        <v>71</v>
      </c>
      <c r="AB259" s="4608">
        <v>292684</v>
      </c>
      <c r="AC259" s="4714">
        <f>SUM(AB259*0.84)</f>
        <v>245854.56</v>
      </c>
      <c r="AD259" s="4608">
        <v>282326</v>
      </c>
      <c r="AE259" s="4714">
        <f>SUM(AD259*0.84)</f>
        <v>237153.84</v>
      </c>
      <c r="AF259" s="4608">
        <v>135912</v>
      </c>
      <c r="AG259" s="4714">
        <f>SUM(AF259*0.84)</f>
        <v>114166.08</v>
      </c>
      <c r="AH259" s="4608">
        <v>45122</v>
      </c>
      <c r="AI259" s="4714">
        <f>SUM(AH259*0.84)</f>
        <v>37902.479999999996</v>
      </c>
      <c r="AJ259" s="4608">
        <v>307101</v>
      </c>
      <c r="AK259" s="4714">
        <v>257964.84</v>
      </c>
      <c r="AL259" s="4608">
        <v>86875</v>
      </c>
      <c r="AM259" s="4714">
        <f>SUM(AL259*0.84)</f>
        <v>72975</v>
      </c>
      <c r="AN259" s="4608">
        <v>2145</v>
      </c>
      <c r="AO259" s="4714">
        <f>SUM(AN259*0.84)</f>
        <v>1801.8</v>
      </c>
      <c r="AP259" s="4608">
        <v>12718</v>
      </c>
      <c r="AQ259" s="4714">
        <f>SUM(AP259*0.84)</f>
        <v>10683.119999999999</v>
      </c>
      <c r="AR259" s="4608">
        <v>26</v>
      </c>
      <c r="AS259" s="4714">
        <f>SUM(AR259*0.84)</f>
        <v>21.84</v>
      </c>
      <c r="AT259" s="4608">
        <v>37</v>
      </c>
      <c r="AU259" s="4714">
        <f>SUM(AT259*0.84)</f>
        <v>31.08</v>
      </c>
      <c r="AV259" s="4608" t="s">
        <v>2015</v>
      </c>
      <c r="AW259" s="4714" t="s">
        <v>2015</v>
      </c>
      <c r="AX259" s="4608" t="s">
        <v>2015</v>
      </c>
      <c r="AY259" s="4714" t="s">
        <v>2015</v>
      </c>
      <c r="AZ259" s="4608">
        <v>53164</v>
      </c>
      <c r="BA259" s="4714">
        <f>SUM(AZ259*0.84)</f>
        <v>44657.759999999995</v>
      </c>
      <c r="BB259" s="4608">
        <v>16982</v>
      </c>
      <c r="BC259" s="4714">
        <f>SUM(BB259*0.84)</f>
        <v>14264.88</v>
      </c>
      <c r="BD259" s="4608">
        <v>60013</v>
      </c>
      <c r="BE259" s="4714">
        <f>SUM(BD259*0.84)</f>
        <v>50410.92</v>
      </c>
      <c r="BF259" s="4608">
        <v>575010</v>
      </c>
      <c r="BG259" s="4714">
        <f>SUM(BF259*0.84)</f>
        <v>483008.39999999997</v>
      </c>
      <c r="BH259" s="3594">
        <v>1</v>
      </c>
      <c r="BI259" s="3408">
        <f>SUM(X259:X261)</f>
        <v>13990000</v>
      </c>
      <c r="BJ259" s="3408">
        <f>SUM(Y259:Y261)</f>
        <v>5596000</v>
      </c>
      <c r="BK259" s="4698">
        <f>+BJ259/BI259</f>
        <v>0.4</v>
      </c>
      <c r="BL259" s="3594">
        <v>20</v>
      </c>
      <c r="BM259" s="3190" t="s">
        <v>2332</v>
      </c>
      <c r="BN259" s="3952">
        <v>43466</v>
      </c>
      <c r="BO259" s="3952">
        <v>43467</v>
      </c>
      <c r="BP259" s="3952">
        <v>43830</v>
      </c>
      <c r="BQ259" s="4732">
        <v>43830</v>
      </c>
      <c r="BR259" s="3190" t="s">
        <v>1983</v>
      </c>
    </row>
    <row r="260" spans="1:70" ht="45" x14ac:dyDescent="0.2">
      <c r="A260" s="2445"/>
      <c r="B260" s="1596"/>
      <c r="C260" s="1737"/>
      <c r="D260" s="2531"/>
      <c r="E260" s="2532"/>
      <c r="F260" s="2532"/>
      <c r="G260" s="2535"/>
      <c r="H260" s="2535"/>
      <c r="I260" s="2532"/>
      <c r="J260" s="4606"/>
      <c r="K260" s="4603"/>
      <c r="L260" s="4606"/>
      <c r="M260" s="4606"/>
      <c r="N260" s="3595"/>
      <c r="O260" s="4606"/>
      <c r="P260" s="4606"/>
      <c r="Q260" s="4603"/>
      <c r="R260" s="4639"/>
      <c r="S260" s="4615"/>
      <c r="T260" s="4603"/>
      <c r="U260" s="2435" t="s">
        <v>2377</v>
      </c>
      <c r="V260" s="2447" t="s">
        <v>2378</v>
      </c>
      <c r="W260" s="992">
        <v>19360000</v>
      </c>
      <c r="X260" s="1621">
        <v>4663000</v>
      </c>
      <c r="Y260" s="1621">
        <v>1865000</v>
      </c>
      <c r="Z260" s="2385">
        <v>20</v>
      </c>
      <c r="AA260" s="2437" t="s">
        <v>71</v>
      </c>
      <c r="AB260" s="4609"/>
      <c r="AC260" s="4715"/>
      <c r="AD260" s="4609"/>
      <c r="AE260" s="4715"/>
      <c r="AF260" s="4609"/>
      <c r="AG260" s="4715"/>
      <c r="AH260" s="4609"/>
      <c r="AI260" s="4715"/>
      <c r="AJ260" s="4609">
        <v>307101</v>
      </c>
      <c r="AK260" s="4715">
        <v>257964.84</v>
      </c>
      <c r="AL260" s="4609"/>
      <c r="AM260" s="4715"/>
      <c r="AN260" s="4609"/>
      <c r="AO260" s="4715"/>
      <c r="AP260" s="4609"/>
      <c r="AQ260" s="4715"/>
      <c r="AR260" s="4609"/>
      <c r="AS260" s="4715"/>
      <c r="AT260" s="4609"/>
      <c r="AU260" s="4715"/>
      <c r="AV260" s="4609"/>
      <c r="AW260" s="4715"/>
      <c r="AX260" s="4609"/>
      <c r="AY260" s="4715"/>
      <c r="AZ260" s="4609"/>
      <c r="BA260" s="4715"/>
      <c r="BB260" s="4609"/>
      <c r="BC260" s="4715"/>
      <c r="BD260" s="4609"/>
      <c r="BE260" s="4715"/>
      <c r="BF260" s="4609"/>
      <c r="BG260" s="4715"/>
      <c r="BH260" s="3595"/>
      <c r="BI260" s="3409"/>
      <c r="BJ260" s="3409"/>
      <c r="BK260" s="4699"/>
      <c r="BL260" s="3595"/>
      <c r="BM260" s="3191"/>
      <c r="BN260" s="3970"/>
      <c r="BO260" s="3970"/>
      <c r="BP260" s="3970"/>
      <c r="BQ260" s="3191"/>
      <c r="BR260" s="3595"/>
    </row>
    <row r="261" spans="1:70" ht="90" x14ac:dyDescent="0.2">
      <c r="A261" s="2445"/>
      <c r="B261" s="1596"/>
      <c r="C261" s="1737"/>
      <c r="D261" s="2378"/>
      <c r="E261" s="2379"/>
      <c r="F261" s="2379"/>
      <c r="G261" s="2387"/>
      <c r="H261" s="2387"/>
      <c r="I261" s="2388"/>
      <c r="J261" s="4607"/>
      <c r="K261" s="4604"/>
      <c r="L261" s="4607"/>
      <c r="M261" s="4607"/>
      <c r="N261" s="3596"/>
      <c r="O261" s="4607"/>
      <c r="P261" s="4607"/>
      <c r="Q261" s="4604"/>
      <c r="R261" s="4640"/>
      <c r="S261" s="4616"/>
      <c r="T261" s="4604"/>
      <c r="U261" s="2435" t="s">
        <v>2365</v>
      </c>
      <c r="V261" s="2447" t="s">
        <v>2379</v>
      </c>
      <c r="W261" s="992">
        <v>19360000</v>
      </c>
      <c r="X261" s="1621">
        <v>4663000</v>
      </c>
      <c r="Y261" s="1621">
        <v>1865000</v>
      </c>
      <c r="Z261" s="2385">
        <v>20</v>
      </c>
      <c r="AA261" s="2437" t="s">
        <v>71</v>
      </c>
      <c r="AB261" s="4610"/>
      <c r="AC261" s="4716"/>
      <c r="AD261" s="4610"/>
      <c r="AE261" s="4716"/>
      <c r="AF261" s="4610"/>
      <c r="AG261" s="4716"/>
      <c r="AH261" s="4610"/>
      <c r="AI261" s="4716"/>
      <c r="AJ261" s="4610">
        <v>307101</v>
      </c>
      <c r="AK261" s="4716">
        <v>257964.84</v>
      </c>
      <c r="AL261" s="4610"/>
      <c r="AM261" s="4716"/>
      <c r="AN261" s="4610"/>
      <c r="AO261" s="4716"/>
      <c r="AP261" s="4610"/>
      <c r="AQ261" s="4716"/>
      <c r="AR261" s="4610"/>
      <c r="AS261" s="4716"/>
      <c r="AT261" s="4610"/>
      <c r="AU261" s="4716"/>
      <c r="AV261" s="4610"/>
      <c r="AW261" s="4716"/>
      <c r="AX261" s="4610"/>
      <c r="AY261" s="4716"/>
      <c r="AZ261" s="4610"/>
      <c r="BA261" s="4716"/>
      <c r="BB261" s="4610"/>
      <c r="BC261" s="4716"/>
      <c r="BD261" s="4610"/>
      <c r="BE261" s="4716"/>
      <c r="BF261" s="4610"/>
      <c r="BG261" s="4716"/>
      <c r="BH261" s="3596"/>
      <c r="BI261" s="3410"/>
      <c r="BJ261" s="3410"/>
      <c r="BK261" s="4700"/>
      <c r="BL261" s="3596"/>
      <c r="BM261" s="3192"/>
      <c r="BN261" s="3953"/>
      <c r="BO261" s="3953"/>
      <c r="BP261" s="3953"/>
      <c r="BQ261" s="3192"/>
      <c r="BR261" s="3596"/>
    </row>
    <row r="262" spans="1:70" ht="15.75" x14ac:dyDescent="0.2">
      <c r="A262" s="2445"/>
      <c r="B262" s="1596"/>
      <c r="C262" s="1737"/>
      <c r="D262" s="2402"/>
      <c r="E262" s="2403"/>
      <c r="F262" s="2403"/>
      <c r="G262" s="2432">
        <v>52</v>
      </c>
      <c r="H262" s="2375" t="s">
        <v>2380</v>
      </c>
      <c r="I262" s="2375"/>
      <c r="J262" s="2375"/>
      <c r="K262" s="2407"/>
      <c r="L262" s="2375"/>
      <c r="M262" s="2408"/>
      <c r="N262" s="2408"/>
      <c r="O262" s="2375"/>
      <c r="P262" s="2375"/>
      <c r="Q262" s="2375"/>
      <c r="R262" s="2375"/>
      <c r="S262" s="2375"/>
      <c r="T262" s="2375"/>
      <c r="U262" s="2407"/>
      <c r="V262" s="2407"/>
      <c r="W262" s="2423"/>
      <c r="X262" s="2414"/>
      <c r="Y262" s="2414"/>
      <c r="Z262" s="2530"/>
      <c r="AA262" s="2413"/>
      <c r="AB262" s="2375"/>
      <c r="AC262" s="2375"/>
      <c r="AD262" s="2375"/>
      <c r="AE262" s="2375"/>
      <c r="AF262" s="2375"/>
      <c r="AG262" s="2375"/>
      <c r="AH262" s="2375"/>
      <c r="AI262" s="2375"/>
      <c r="AJ262" s="2375"/>
      <c r="AK262" s="2375"/>
      <c r="AL262" s="2375"/>
      <c r="AM262" s="2375"/>
      <c r="AN262" s="2375"/>
      <c r="AO262" s="2375"/>
      <c r="AP262" s="2375"/>
      <c r="AQ262" s="2375"/>
      <c r="AR262" s="2375"/>
      <c r="AS262" s="2375"/>
      <c r="AT262" s="2375"/>
      <c r="AU262" s="2375"/>
      <c r="AV262" s="2375"/>
      <c r="AW262" s="2375"/>
      <c r="AX262" s="2375"/>
      <c r="AY262" s="2375"/>
      <c r="AZ262" s="2375"/>
      <c r="BA262" s="2375"/>
      <c r="BB262" s="2375"/>
      <c r="BC262" s="2375"/>
      <c r="BD262" s="2375"/>
      <c r="BE262" s="2375"/>
      <c r="BF262" s="2375"/>
      <c r="BG262" s="2375"/>
      <c r="BH262" s="2375"/>
      <c r="BI262" s="2414"/>
      <c r="BJ262" s="2414"/>
      <c r="BK262" s="2375"/>
      <c r="BL262" s="2375"/>
      <c r="BM262" s="2374"/>
      <c r="BN262" s="2465"/>
      <c r="BO262" s="2465"/>
      <c r="BP262" s="2465"/>
      <c r="BQ262" s="2464"/>
      <c r="BR262" s="2375"/>
    </row>
    <row r="263" spans="1:70" ht="46.5" customHeight="1" x14ac:dyDescent="0.2">
      <c r="A263" s="2445"/>
      <c r="B263" s="1596"/>
      <c r="C263" s="1737"/>
      <c r="D263" s="2428"/>
      <c r="E263" s="2429"/>
      <c r="F263" s="2429"/>
      <c r="G263" s="2425"/>
      <c r="H263" s="2425"/>
      <c r="I263" s="2426"/>
      <c r="J263" s="4631">
        <v>170</v>
      </c>
      <c r="K263" s="4657" t="s">
        <v>2381</v>
      </c>
      <c r="L263" s="4605" t="s">
        <v>1974</v>
      </c>
      <c r="M263" s="4605">
        <v>14</v>
      </c>
      <c r="N263" s="3289">
        <v>0</v>
      </c>
      <c r="O263" s="4605" t="s">
        <v>2382</v>
      </c>
      <c r="P263" s="4605" t="s">
        <v>2383</v>
      </c>
      <c r="Q263" s="4602" t="s">
        <v>2384</v>
      </c>
      <c r="R263" s="4638">
        <v>0.5</v>
      </c>
      <c r="S263" s="4641">
        <v>20000000</v>
      </c>
      <c r="T263" s="4602" t="s">
        <v>2385</v>
      </c>
      <c r="U263" s="4602" t="s">
        <v>2386</v>
      </c>
      <c r="V263" s="2536" t="s">
        <v>2387</v>
      </c>
      <c r="W263" s="2537">
        <v>3000000</v>
      </c>
      <c r="X263" s="1621">
        <v>0</v>
      </c>
      <c r="Y263" s="1621">
        <v>0</v>
      </c>
      <c r="Z263" s="2385">
        <v>20</v>
      </c>
      <c r="AA263" s="2437" t="s">
        <v>71</v>
      </c>
      <c r="AB263" s="4608">
        <v>292684</v>
      </c>
      <c r="AC263" s="4608">
        <f>SUM(AB263*0)</f>
        <v>0</v>
      </c>
      <c r="AD263" s="4608">
        <v>282326</v>
      </c>
      <c r="AE263" s="4608">
        <f>SUM(AD263*0)</f>
        <v>0</v>
      </c>
      <c r="AF263" s="4608">
        <v>135912</v>
      </c>
      <c r="AG263" s="4608">
        <f>SUM(AF263*0)</f>
        <v>0</v>
      </c>
      <c r="AH263" s="4608">
        <v>45122</v>
      </c>
      <c r="AI263" s="4608">
        <f>SUM(AH263*0)</f>
        <v>0</v>
      </c>
      <c r="AJ263" s="4608">
        <v>307101</v>
      </c>
      <c r="AK263" s="4608">
        <v>0</v>
      </c>
      <c r="AL263" s="4608">
        <v>86875</v>
      </c>
      <c r="AM263" s="4608">
        <f>SUM(AL263*0)</f>
        <v>0</v>
      </c>
      <c r="AN263" s="4608">
        <v>2145</v>
      </c>
      <c r="AO263" s="4608">
        <f>SUM(AN263*0)</f>
        <v>0</v>
      </c>
      <c r="AP263" s="4608">
        <v>12718</v>
      </c>
      <c r="AQ263" s="4608">
        <f>SUM(AP263*0)</f>
        <v>0</v>
      </c>
      <c r="AR263" s="4608">
        <v>26</v>
      </c>
      <c r="AS263" s="4608">
        <f>SUM(AR263*0)</f>
        <v>0</v>
      </c>
      <c r="AT263" s="4608">
        <v>37</v>
      </c>
      <c r="AU263" s="4608">
        <f>SUM(AT263*0)</f>
        <v>0</v>
      </c>
      <c r="AV263" s="4608" t="s">
        <v>2015</v>
      </c>
      <c r="AW263" s="4608" t="s">
        <v>2015</v>
      </c>
      <c r="AX263" s="4608" t="s">
        <v>2015</v>
      </c>
      <c r="AY263" s="4608" t="s">
        <v>2015</v>
      </c>
      <c r="AZ263" s="4608">
        <v>53164</v>
      </c>
      <c r="BA263" s="4608">
        <f>SUM(AZ263*0)</f>
        <v>0</v>
      </c>
      <c r="BB263" s="4608">
        <v>16982</v>
      </c>
      <c r="BC263" s="4608">
        <f>SUM(BB263*0)</f>
        <v>0</v>
      </c>
      <c r="BD263" s="4608">
        <v>60013</v>
      </c>
      <c r="BE263" s="4608">
        <f>SUM(BD263*0)</f>
        <v>0</v>
      </c>
      <c r="BF263" s="4608">
        <v>575010</v>
      </c>
      <c r="BG263" s="4608">
        <v>0</v>
      </c>
      <c r="BH263" s="3594">
        <v>0</v>
      </c>
      <c r="BI263" s="3408">
        <f>SUM(X263:X267)</f>
        <v>0</v>
      </c>
      <c r="BJ263" s="3408">
        <f>SUM(Y263:Y267)</f>
        <v>0</v>
      </c>
      <c r="BK263" s="4698">
        <f>+BJ263/S263</f>
        <v>0</v>
      </c>
      <c r="BL263" s="3594">
        <v>20</v>
      </c>
      <c r="BM263" s="3190" t="s">
        <v>2332</v>
      </c>
      <c r="BN263" s="3952">
        <v>43466</v>
      </c>
      <c r="BO263" s="3952">
        <v>43467</v>
      </c>
      <c r="BP263" s="3952">
        <v>43830</v>
      </c>
      <c r="BQ263" s="4732">
        <v>43830</v>
      </c>
      <c r="BR263" s="3190" t="s">
        <v>1983</v>
      </c>
    </row>
    <row r="264" spans="1:70" ht="46.5" customHeight="1" x14ac:dyDescent="0.2">
      <c r="A264" s="2445"/>
      <c r="B264" s="1596"/>
      <c r="C264" s="1737"/>
      <c r="D264" s="2428"/>
      <c r="E264" s="2429"/>
      <c r="F264" s="2429"/>
      <c r="G264" s="2538"/>
      <c r="H264" s="2538"/>
      <c r="I264" s="2429"/>
      <c r="J264" s="4631"/>
      <c r="K264" s="4658"/>
      <c r="L264" s="4606"/>
      <c r="M264" s="4606"/>
      <c r="N264" s="3289"/>
      <c r="O264" s="4606"/>
      <c r="P264" s="4606"/>
      <c r="Q264" s="4603"/>
      <c r="R264" s="4639"/>
      <c r="S264" s="4642"/>
      <c r="T264" s="4603"/>
      <c r="U264" s="4603"/>
      <c r="V264" s="2536" t="s">
        <v>2388</v>
      </c>
      <c r="W264" s="2537">
        <v>4000000</v>
      </c>
      <c r="X264" s="1621">
        <v>0</v>
      </c>
      <c r="Y264" s="1621">
        <v>0</v>
      </c>
      <c r="Z264" s="2385">
        <v>20</v>
      </c>
      <c r="AA264" s="2437" t="s">
        <v>71</v>
      </c>
      <c r="AB264" s="4609"/>
      <c r="AC264" s="4609"/>
      <c r="AD264" s="4609"/>
      <c r="AE264" s="4609"/>
      <c r="AF264" s="4609"/>
      <c r="AG264" s="4609"/>
      <c r="AH264" s="4609"/>
      <c r="AI264" s="4609"/>
      <c r="AJ264" s="4609">
        <v>307101</v>
      </c>
      <c r="AK264" s="4609">
        <v>0</v>
      </c>
      <c r="AL264" s="4609"/>
      <c r="AM264" s="4609"/>
      <c r="AN264" s="4609"/>
      <c r="AO264" s="4609"/>
      <c r="AP264" s="4609"/>
      <c r="AQ264" s="4609"/>
      <c r="AR264" s="4609"/>
      <c r="AS264" s="4609"/>
      <c r="AT264" s="4609"/>
      <c r="AU264" s="4609"/>
      <c r="AV264" s="4609"/>
      <c r="AW264" s="4609"/>
      <c r="AX264" s="4609"/>
      <c r="AY264" s="4609"/>
      <c r="AZ264" s="4609"/>
      <c r="BA264" s="4609"/>
      <c r="BB264" s="4609"/>
      <c r="BC264" s="4609"/>
      <c r="BD264" s="4609"/>
      <c r="BE264" s="4609"/>
      <c r="BF264" s="4609"/>
      <c r="BG264" s="4609"/>
      <c r="BH264" s="3595"/>
      <c r="BI264" s="3409"/>
      <c r="BJ264" s="3409"/>
      <c r="BK264" s="4699"/>
      <c r="BL264" s="3595"/>
      <c r="BM264" s="3191"/>
      <c r="BN264" s="3970"/>
      <c r="BO264" s="3970"/>
      <c r="BP264" s="3970"/>
      <c r="BQ264" s="4755"/>
      <c r="BR264" s="3191"/>
    </row>
    <row r="265" spans="1:70" ht="46.5" customHeight="1" x14ac:dyDescent="0.2">
      <c r="A265" s="2445"/>
      <c r="B265" s="1596"/>
      <c r="C265" s="1737"/>
      <c r="D265" s="2428"/>
      <c r="E265" s="2429"/>
      <c r="F265" s="2429"/>
      <c r="G265" s="2538"/>
      <c r="H265" s="2538"/>
      <c r="I265" s="2429"/>
      <c r="J265" s="4631"/>
      <c r="K265" s="4658"/>
      <c r="L265" s="4606"/>
      <c r="M265" s="4606"/>
      <c r="N265" s="3289"/>
      <c r="O265" s="4606"/>
      <c r="P265" s="4606"/>
      <c r="Q265" s="4603"/>
      <c r="R265" s="4640"/>
      <c r="S265" s="4642"/>
      <c r="T265" s="4603"/>
      <c r="U265" s="4604"/>
      <c r="V265" s="2536" t="s">
        <v>2389</v>
      </c>
      <c r="W265" s="992">
        <v>3000000</v>
      </c>
      <c r="X265" s="1621">
        <v>0</v>
      </c>
      <c r="Y265" s="1621">
        <v>0</v>
      </c>
      <c r="Z265" s="2385">
        <v>20</v>
      </c>
      <c r="AA265" s="2437" t="s">
        <v>71</v>
      </c>
      <c r="AB265" s="4609"/>
      <c r="AC265" s="4609"/>
      <c r="AD265" s="4609"/>
      <c r="AE265" s="4609"/>
      <c r="AF265" s="4609"/>
      <c r="AG265" s="4609"/>
      <c r="AH265" s="4609"/>
      <c r="AI265" s="4609"/>
      <c r="AJ265" s="4609">
        <v>307101</v>
      </c>
      <c r="AK265" s="4609">
        <v>0</v>
      </c>
      <c r="AL265" s="4609"/>
      <c r="AM265" s="4609"/>
      <c r="AN265" s="4609"/>
      <c r="AO265" s="4609"/>
      <c r="AP265" s="4609"/>
      <c r="AQ265" s="4609"/>
      <c r="AR265" s="4609"/>
      <c r="AS265" s="4609"/>
      <c r="AT265" s="4609"/>
      <c r="AU265" s="4609"/>
      <c r="AV265" s="4609"/>
      <c r="AW265" s="4609"/>
      <c r="AX265" s="4609"/>
      <c r="AY265" s="4609"/>
      <c r="AZ265" s="4609"/>
      <c r="BA265" s="4609"/>
      <c r="BB265" s="4609"/>
      <c r="BC265" s="4609"/>
      <c r="BD265" s="4609"/>
      <c r="BE265" s="4609"/>
      <c r="BF265" s="4609"/>
      <c r="BG265" s="4609"/>
      <c r="BH265" s="3595"/>
      <c r="BI265" s="3409"/>
      <c r="BJ265" s="3409"/>
      <c r="BK265" s="4699"/>
      <c r="BL265" s="3595"/>
      <c r="BM265" s="3191"/>
      <c r="BN265" s="3970"/>
      <c r="BO265" s="3970"/>
      <c r="BP265" s="3970"/>
      <c r="BQ265" s="4755"/>
      <c r="BR265" s="3191"/>
    </row>
    <row r="266" spans="1:70" ht="46.5" customHeight="1" x14ac:dyDescent="0.2">
      <c r="A266" s="2445"/>
      <c r="B266" s="1596"/>
      <c r="C266" s="1737"/>
      <c r="D266" s="2428"/>
      <c r="E266" s="2429"/>
      <c r="F266" s="2429"/>
      <c r="G266" s="2538"/>
      <c r="H266" s="2538"/>
      <c r="I266" s="2429"/>
      <c r="J266" s="4600">
        <v>171</v>
      </c>
      <c r="K266" s="4659"/>
      <c r="L266" s="4607"/>
      <c r="M266" s="4607"/>
      <c r="N266" s="3289"/>
      <c r="O266" s="4606"/>
      <c r="P266" s="4606"/>
      <c r="Q266" s="4603"/>
      <c r="R266" s="4638">
        <v>0.5</v>
      </c>
      <c r="S266" s="4642"/>
      <c r="T266" s="4603"/>
      <c r="U266" s="4602" t="s">
        <v>2390</v>
      </c>
      <c r="V266" s="2536" t="s">
        <v>2391</v>
      </c>
      <c r="W266" s="992">
        <v>5000000</v>
      </c>
      <c r="X266" s="1621">
        <v>0</v>
      </c>
      <c r="Y266" s="1621">
        <v>0</v>
      </c>
      <c r="Z266" s="2385">
        <v>20</v>
      </c>
      <c r="AA266" s="2437" t="s">
        <v>71</v>
      </c>
      <c r="AB266" s="4609"/>
      <c r="AC266" s="4609"/>
      <c r="AD266" s="4609"/>
      <c r="AE266" s="4609"/>
      <c r="AF266" s="4609"/>
      <c r="AG266" s="4609"/>
      <c r="AH266" s="4609"/>
      <c r="AI266" s="4609"/>
      <c r="AJ266" s="4609">
        <v>307101</v>
      </c>
      <c r="AK266" s="4609">
        <v>0</v>
      </c>
      <c r="AL266" s="4609"/>
      <c r="AM266" s="4609"/>
      <c r="AN266" s="4609"/>
      <c r="AO266" s="4609"/>
      <c r="AP266" s="4609"/>
      <c r="AQ266" s="4609"/>
      <c r="AR266" s="4609"/>
      <c r="AS266" s="4609"/>
      <c r="AT266" s="4609"/>
      <c r="AU266" s="4609"/>
      <c r="AV266" s="4609"/>
      <c r="AW266" s="4609"/>
      <c r="AX266" s="4609"/>
      <c r="AY266" s="4609"/>
      <c r="AZ266" s="4609"/>
      <c r="BA266" s="4609"/>
      <c r="BB266" s="4609"/>
      <c r="BC266" s="4609"/>
      <c r="BD266" s="4609"/>
      <c r="BE266" s="4609"/>
      <c r="BF266" s="4609"/>
      <c r="BG266" s="4609"/>
      <c r="BH266" s="3595"/>
      <c r="BI266" s="3409"/>
      <c r="BJ266" s="3409"/>
      <c r="BK266" s="4699"/>
      <c r="BL266" s="3595"/>
      <c r="BM266" s="3191"/>
      <c r="BN266" s="3970"/>
      <c r="BO266" s="3970"/>
      <c r="BP266" s="3970"/>
      <c r="BQ266" s="4755"/>
      <c r="BR266" s="3191"/>
    </row>
    <row r="267" spans="1:70" ht="80.25" customHeight="1" x14ac:dyDescent="0.2">
      <c r="A267" s="2445"/>
      <c r="B267" s="1596"/>
      <c r="C267" s="1737"/>
      <c r="D267" s="2428"/>
      <c r="E267" s="2429"/>
      <c r="F267" s="2429"/>
      <c r="G267" s="2538"/>
      <c r="H267" s="2538"/>
      <c r="I267" s="2429"/>
      <c r="J267" s="4601"/>
      <c r="K267" s="2539" t="s">
        <v>2392</v>
      </c>
      <c r="L267" s="2417" t="s">
        <v>1974</v>
      </c>
      <c r="M267" s="2417">
        <v>1</v>
      </c>
      <c r="N267" s="202">
        <v>0</v>
      </c>
      <c r="O267" s="4607"/>
      <c r="P267" s="4607"/>
      <c r="Q267" s="4604"/>
      <c r="R267" s="4640"/>
      <c r="S267" s="4643"/>
      <c r="T267" s="4604"/>
      <c r="U267" s="4604"/>
      <c r="V267" s="2536" t="s">
        <v>2393</v>
      </c>
      <c r="W267" s="992">
        <v>5000000</v>
      </c>
      <c r="X267" s="1621">
        <v>0</v>
      </c>
      <c r="Y267" s="1621">
        <v>0</v>
      </c>
      <c r="Z267" s="2385">
        <v>20</v>
      </c>
      <c r="AA267" s="2437" t="s">
        <v>71</v>
      </c>
      <c r="AB267" s="4610"/>
      <c r="AC267" s="4610"/>
      <c r="AD267" s="4610"/>
      <c r="AE267" s="4610"/>
      <c r="AF267" s="4610"/>
      <c r="AG267" s="4610"/>
      <c r="AH267" s="4610"/>
      <c r="AI267" s="4610"/>
      <c r="AJ267" s="4610">
        <v>307101</v>
      </c>
      <c r="AK267" s="4610">
        <v>0</v>
      </c>
      <c r="AL267" s="4610"/>
      <c r="AM267" s="4610"/>
      <c r="AN267" s="4610"/>
      <c r="AO267" s="4610"/>
      <c r="AP267" s="4610"/>
      <c r="AQ267" s="4610"/>
      <c r="AR267" s="4610"/>
      <c r="AS267" s="4610"/>
      <c r="AT267" s="4610"/>
      <c r="AU267" s="4610"/>
      <c r="AV267" s="4610"/>
      <c r="AW267" s="4610"/>
      <c r="AX267" s="4610"/>
      <c r="AY267" s="4610"/>
      <c r="AZ267" s="4610"/>
      <c r="BA267" s="4610"/>
      <c r="BB267" s="4610"/>
      <c r="BC267" s="4610"/>
      <c r="BD267" s="4610"/>
      <c r="BE267" s="4610"/>
      <c r="BF267" s="4610"/>
      <c r="BG267" s="4610"/>
      <c r="BH267" s="3596"/>
      <c r="BI267" s="3410"/>
      <c r="BJ267" s="3410"/>
      <c r="BK267" s="4700"/>
      <c r="BL267" s="3596"/>
      <c r="BM267" s="3192"/>
      <c r="BN267" s="3953"/>
      <c r="BO267" s="3953"/>
      <c r="BP267" s="3953"/>
      <c r="BQ267" s="4756"/>
      <c r="BR267" s="3192"/>
    </row>
    <row r="268" spans="1:70" ht="47.25" customHeight="1" x14ac:dyDescent="0.2">
      <c r="A268" s="2445"/>
      <c r="B268" s="1596"/>
      <c r="C268" s="1737"/>
      <c r="D268" s="2428"/>
      <c r="E268" s="2429"/>
      <c r="F268" s="2429"/>
      <c r="G268" s="2538"/>
      <c r="H268" s="2538"/>
      <c r="I268" s="2429"/>
      <c r="J268" s="4599">
        <v>172</v>
      </c>
      <c r="K268" s="4602" t="s">
        <v>2394</v>
      </c>
      <c r="L268" s="4605" t="s">
        <v>1974</v>
      </c>
      <c r="M268" s="4605">
        <v>12</v>
      </c>
      <c r="N268" s="3289">
        <v>0.3</v>
      </c>
      <c r="O268" s="4605" t="s">
        <v>2395</v>
      </c>
      <c r="P268" s="4605" t="s">
        <v>2396</v>
      </c>
      <c r="Q268" s="4602" t="s">
        <v>2397</v>
      </c>
      <c r="R268" s="4638">
        <v>1</v>
      </c>
      <c r="S268" s="4641">
        <v>160441641</v>
      </c>
      <c r="T268" s="4602" t="s">
        <v>2398</v>
      </c>
      <c r="U268" s="4602" t="s">
        <v>2399</v>
      </c>
      <c r="V268" s="2540" t="s">
        <v>2400</v>
      </c>
      <c r="W268" s="992">
        <v>100000000</v>
      </c>
      <c r="X268" s="1621">
        <v>52270359</v>
      </c>
      <c r="Y268" s="1621">
        <v>7480000</v>
      </c>
      <c r="Z268" s="2385">
        <v>20</v>
      </c>
      <c r="AA268" s="2437" t="s">
        <v>71</v>
      </c>
      <c r="AB268" s="4608">
        <v>292684</v>
      </c>
      <c r="AC268" s="4714">
        <f>SUM(AB268*0.34)</f>
        <v>99512.560000000012</v>
      </c>
      <c r="AD268" s="4608">
        <v>282326</v>
      </c>
      <c r="AE268" s="4714">
        <f>SUM(AD268*0.34)</f>
        <v>95990.840000000011</v>
      </c>
      <c r="AF268" s="4608">
        <v>135912</v>
      </c>
      <c r="AG268" s="4714">
        <f>SUM(AF268*0.34)</f>
        <v>46210.080000000002</v>
      </c>
      <c r="AH268" s="4608">
        <v>45122</v>
      </c>
      <c r="AI268" s="4714">
        <f>SUM(AH268*0.34)</f>
        <v>15341.480000000001</v>
      </c>
      <c r="AJ268" s="4608">
        <v>307101</v>
      </c>
      <c r="AK268" s="4714">
        <v>104414.34000000001</v>
      </c>
      <c r="AL268" s="4608">
        <v>86875</v>
      </c>
      <c r="AM268" s="4714">
        <f>SUM(AL268*0.34)</f>
        <v>29537.500000000004</v>
      </c>
      <c r="AN268" s="4608">
        <v>2145</v>
      </c>
      <c r="AO268" s="4714">
        <f>SUM(AN268*0.34)</f>
        <v>729.30000000000007</v>
      </c>
      <c r="AP268" s="4608">
        <v>12718</v>
      </c>
      <c r="AQ268" s="4714">
        <f>SUM(AP268*0.34)</f>
        <v>4324.12</v>
      </c>
      <c r="AR268" s="4608">
        <v>26</v>
      </c>
      <c r="AS268" s="4714">
        <f>SUM(AR268*0.34)</f>
        <v>8.84</v>
      </c>
      <c r="AT268" s="4608">
        <v>37</v>
      </c>
      <c r="AU268" s="4714">
        <f>SUM(AT268*0.34)</f>
        <v>12.58</v>
      </c>
      <c r="AV268" s="4608" t="s">
        <v>2015</v>
      </c>
      <c r="AW268" s="4714" t="s">
        <v>2015</v>
      </c>
      <c r="AX268" s="4608" t="s">
        <v>2015</v>
      </c>
      <c r="AY268" s="4714" t="s">
        <v>2015</v>
      </c>
      <c r="AZ268" s="4608">
        <v>53164</v>
      </c>
      <c r="BA268" s="4714">
        <f>SUM(AZ268*0.34)</f>
        <v>18075.760000000002</v>
      </c>
      <c r="BB268" s="4608">
        <v>16982</v>
      </c>
      <c r="BC268" s="4714">
        <f>SUM(BB268*0.34)</f>
        <v>5773.88</v>
      </c>
      <c r="BD268" s="4608">
        <v>60013</v>
      </c>
      <c r="BE268" s="4714">
        <f>SUM(BD268*0.34)</f>
        <v>20404.420000000002</v>
      </c>
      <c r="BF268" s="4608">
        <v>575010</v>
      </c>
      <c r="BG268" s="4714">
        <f>SUM(BF268*0.34)</f>
        <v>195503.40000000002</v>
      </c>
      <c r="BH268" s="3595">
        <v>7</v>
      </c>
      <c r="BI268" s="3409">
        <f>SUM(X268:X273)</f>
        <v>112712000</v>
      </c>
      <c r="BJ268" s="3409">
        <f>SUM(Y268:Y273)</f>
        <v>43520000</v>
      </c>
      <c r="BK268" s="4699">
        <f>+BJ268/BI268</f>
        <v>0.38611682873163461</v>
      </c>
      <c r="BL268" s="3595">
        <v>20</v>
      </c>
      <c r="BM268" s="3191" t="s">
        <v>2332</v>
      </c>
      <c r="BN268" s="3952">
        <v>43466</v>
      </c>
      <c r="BO268" s="3952">
        <v>43467</v>
      </c>
      <c r="BP268" s="3952">
        <v>43830</v>
      </c>
      <c r="BQ268" s="3952" t="s">
        <v>2401</v>
      </c>
      <c r="BR268" s="3190" t="s">
        <v>1983</v>
      </c>
    </row>
    <row r="269" spans="1:70" ht="45" customHeight="1" x14ac:dyDescent="0.2">
      <c r="A269" s="2445"/>
      <c r="B269" s="1596"/>
      <c r="C269" s="1737"/>
      <c r="D269" s="2428"/>
      <c r="E269" s="2429"/>
      <c r="F269" s="2429"/>
      <c r="G269" s="2538"/>
      <c r="H269" s="2538"/>
      <c r="I269" s="2429"/>
      <c r="J269" s="4600"/>
      <c r="K269" s="4603"/>
      <c r="L269" s="4606"/>
      <c r="M269" s="4606"/>
      <c r="N269" s="3289"/>
      <c r="O269" s="4606"/>
      <c r="P269" s="4606"/>
      <c r="Q269" s="4603"/>
      <c r="R269" s="4639"/>
      <c r="S269" s="4642"/>
      <c r="T269" s="4603"/>
      <c r="U269" s="4603"/>
      <c r="V269" s="2540" t="s">
        <v>2402</v>
      </c>
      <c r="W269" s="992">
        <v>10000000</v>
      </c>
      <c r="X269" s="1621">
        <v>10000000</v>
      </c>
      <c r="Y269" s="1621">
        <v>7208000</v>
      </c>
      <c r="Z269" s="2385">
        <v>20</v>
      </c>
      <c r="AA269" s="2437" t="s">
        <v>71</v>
      </c>
      <c r="AB269" s="4609"/>
      <c r="AC269" s="4715"/>
      <c r="AD269" s="4609"/>
      <c r="AE269" s="4715"/>
      <c r="AF269" s="4609"/>
      <c r="AG269" s="4715"/>
      <c r="AH269" s="4609"/>
      <c r="AI269" s="4715"/>
      <c r="AJ269" s="4609">
        <v>307101</v>
      </c>
      <c r="AK269" s="4715">
        <v>104414.34000000001</v>
      </c>
      <c r="AL269" s="4609"/>
      <c r="AM269" s="4715"/>
      <c r="AN269" s="4609"/>
      <c r="AO269" s="4715"/>
      <c r="AP269" s="4609"/>
      <c r="AQ269" s="4715"/>
      <c r="AR269" s="4609"/>
      <c r="AS269" s="4715"/>
      <c r="AT269" s="4609"/>
      <c r="AU269" s="4715"/>
      <c r="AV269" s="4609"/>
      <c r="AW269" s="4715"/>
      <c r="AX269" s="4609"/>
      <c r="AY269" s="4715"/>
      <c r="AZ269" s="4609"/>
      <c r="BA269" s="4715"/>
      <c r="BB269" s="4609"/>
      <c r="BC269" s="4715"/>
      <c r="BD269" s="4609"/>
      <c r="BE269" s="4715"/>
      <c r="BF269" s="4609"/>
      <c r="BG269" s="4715"/>
      <c r="BH269" s="3595"/>
      <c r="BI269" s="3409"/>
      <c r="BJ269" s="3409"/>
      <c r="BK269" s="4699"/>
      <c r="BL269" s="3595"/>
      <c r="BM269" s="3191"/>
      <c r="BN269" s="3970"/>
      <c r="BO269" s="3970"/>
      <c r="BP269" s="3970"/>
      <c r="BQ269" s="3970"/>
      <c r="BR269" s="3595"/>
    </row>
    <row r="270" spans="1:70" ht="71.25" customHeight="1" x14ac:dyDescent="0.2">
      <c r="A270" s="2445"/>
      <c r="B270" s="1596"/>
      <c r="C270" s="1737"/>
      <c r="D270" s="2428"/>
      <c r="E270" s="2429"/>
      <c r="F270" s="2429"/>
      <c r="G270" s="2538"/>
      <c r="H270" s="2538"/>
      <c r="I270" s="2429"/>
      <c r="J270" s="4600"/>
      <c r="K270" s="4603"/>
      <c r="L270" s="4606"/>
      <c r="M270" s="4606"/>
      <c r="N270" s="3289"/>
      <c r="O270" s="4606"/>
      <c r="P270" s="4606"/>
      <c r="Q270" s="4603"/>
      <c r="R270" s="4639"/>
      <c r="S270" s="4642"/>
      <c r="T270" s="4603"/>
      <c r="U270" s="4603"/>
      <c r="V270" s="2540" t="s">
        <v>2403</v>
      </c>
      <c r="W270" s="992">
        <v>15441641</v>
      </c>
      <c r="X270" s="1621">
        <v>15441641</v>
      </c>
      <c r="Y270" s="1621">
        <v>7208000</v>
      </c>
      <c r="Z270" s="2385">
        <v>20</v>
      </c>
      <c r="AA270" s="2437" t="s">
        <v>71</v>
      </c>
      <c r="AB270" s="4609"/>
      <c r="AC270" s="4715"/>
      <c r="AD270" s="4609"/>
      <c r="AE270" s="4715"/>
      <c r="AF270" s="4609"/>
      <c r="AG270" s="4715"/>
      <c r="AH270" s="4609"/>
      <c r="AI270" s="4715"/>
      <c r="AJ270" s="4609">
        <v>307101</v>
      </c>
      <c r="AK270" s="4715">
        <v>104414.34000000001</v>
      </c>
      <c r="AL270" s="4609"/>
      <c r="AM270" s="4715"/>
      <c r="AN270" s="4609"/>
      <c r="AO270" s="4715"/>
      <c r="AP270" s="4609"/>
      <c r="AQ270" s="4715"/>
      <c r="AR270" s="4609"/>
      <c r="AS270" s="4715"/>
      <c r="AT270" s="4609"/>
      <c r="AU270" s="4715"/>
      <c r="AV270" s="4609"/>
      <c r="AW270" s="4715"/>
      <c r="AX270" s="4609"/>
      <c r="AY270" s="4715"/>
      <c r="AZ270" s="4609"/>
      <c r="BA270" s="4715"/>
      <c r="BB270" s="4609"/>
      <c r="BC270" s="4715"/>
      <c r="BD270" s="4609"/>
      <c r="BE270" s="4715"/>
      <c r="BF270" s="4609"/>
      <c r="BG270" s="4715"/>
      <c r="BH270" s="3595"/>
      <c r="BI270" s="3409"/>
      <c r="BJ270" s="3409"/>
      <c r="BK270" s="4699"/>
      <c r="BL270" s="3595"/>
      <c r="BM270" s="3191"/>
      <c r="BN270" s="3970"/>
      <c r="BO270" s="3970"/>
      <c r="BP270" s="3970"/>
      <c r="BQ270" s="3970"/>
      <c r="BR270" s="3595"/>
    </row>
    <row r="271" spans="1:70" ht="50.25" customHeight="1" x14ac:dyDescent="0.2">
      <c r="A271" s="2445"/>
      <c r="B271" s="1596"/>
      <c r="C271" s="1737"/>
      <c r="D271" s="2428"/>
      <c r="E271" s="2429"/>
      <c r="F271" s="2429"/>
      <c r="G271" s="2538"/>
      <c r="H271" s="2538"/>
      <c r="I271" s="2429"/>
      <c r="J271" s="4600"/>
      <c r="K271" s="4603"/>
      <c r="L271" s="4606"/>
      <c r="M271" s="4606"/>
      <c r="N271" s="3289"/>
      <c r="O271" s="4606"/>
      <c r="P271" s="4606"/>
      <c r="Q271" s="4603"/>
      <c r="R271" s="4639"/>
      <c r="S271" s="4642"/>
      <c r="T271" s="4603"/>
      <c r="U271" s="4603"/>
      <c r="V271" s="2540" t="s">
        <v>2404</v>
      </c>
      <c r="W271" s="992">
        <v>10000000</v>
      </c>
      <c r="X271" s="1621">
        <v>10000000</v>
      </c>
      <c r="Y271" s="1621">
        <v>7208000</v>
      </c>
      <c r="Z271" s="2385">
        <v>20</v>
      </c>
      <c r="AA271" s="2437" t="s">
        <v>71</v>
      </c>
      <c r="AB271" s="4609"/>
      <c r="AC271" s="4715"/>
      <c r="AD271" s="4609"/>
      <c r="AE271" s="4715"/>
      <c r="AF271" s="4609"/>
      <c r="AG271" s="4715"/>
      <c r="AH271" s="4609"/>
      <c r="AI271" s="4715"/>
      <c r="AJ271" s="4609">
        <v>307101</v>
      </c>
      <c r="AK271" s="4715">
        <v>104414.34000000001</v>
      </c>
      <c r="AL271" s="4609"/>
      <c r="AM271" s="4715"/>
      <c r="AN271" s="4609"/>
      <c r="AO271" s="4715"/>
      <c r="AP271" s="4609"/>
      <c r="AQ271" s="4715"/>
      <c r="AR271" s="4609"/>
      <c r="AS271" s="4715"/>
      <c r="AT271" s="4609"/>
      <c r="AU271" s="4715"/>
      <c r="AV271" s="4609"/>
      <c r="AW271" s="4715"/>
      <c r="AX271" s="4609"/>
      <c r="AY271" s="4715"/>
      <c r="AZ271" s="4609"/>
      <c r="BA271" s="4715"/>
      <c r="BB271" s="4609"/>
      <c r="BC271" s="4715"/>
      <c r="BD271" s="4609"/>
      <c r="BE271" s="4715"/>
      <c r="BF271" s="4609"/>
      <c r="BG271" s="4715"/>
      <c r="BH271" s="3595"/>
      <c r="BI271" s="3409"/>
      <c r="BJ271" s="3409"/>
      <c r="BK271" s="4699"/>
      <c r="BL271" s="3595"/>
      <c r="BM271" s="3191"/>
      <c r="BN271" s="3970"/>
      <c r="BO271" s="3970"/>
      <c r="BP271" s="3970"/>
      <c r="BQ271" s="3970"/>
      <c r="BR271" s="3595"/>
    </row>
    <row r="272" spans="1:70" ht="58.5" customHeight="1" x14ac:dyDescent="0.2">
      <c r="A272" s="2445"/>
      <c r="B272" s="1596"/>
      <c r="C272" s="1737"/>
      <c r="D272" s="2428"/>
      <c r="E272" s="2429"/>
      <c r="F272" s="2429"/>
      <c r="G272" s="2538"/>
      <c r="H272" s="2538"/>
      <c r="I272" s="2429"/>
      <c r="J272" s="4600"/>
      <c r="K272" s="4603"/>
      <c r="L272" s="4606"/>
      <c r="M272" s="4606"/>
      <c r="N272" s="3289"/>
      <c r="O272" s="4606"/>
      <c r="P272" s="4606"/>
      <c r="Q272" s="4603"/>
      <c r="R272" s="4639"/>
      <c r="S272" s="4642"/>
      <c r="T272" s="4603"/>
      <c r="U272" s="4604"/>
      <c r="V272" s="2540" t="s">
        <v>2405</v>
      </c>
      <c r="W272" s="992">
        <v>10000000</v>
      </c>
      <c r="X272" s="1621">
        <v>10000000</v>
      </c>
      <c r="Y272" s="1621">
        <v>7208000</v>
      </c>
      <c r="Z272" s="2385">
        <v>20</v>
      </c>
      <c r="AA272" s="2437" t="s">
        <v>71</v>
      </c>
      <c r="AB272" s="4609"/>
      <c r="AC272" s="4715"/>
      <c r="AD272" s="4609"/>
      <c r="AE272" s="4715"/>
      <c r="AF272" s="4609"/>
      <c r="AG272" s="4715"/>
      <c r="AH272" s="4609"/>
      <c r="AI272" s="4715"/>
      <c r="AJ272" s="4609">
        <v>307101</v>
      </c>
      <c r="AK272" s="4715">
        <v>104414.34000000001</v>
      </c>
      <c r="AL272" s="4609"/>
      <c r="AM272" s="4715"/>
      <c r="AN272" s="4609"/>
      <c r="AO272" s="4715"/>
      <c r="AP272" s="4609"/>
      <c r="AQ272" s="4715"/>
      <c r="AR272" s="4609"/>
      <c r="AS272" s="4715"/>
      <c r="AT272" s="4609"/>
      <c r="AU272" s="4715"/>
      <c r="AV272" s="4609"/>
      <c r="AW272" s="4715"/>
      <c r="AX272" s="4609"/>
      <c r="AY272" s="4715"/>
      <c r="AZ272" s="4609"/>
      <c r="BA272" s="4715"/>
      <c r="BB272" s="4609"/>
      <c r="BC272" s="4715"/>
      <c r="BD272" s="4609"/>
      <c r="BE272" s="4715"/>
      <c r="BF272" s="4609"/>
      <c r="BG272" s="4715"/>
      <c r="BH272" s="3595"/>
      <c r="BI272" s="3409"/>
      <c r="BJ272" s="3409"/>
      <c r="BK272" s="4699"/>
      <c r="BL272" s="3595"/>
      <c r="BM272" s="3191"/>
      <c r="BN272" s="3970"/>
      <c r="BO272" s="3970"/>
      <c r="BP272" s="3970"/>
      <c r="BQ272" s="3970"/>
      <c r="BR272" s="3595"/>
    </row>
    <row r="273" spans="1:70" ht="80.25" customHeight="1" x14ac:dyDescent="0.2">
      <c r="A273" s="2445"/>
      <c r="B273" s="1596"/>
      <c r="C273" s="1737"/>
      <c r="D273" s="2428"/>
      <c r="E273" s="2429"/>
      <c r="F273" s="2429"/>
      <c r="G273" s="2430"/>
      <c r="H273" s="2430"/>
      <c r="I273" s="2431"/>
      <c r="J273" s="4601"/>
      <c r="K273" s="4604"/>
      <c r="L273" s="4607"/>
      <c r="M273" s="4607"/>
      <c r="N273" s="3289"/>
      <c r="O273" s="4607"/>
      <c r="P273" s="4607"/>
      <c r="Q273" s="4604"/>
      <c r="R273" s="4640"/>
      <c r="S273" s="4643"/>
      <c r="T273" s="4604"/>
      <c r="U273" s="2435" t="s">
        <v>2406</v>
      </c>
      <c r="V273" s="2541" t="s">
        <v>2407</v>
      </c>
      <c r="W273" s="992">
        <v>15000000</v>
      </c>
      <c r="X273" s="1621">
        <v>15000000</v>
      </c>
      <c r="Y273" s="1621">
        <v>7208000</v>
      </c>
      <c r="Z273" s="2385">
        <v>20</v>
      </c>
      <c r="AA273" s="2437" t="s">
        <v>71</v>
      </c>
      <c r="AB273" s="4610"/>
      <c r="AC273" s="4716"/>
      <c r="AD273" s="4610"/>
      <c r="AE273" s="4716"/>
      <c r="AF273" s="4610"/>
      <c r="AG273" s="4716"/>
      <c r="AH273" s="4610"/>
      <c r="AI273" s="4716"/>
      <c r="AJ273" s="4610">
        <v>307101</v>
      </c>
      <c r="AK273" s="4716">
        <v>104414.34000000001</v>
      </c>
      <c r="AL273" s="4610"/>
      <c r="AM273" s="4716"/>
      <c r="AN273" s="4610"/>
      <c r="AO273" s="4716"/>
      <c r="AP273" s="4610"/>
      <c r="AQ273" s="4716"/>
      <c r="AR273" s="4610"/>
      <c r="AS273" s="4716"/>
      <c r="AT273" s="4610"/>
      <c r="AU273" s="4716"/>
      <c r="AV273" s="4610"/>
      <c r="AW273" s="4716"/>
      <c r="AX273" s="4610"/>
      <c r="AY273" s="4716"/>
      <c r="AZ273" s="4610"/>
      <c r="BA273" s="4716"/>
      <c r="BB273" s="4610"/>
      <c r="BC273" s="4716"/>
      <c r="BD273" s="4610"/>
      <c r="BE273" s="4716"/>
      <c r="BF273" s="4610"/>
      <c r="BG273" s="4716"/>
      <c r="BH273" s="3596"/>
      <c r="BI273" s="3410"/>
      <c r="BJ273" s="3410"/>
      <c r="BK273" s="4700"/>
      <c r="BL273" s="3596"/>
      <c r="BM273" s="3192"/>
      <c r="BN273" s="3953"/>
      <c r="BO273" s="3953"/>
      <c r="BP273" s="3953"/>
      <c r="BQ273" s="3953"/>
      <c r="BR273" s="3596"/>
    </row>
    <row r="274" spans="1:70" ht="15.75" x14ac:dyDescent="0.2">
      <c r="A274" s="2445"/>
      <c r="B274" s="1596"/>
      <c r="C274" s="1737"/>
      <c r="D274" s="2402"/>
      <c r="E274" s="2403"/>
      <c r="F274" s="2403"/>
      <c r="G274" s="2432">
        <v>53</v>
      </c>
      <c r="H274" s="2375" t="s">
        <v>2408</v>
      </c>
      <c r="I274" s="2375"/>
      <c r="J274" s="2375"/>
      <c r="K274" s="2407"/>
      <c r="L274" s="2375"/>
      <c r="M274" s="2408"/>
      <c r="N274" s="2408"/>
      <c r="O274" s="2375"/>
      <c r="P274" s="2375"/>
      <c r="Q274" s="2375"/>
      <c r="R274" s="2375"/>
      <c r="S274" s="2375"/>
      <c r="T274" s="2375"/>
      <c r="U274" s="2407"/>
      <c r="V274" s="2407"/>
      <c r="W274" s="2423"/>
      <c r="X274" s="2414"/>
      <c r="Y274" s="2414"/>
      <c r="Z274" s="2530"/>
      <c r="AA274" s="2413"/>
      <c r="AB274" s="2375"/>
      <c r="AC274" s="2375"/>
      <c r="AD274" s="2375"/>
      <c r="AE274" s="2375"/>
      <c r="AF274" s="2375"/>
      <c r="AG274" s="2375"/>
      <c r="AH274" s="2375"/>
      <c r="AI274" s="2375"/>
      <c r="AJ274" s="2375"/>
      <c r="AK274" s="2375"/>
      <c r="AL274" s="2375"/>
      <c r="AM274" s="2375"/>
      <c r="AN274" s="2375"/>
      <c r="AO274" s="2375"/>
      <c r="AP274" s="2375"/>
      <c r="AQ274" s="2375"/>
      <c r="AR274" s="2375"/>
      <c r="AS274" s="2375"/>
      <c r="AT274" s="2375"/>
      <c r="AU274" s="2375"/>
      <c r="AV274" s="2375"/>
      <c r="AW274" s="2375"/>
      <c r="AX274" s="2375"/>
      <c r="AY274" s="2375"/>
      <c r="AZ274" s="2375"/>
      <c r="BA274" s="2375"/>
      <c r="BB274" s="2375"/>
      <c r="BC274" s="2375"/>
      <c r="BD274" s="2375"/>
      <c r="BE274" s="2375"/>
      <c r="BF274" s="2375"/>
      <c r="BG274" s="2375"/>
      <c r="BH274" s="2375"/>
      <c r="BI274" s="2414"/>
      <c r="BJ274" s="2414"/>
      <c r="BK274" s="2375"/>
      <c r="BL274" s="2375"/>
      <c r="BM274" s="2374"/>
      <c r="BN274" s="2465"/>
      <c r="BO274" s="2465"/>
      <c r="BP274" s="2465"/>
      <c r="BQ274" s="2464"/>
      <c r="BR274" s="2375"/>
    </row>
    <row r="275" spans="1:70" ht="60" customHeight="1" x14ac:dyDescent="0.2">
      <c r="A275" s="2445"/>
      <c r="B275" s="1596"/>
      <c r="C275" s="1737"/>
      <c r="D275" s="2378"/>
      <c r="E275" s="2379"/>
      <c r="F275" s="2379"/>
      <c r="G275" s="2382"/>
      <c r="H275" s="2382"/>
      <c r="I275" s="2383"/>
      <c r="J275" s="4599">
        <v>173</v>
      </c>
      <c r="K275" s="4602" t="s">
        <v>2409</v>
      </c>
      <c r="L275" s="4605" t="s">
        <v>1974</v>
      </c>
      <c r="M275" s="4747">
        <v>7</v>
      </c>
      <c r="N275" s="4747">
        <v>3</v>
      </c>
      <c r="O275" s="4605" t="s">
        <v>2410</v>
      </c>
      <c r="P275" s="4605" t="s">
        <v>2411</v>
      </c>
      <c r="Q275" s="4602" t="s">
        <v>2412</v>
      </c>
      <c r="R275" s="4758">
        <f>SUM(W275:W281)/S275</f>
        <v>0.38271604938271603</v>
      </c>
      <c r="S275" s="4641">
        <v>48600000</v>
      </c>
      <c r="T275" s="4602" t="s">
        <v>2413</v>
      </c>
      <c r="U275" s="4602" t="s">
        <v>2414</v>
      </c>
      <c r="V275" s="2542" t="s">
        <v>2415</v>
      </c>
      <c r="W275" s="992">
        <v>2000000</v>
      </c>
      <c r="X275" s="1621">
        <v>1999500</v>
      </c>
      <c r="Y275" s="1621">
        <v>0</v>
      </c>
      <c r="Z275" s="2385">
        <v>20</v>
      </c>
      <c r="AA275" s="2437" t="s">
        <v>71</v>
      </c>
      <c r="AB275" s="4608">
        <v>292684</v>
      </c>
      <c r="AC275" s="4714">
        <f>SUM(AB275*1)</f>
        <v>292684</v>
      </c>
      <c r="AD275" s="4608">
        <v>282326</v>
      </c>
      <c r="AE275" s="4714">
        <f>SUM(AD275*1)</f>
        <v>282326</v>
      </c>
      <c r="AF275" s="4608">
        <v>135912</v>
      </c>
      <c r="AG275" s="4714">
        <f>SUM(AF275*1)</f>
        <v>135912</v>
      </c>
      <c r="AH275" s="4608">
        <v>45122</v>
      </c>
      <c r="AI275" s="4714">
        <f>SUM(AH275*1)</f>
        <v>45122</v>
      </c>
      <c r="AJ275" s="4608">
        <v>307101</v>
      </c>
      <c r="AK275" s="4714">
        <v>307101</v>
      </c>
      <c r="AL275" s="4608">
        <v>86875</v>
      </c>
      <c r="AM275" s="4714">
        <v>86875</v>
      </c>
      <c r="AN275" s="4608">
        <v>2145</v>
      </c>
      <c r="AO275" s="4714">
        <f>SUM(AN275*1)</f>
        <v>2145</v>
      </c>
      <c r="AP275" s="4608">
        <v>12718</v>
      </c>
      <c r="AQ275" s="4714">
        <f>SUM(AP275*1)</f>
        <v>12718</v>
      </c>
      <c r="AR275" s="4608">
        <v>26</v>
      </c>
      <c r="AS275" s="4714">
        <f>SUM(AR275*1)</f>
        <v>26</v>
      </c>
      <c r="AT275" s="4608">
        <v>37</v>
      </c>
      <c r="AU275" s="4714">
        <f>SUM(AT275*1)</f>
        <v>37</v>
      </c>
      <c r="AV275" s="4608" t="s">
        <v>2015</v>
      </c>
      <c r="AW275" s="4714" t="s">
        <v>2015</v>
      </c>
      <c r="AX275" s="4608" t="s">
        <v>2015</v>
      </c>
      <c r="AY275" s="4714" t="s">
        <v>2015</v>
      </c>
      <c r="AZ275" s="4608">
        <v>53164</v>
      </c>
      <c r="BA275" s="4714">
        <f>SUM(AZ275*1)</f>
        <v>53164</v>
      </c>
      <c r="BB275" s="4608">
        <v>16982</v>
      </c>
      <c r="BC275" s="4714">
        <f>SUM(BB275*1)</f>
        <v>16982</v>
      </c>
      <c r="BD275" s="4608">
        <v>60013</v>
      </c>
      <c r="BE275" s="4714">
        <f>SUM(BD275*1)</f>
        <v>60013</v>
      </c>
      <c r="BF275" s="4608">
        <v>575010</v>
      </c>
      <c r="BG275" s="4714">
        <f>SUM(BF275*1)</f>
        <v>575010</v>
      </c>
      <c r="BH275" s="3594">
        <v>4</v>
      </c>
      <c r="BI275" s="3408">
        <f>SUM(X275:X282)</f>
        <v>27980000</v>
      </c>
      <c r="BJ275" s="3408">
        <f>SUM(Y275:Y282)</f>
        <v>5596000</v>
      </c>
      <c r="BK275" s="4698">
        <f>+BJ275/BI275</f>
        <v>0.2</v>
      </c>
      <c r="BL275" s="3594">
        <v>20</v>
      </c>
      <c r="BM275" s="3190" t="s">
        <v>2332</v>
      </c>
      <c r="BN275" s="3952">
        <v>43466</v>
      </c>
      <c r="BO275" s="3952">
        <v>43467</v>
      </c>
      <c r="BP275" s="3952">
        <v>43830</v>
      </c>
      <c r="BQ275" s="4732">
        <v>43830</v>
      </c>
      <c r="BR275" s="3190" t="s">
        <v>1983</v>
      </c>
    </row>
    <row r="276" spans="1:70" ht="58.5" customHeight="1" x14ac:dyDescent="0.2">
      <c r="A276" s="2445"/>
      <c r="B276" s="1596"/>
      <c r="C276" s="1737"/>
      <c r="D276" s="2378"/>
      <c r="E276" s="2379"/>
      <c r="F276" s="2379"/>
      <c r="G276" s="2380"/>
      <c r="H276" s="2380"/>
      <c r="I276" s="2379"/>
      <c r="J276" s="4600"/>
      <c r="K276" s="4603"/>
      <c r="L276" s="4606"/>
      <c r="M276" s="4748"/>
      <c r="N276" s="4748"/>
      <c r="O276" s="4606"/>
      <c r="P276" s="4606"/>
      <c r="Q276" s="4603"/>
      <c r="R276" s="4758"/>
      <c r="S276" s="4642"/>
      <c r="T276" s="4603"/>
      <c r="U276" s="4603"/>
      <c r="V276" s="2542" t="s">
        <v>2416</v>
      </c>
      <c r="W276" s="992">
        <v>2000000</v>
      </c>
      <c r="X276" s="1621">
        <v>1998500</v>
      </c>
      <c r="Y276" s="1621">
        <v>0</v>
      </c>
      <c r="Z276" s="2385">
        <v>20</v>
      </c>
      <c r="AA276" s="2437" t="s">
        <v>71</v>
      </c>
      <c r="AB276" s="4609"/>
      <c r="AC276" s="4715"/>
      <c r="AD276" s="4609"/>
      <c r="AE276" s="4715"/>
      <c r="AF276" s="4609"/>
      <c r="AG276" s="4715"/>
      <c r="AH276" s="4609"/>
      <c r="AI276" s="4715"/>
      <c r="AJ276" s="4609">
        <v>307101</v>
      </c>
      <c r="AK276" s="4715">
        <v>307101</v>
      </c>
      <c r="AL276" s="4609">
        <v>86875</v>
      </c>
      <c r="AM276" s="4715">
        <v>86875</v>
      </c>
      <c r="AN276" s="4609"/>
      <c r="AO276" s="4715"/>
      <c r="AP276" s="4609"/>
      <c r="AQ276" s="4715"/>
      <c r="AR276" s="4609"/>
      <c r="AS276" s="4715"/>
      <c r="AT276" s="4609"/>
      <c r="AU276" s="4715"/>
      <c r="AV276" s="4609"/>
      <c r="AW276" s="4715"/>
      <c r="AX276" s="4609"/>
      <c r="AY276" s="4715"/>
      <c r="AZ276" s="4609"/>
      <c r="BA276" s="4715"/>
      <c r="BB276" s="4609"/>
      <c r="BC276" s="4715"/>
      <c r="BD276" s="4609"/>
      <c r="BE276" s="4715"/>
      <c r="BF276" s="4609"/>
      <c r="BG276" s="4715"/>
      <c r="BH276" s="3595"/>
      <c r="BI276" s="3409"/>
      <c r="BJ276" s="3409"/>
      <c r="BK276" s="4699"/>
      <c r="BL276" s="3595"/>
      <c r="BM276" s="3191"/>
      <c r="BN276" s="3970"/>
      <c r="BO276" s="3970"/>
      <c r="BP276" s="3970"/>
      <c r="BQ276" s="3191"/>
      <c r="BR276" s="3595"/>
    </row>
    <row r="277" spans="1:70" ht="78.75" customHeight="1" x14ac:dyDescent="0.2">
      <c r="A277" s="2445"/>
      <c r="B277" s="1596"/>
      <c r="C277" s="1737"/>
      <c r="D277" s="2378"/>
      <c r="E277" s="2379"/>
      <c r="F277" s="2379"/>
      <c r="G277" s="2380"/>
      <c r="H277" s="2380"/>
      <c r="I277" s="2379"/>
      <c r="J277" s="4600"/>
      <c r="K277" s="4603"/>
      <c r="L277" s="4606"/>
      <c r="M277" s="4748"/>
      <c r="N277" s="4748"/>
      <c r="O277" s="4606"/>
      <c r="P277" s="4606"/>
      <c r="Q277" s="4603"/>
      <c r="R277" s="4758"/>
      <c r="S277" s="4642"/>
      <c r="T277" s="4603"/>
      <c r="U277" s="4604"/>
      <c r="V277" s="2542" t="s">
        <v>2417</v>
      </c>
      <c r="W277" s="992">
        <v>2000000</v>
      </c>
      <c r="X277" s="1621">
        <v>1998500</v>
      </c>
      <c r="Y277" s="1621">
        <v>0</v>
      </c>
      <c r="Z277" s="2385">
        <v>20</v>
      </c>
      <c r="AA277" s="2437" t="s">
        <v>71</v>
      </c>
      <c r="AB277" s="4609"/>
      <c r="AC277" s="4715"/>
      <c r="AD277" s="4609"/>
      <c r="AE277" s="4715"/>
      <c r="AF277" s="4609"/>
      <c r="AG277" s="4715"/>
      <c r="AH277" s="4609"/>
      <c r="AI277" s="4715"/>
      <c r="AJ277" s="4609">
        <v>307101</v>
      </c>
      <c r="AK277" s="4715">
        <v>307101</v>
      </c>
      <c r="AL277" s="4609">
        <v>86875</v>
      </c>
      <c r="AM277" s="4715">
        <v>86875</v>
      </c>
      <c r="AN277" s="4609"/>
      <c r="AO277" s="4715"/>
      <c r="AP277" s="4609"/>
      <c r="AQ277" s="4715"/>
      <c r="AR277" s="4609"/>
      <c r="AS277" s="4715"/>
      <c r="AT277" s="4609"/>
      <c r="AU277" s="4715"/>
      <c r="AV277" s="4609"/>
      <c r="AW277" s="4715"/>
      <c r="AX277" s="4609"/>
      <c r="AY277" s="4715"/>
      <c r="AZ277" s="4609"/>
      <c r="BA277" s="4715"/>
      <c r="BB277" s="4609"/>
      <c r="BC277" s="4715"/>
      <c r="BD277" s="4609"/>
      <c r="BE277" s="4715"/>
      <c r="BF277" s="4609"/>
      <c r="BG277" s="4715"/>
      <c r="BH277" s="3595"/>
      <c r="BI277" s="3409"/>
      <c r="BJ277" s="3409"/>
      <c r="BK277" s="4699"/>
      <c r="BL277" s="3595"/>
      <c r="BM277" s="3191"/>
      <c r="BN277" s="3970"/>
      <c r="BO277" s="3970"/>
      <c r="BP277" s="3970"/>
      <c r="BQ277" s="3191"/>
      <c r="BR277" s="3595"/>
    </row>
    <row r="278" spans="1:70" ht="60" x14ac:dyDescent="0.2">
      <c r="A278" s="2445"/>
      <c r="B278" s="1596"/>
      <c r="C278" s="1737"/>
      <c r="D278" s="2378"/>
      <c r="E278" s="2379"/>
      <c r="F278" s="2379"/>
      <c r="G278" s="2380"/>
      <c r="H278" s="2380"/>
      <c r="I278" s="2379"/>
      <c r="J278" s="4600"/>
      <c r="K278" s="4603"/>
      <c r="L278" s="4606"/>
      <c r="M278" s="4748"/>
      <c r="N278" s="4748"/>
      <c r="O278" s="4606"/>
      <c r="P278" s="4606"/>
      <c r="Q278" s="4603"/>
      <c r="R278" s="4758"/>
      <c r="S278" s="4642"/>
      <c r="T278" s="4603"/>
      <c r="U278" s="2416" t="s">
        <v>2418</v>
      </c>
      <c r="V278" s="2542" t="s">
        <v>2419</v>
      </c>
      <c r="W278" s="992">
        <v>5000000</v>
      </c>
      <c r="X278" s="1621">
        <v>1998500</v>
      </c>
      <c r="Y278" s="1621">
        <v>0</v>
      </c>
      <c r="Z278" s="2385">
        <v>20</v>
      </c>
      <c r="AA278" s="2437" t="s">
        <v>71</v>
      </c>
      <c r="AB278" s="4609"/>
      <c r="AC278" s="4715"/>
      <c r="AD278" s="4609"/>
      <c r="AE278" s="4715"/>
      <c r="AF278" s="4609"/>
      <c r="AG278" s="4715"/>
      <c r="AH278" s="4609"/>
      <c r="AI278" s="4715"/>
      <c r="AJ278" s="4609">
        <v>307101</v>
      </c>
      <c r="AK278" s="4715">
        <v>307101</v>
      </c>
      <c r="AL278" s="4609">
        <v>86875</v>
      </c>
      <c r="AM278" s="4715">
        <v>86875</v>
      </c>
      <c r="AN278" s="4609"/>
      <c r="AO278" s="4715"/>
      <c r="AP278" s="4609"/>
      <c r="AQ278" s="4715"/>
      <c r="AR278" s="4609"/>
      <c r="AS278" s="4715"/>
      <c r="AT278" s="4609"/>
      <c r="AU278" s="4715"/>
      <c r="AV278" s="4609"/>
      <c r="AW278" s="4715"/>
      <c r="AX278" s="4609"/>
      <c r="AY278" s="4715"/>
      <c r="AZ278" s="4609"/>
      <c r="BA278" s="4715"/>
      <c r="BB278" s="4609"/>
      <c r="BC278" s="4715"/>
      <c r="BD278" s="4609"/>
      <c r="BE278" s="4715"/>
      <c r="BF278" s="4609"/>
      <c r="BG278" s="4715"/>
      <c r="BH278" s="3595"/>
      <c r="BI278" s="3409"/>
      <c r="BJ278" s="3409"/>
      <c r="BK278" s="4699"/>
      <c r="BL278" s="3595"/>
      <c r="BM278" s="3191"/>
      <c r="BN278" s="3970"/>
      <c r="BO278" s="3970"/>
      <c r="BP278" s="3970"/>
      <c r="BQ278" s="3191"/>
      <c r="BR278" s="3595"/>
    </row>
    <row r="279" spans="1:70" ht="61.5" customHeight="1" x14ac:dyDescent="0.2">
      <c r="A279" s="2445"/>
      <c r="B279" s="1596"/>
      <c r="C279" s="1737"/>
      <c r="D279" s="2378"/>
      <c r="E279" s="2379"/>
      <c r="F279" s="2379"/>
      <c r="G279" s="2380"/>
      <c r="H279" s="2380"/>
      <c r="I279" s="2379"/>
      <c r="J279" s="4600"/>
      <c r="K279" s="4603"/>
      <c r="L279" s="4606"/>
      <c r="M279" s="4748"/>
      <c r="N279" s="4748"/>
      <c r="O279" s="4606"/>
      <c r="P279" s="4606"/>
      <c r="Q279" s="4603"/>
      <c r="R279" s="4758"/>
      <c r="S279" s="4642"/>
      <c r="T279" s="4603"/>
      <c r="U279" s="4602" t="s">
        <v>2420</v>
      </c>
      <c r="V279" s="2542" t="s">
        <v>2421</v>
      </c>
      <c r="W279" s="992">
        <v>3000000</v>
      </c>
      <c r="X279" s="1621">
        <v>1998500</v>
      </c>
      <c r="Y279" s="1621">
        <v>0</v>
      </c>
      <c r="Z279" s="2385">
        <v>20</v>
      </c>
      <c r="AA279" s="2437" t="s">
        <v>71</v>
      </c>
      <c r="AB279" s="4609"/>
      <c r="AC279" s="4715"/>
      <c r="AD279" s="4609"/>
      <c r="AE279" s="4715"/>
      <c r="AF279" s="4609"/>
      <c r="AG279" s="4715"/>
      <c r="AH279" s="4609"/>
      <c r="AI279" s="4715"/>
      <c r="AJ279" s="4609">
        <v>307101</v>
      </c>
      <c r="AK279" s="4715">
        <v>307101</v>
      </c>
      <c r="AL279" s="4609">
        <v>86875</v>
      </c>
      <c r="AM279" s="4715">
        <v>86875</v>
      </c>
      <c r="AN279" s="4609"/>
      <c r="AO279" s="4715"/>
      <c r="AP279" s="4609"/>
      <c r="AQ279" s="4715"/>
      <c r="AR279" s="4609"/>
      <c r="AS279" s="4715"/>
      <c r="AT279" s="4609"/>
      <c r="AU279" s="4715"/>
      <c r="AV279" s="4609"/>
      <c r="AW279" s="4715"/>
      <c r="AX279" s="4609"/>
      <c r="AY279" s="4715"/>
      <c r="AZ279" s="4609"/>
      <c r="BA279" s="4715"/>
      <c r="BB279" s="4609"/>
      <c r="BC279" s="4715"/>
      <c r="BD279" s="4609"/>
      <c r="BE279" s="4715"/>
      <c r="BF279" s="4609"/>
      <c r="BG279" s="4715"/>
      <c r="BH279" s="3595"/>
      <c r="BI279" s="3409"/>
      <c r="BJ279" s="3409"/>
      <c r="BK279" s="4699"/>
      <c r="BL279" s="3595"/>
      <c r="BM279" s="3191"/>
      <c r="BN279" s="3970"/>
      <c r="BO279" s="3970"/>
      <c r="BP279" s="3970"/>
      <c r="BQ279" s="3191"/>
      <c r="BR279" s="3595"/>
    </row>
    <row r="280" spans="1:70" ht="90" customHeight="1" x14ac:dyDescent="0.2">
      <c r="A280" s="2445"/>
      <c r="B280" s="1596"/>
      <c r="C280" s="1737"/>
      <c r="D280" s="2378"/>
      <c r="E280" s="2379"/>
      <c r="F280" s="2379"/>
      <c r="G280" s="2380"/>
      <c r="H280" s="2380"/>
      <c r="I280" s="2379"/>
      <c r="J280" s="4600"/>
      <c r="K280" s="4603"/>
      <c r="L280" s="4606"/>
      <c r="M280" s="4748"/>
      <c r="N280" s="4748"/>
      <c r="O280" s="4606"/>
      <c r="P280" s="4606"/>
      <c r="Q280" s="4603"/>
      <c r="R280" s="4758"/>
      <c r="S280" s="4642"/>
      <c r="T280" s="4603"/>
      <c r="U280" s="4603"/>
      <c r="V280" s="2542" t="s">
        <v>2422</v>
      </c>
      <c r="W280" s="992">
        <v>3000000</v>
      </c>
      <c r="X280" s="1621">
        <v>1998500</v>
      </c>
      <c r="Y280" s="1621">
        <v>0</v>
      </c>
      <c r="Z280" s="2385">
        <v>20</v>
      </c>
      <c r="AA280" s="2437" t="s">
        <v>71</v>
      </c>
      <c r="AB280" s="4609"/>
      <c r="AC280" s="4715"/>
      <c r="AD280" s="4609"/>
      <c r="AE280" s="4715"/>
      <c r="AF280" s="4609"/>
      <c r="AG280" s="4715"/>
      <c r="AH280" s="4609"/>
      <c r="AI280" s="4715"/>
      <c r="AJ280" s="4609">
        <v>307101</v>
      </c>
      <c r="AK280" s="4715">
        <v>307101</v>
      </c>
      <c r="AL280" s="4609">
        <v>86875</v>
      </c>
      <c r="AM280" s="4715">
        <v>86875</v>
      </c>
      <c r="AN280" s="4609"/>
      <c r="AO280" s="4715"/>
      <c r="AP280" s="4609"/>
      <c r="AQ280" s="4715"/>
      <c r="AR280" s="4609"/>
      <c r="AS280" s="4715"/>
      <c r="AT280" s="4609"/>
      <c r="AU280" s="4715"/>
      <c r="AV280" s="4609"/>
      <c r="AW280" s="4715"/>
      <c r="AX280" s="4609"/>
      <c r="AY280" s="4715"/>
      <c r="AZ280" s="4609"/>
      <c r="BA280" s="4715"/>
      <c r="BB280" s="4609"/>
      <c r="BC280" s="4715"/>
      <c r="BD280" s="4609"/>
      <c r="BE280" s="4715"/>
      <c r="BF280" s="4609"/>
      <c r="BG280" s="4715"/>
      <c r="BH280" s="3595"/>
      <c r="BI280" s="3409"/>
      <c r="BJ280" s="3409"/>
      <c r="BK280" s="4699"/>
      <c r="BL280" s="3595"/>
      <c r="BM280" s="3191"/>
      <c r="BN280" s="3970"/>
      <c r="BO280" s="3970"/>
      <c r="BP280" s="3970"/>
      <c r="BQ280" s="3191"/>
      <c r="BR280" s="3595"/>
    </row>
    <row r="281" spans="1:70" ht="65.25" customHeight="1" x14ac:dyDescent="0.2">
      <c r="A281" s="2445"/>
      <c r="B281" s="1596"/>
      <c r="C281" s="1737"/>
      <c r="D281" s="2378"/>
      <c r="E281" s="2379"/>
      <c r="F281" s="2379"/>
      <c r="G281" s="2380"/>
      <c r="H281" s="2380"/>
      <c r="I281" s="2379"/>
      <c r="J281" s="4601"/>
      <c r="K281" s="4604"/>
      <c r="L281" s="4606"/>
      <c r="M281" s="4757"/>
      <c r="N281" s="4757"/>
      <c r="O281" s="4606"/>
      <c r="P281" s="4606"/>
      <c r="Q281" s="4603"/>
      <c r="R281" s="4758"/>
      <c r="S281" s="4642"/>
      <c r="T281" s="4603"/>
      <c r="U281" s="4603"/>
      <c r="V281" s="2542" t="s">
        <v>2423</v>
      </c>
      <c r="W281" s="992">
        <v>1600000</v>
      </c>
      <c r="X281" s="1621">
        <v>1998000</v>
      </c>
      <c r="Y281" s="1621">
        <v>0</v>
      </c>
      <c r="Z281" s="2385">
        <v>20</v>
      </c>
      <c r="AA281" s="2437" t="s">
        <v>71</v>
      </c>
      <c r="AB281" s="4609"/>
      <c r="AC281" s="4715"/>
      <c r="AD281" s="4609"/>
      <c r="AE281" s="4715"/>
      <c r="AF281" s="4609"/>
      <c r="AG281" s="4715"/>
      <c r="AH281" s="4609"/>
      <c r="AI281" s="4715"/>
      <c r="AJ281" s="4609">
        <v>307101</v>
      </c>
      <c r="AK281" s="4715">
        <v>307101</v>
      </c>
      <c r="AL281" s="4609">
        <v>86875</v>
      </c>
      <c r="AM281" s="4715">
        <v>86875</v>
      </c>
      <c r="AN281" s="4609"/>
      <c r="AO281" s="4715"/>
      <c r="AP281" s="4609"/>
      <c r="AQ281" s="4715"/>
      <c r="AR281" s="4609"/>
      <c r="AS281" s="4715"/>
      <c r="AT281" s="4609"/>
      <c r="AU281" s="4715"/>
      <c r="AV281" s="4609"/>
      <c r="AW281" s="4715"/>
      <c r="AX281" s="4609"/>
      <c r="AY281" s="4715"/>
      <c r="AZ281" s="4609"/>
      <c r="BA281" s="4715"/>
      <c r="BB281" s="4609"/>
      <c r="BC281" s="4715"/>
      <c r="BD281" s="4609"/>
      <c r="BE281" s="4715"/>
      <c r="BF281" s="4609"/>
      <c r="BG281" s="4715"/>
      <c r="BH281" s="3595"/>
      <c r="BI281" s="3409"/>
      <c r="BJ281" s="3409"/>
      <c r="BK281" s="4699"/>
      <c r="BL281" s="3595"/>
      <c r="BM281" s="3191"/>
      <c r="BN281" s="3970"/>
      <c r="BO281" s="3970"/>
      <c r="BP281" s="3970"/>
      <c r="BQ281" s="3191"/>
      <c r="BR281" s="3595"/>
    </row>
    <row r="282" spans="1:70" ht="96" customHeight="1" x14ac:dyDescent="0.2">
      <c r="A282" s="2445"/>
      <c r="B282" s="1596"/>
      <c r="C282" s="1737"/>
      <c r="D282" s="2531"/>
      <c r="E282" s="2532"/>
      <c r="F282" s="2532"/>
      <c r="G282" s="2543"/>
      <c r="H282" s="2543"/>
      <c r="I282" s="2544"/>
      <c r="J282" s="2545">
        <v>174</v>
      </c>
      <c r="K282" s="2546" t="s">
        <v>2424</v>
      </c>
      <c r="L282" s="2437" t="s">
        <v>1974</v>
      </c>
      <c r="M282" s="2437">
        <v>150</v>
      </c>
      <c r="N282" s="2437">
        <v>15</v>
      </c>
      <c r="O282" s="4607"/>
      <c r="P282" s="4607"/>
      <c r="Q282" s="4604"/>
      <c r="R282" s="1421">
        <f>W282/S275</f>
        <v>0.61728395061728392</v>
      </c>
      <c r="S282" s="4643"/>
      <c r="T282" s="4604"/>
      <c r="U282" s="4604"/>
      <c r="V282" s="2435" t="s">
        <v>2425</v>
      </c>
      <c r="W282" s="992">
        <v>30000000</v>
      </c>
      <c r="X282" s="1621">
        <v>13990000</v>
      </c>
      <c r="Y282" s="1621">
        <v>5596000</v>
      </c>
      <c r="Z282" s="2385">
        <v>20</v>
      </c>
      <c r="AA282" s="2437" t="s">
        <v>71</v>
      </c>
      <c r="AB282" s="4610"/>
      <c r="AC282" s="4716"/>
      <c r="AD282" s="4610"/>
      <c r="AE282" s="4716"/>
      <c r="AF282" s="4610"/>
      <c r="AG282" s="4716"/>
      <c r="AH282" s="4610"/>
      <c r="AI282" s="4716"/>
      <c r="AJ282" s="4610">
        <v>307101</v>
      </c>
      <c r="AK282" s="4716">
        <v>307101</v>
      </c>
      <c r="AL282" s="4610">
        <v>86875</v>
      </c>
      <c r="AM282" s="4716">
        <v>86875</v>
      </c>
      <c r="AN282" s="4610"/>
      <c r="AO282" s="4716"/>
      <c r="AP282" s="4610"/>
      <c r="AQ282" s="4716"/>
      <c r="AR282" s="4610"/>
      <c r="AS282" s="4716"/>
      <c r="AT282" s="4610"/>
      <c r="AU282" s="4716"/>
      <c r="AV282" s="4610"/>
      <c r="AW282" s="4716"/>
      <c r="AX282" s="4610"/>
      <c r="AY282" s="4716"/>
      <c r="AZ282" s="4610"/>
      <c r="BA282" s="4716"/>
      <c r="BB282" s="4610"/>
      <c r="BC282" s="4716"/>
      <c r="BD282" s="4610"/>
      <c r="BE282" s="4716"/>
      <c r="BF282" s="4610"/>
      <c r="BG282" s="4716"/>
      <c r="BH282" s="3596"/>
      <c r="BI282" s="3410"/>
      <c r="BJ282" s="3410"/>
      <c r="BK282" s="4700"/>
      <c r="BL282" s="3596"/>
      <c r="BM282" s="3192"/>
      <c r="BN282" s="3953"/>
      <c r="BO282" s="3953"/>
      <c r="BP282" s="3953"/>
      <c r="BQ282" s="3192"/>
      <c r="BR282" s="3596"/>
    </row>
    <row r="283" spans="1:70" ht="15.75" x14ac:dyDescent="0.2">
      <c r="A283" s="2445"/>
      <c r="B283" s="1596"/>
      <c r="C283" s="1737"/>
      <c r="D283" s="2402"/>
      <c r="E283" s="2403"/>
      <c r="F283" s="2403"/>
      <c r="G283" s="2439">
        <v>54</v>
      </c>
      <c r="H283" s="2440" t="s">
        <v>2426</v>
      </c>
      <c r="I283" s="2440"/>
      <c r="J283" s="2375"/>
      <c r="K283" s="2407"/>
      <c r="L283" s="2375"/>
      <c r="M283" s="2408"/>
      <c r="N283" s="2408"/>
      <c r="O283" s="2375"/>
      <c r="P283" s="2375"/>
      <c r="Q283" s="2375"/>
      <c r="R283" s="2375"/>
      <c r="S283" s="2375"/>
      <c r="T283" s="2375"/>
      <c r="U283" s="2407"/>
      <c r="V283" s="2407"/>
      <c r="W283" s="2423"/>
      <c r="X283" s="2414"/>
      <c r="Y283" s="2414"/>
      <c r="Z283" s="2530"/>
      <c r="AA283" s="2413"/>
      <c r="AB283" s="2375"/>
      <c r="AC283" s="2375"/>
      <c r="AD283" s="2375"/>
      <c r="AE283" s="2375"/>
      <c r="AF283" s="2375"/>
      <c r="AG283" s="2375"/>
      <c r="AH283" s="2375"/>
      <c r="AI283" s="2375"/>
      <c r="AJ283" s="2375"/>
      <c r="AK283" s="2375"/>
      <c r="AL283" s="2375"/>
      <c r="AM283" s="2375"/>
      <c r="AN283" s="2375"/>
      <c r="AO283" s="2375"/>
      <c r="AP283" s="2375"/>
      <c r="AQ283" s="2375"/>
      <c r="AR283" s="2375"/>
      <c r="AS283" s="2375"/>
      <c r="AT283" s="2375"/>
      <c r="AU283" s="2375"/>
      <c r="AV283" s="2375"/>
      <c r="AW283" s="2375"/>
      <c r="AX283" s="2375"/>
      <c r="AY283" s="2375"/>
      <c r="AZ283" s="2375"/>
      <c r="BA283" s="2375"/>
      <c r="BB283" s="2375"/>
      <c r="BC283" s="2375"/>
      <c r="BD283" s="2375"/>
      <c r="BE283" s="2375"/>
      <c r="BF283" s="2375"/>
      <c r="BG283" s="2375"/>
      <c r="BH283" s="2375"/>
      <c r="BI283" s="2414"/>
      <c r="BJ283" s="2414"/>
      <c r="BK283" s="2375"/>
      <c r="BL283" s="2375"/>
      <c r="BM283" s="2374"/>
      <c r="BN283" s="2465"/>
      <c r="BO283" s="2465"/>
      <c r="BP283" s="2465"/>
      <c r="BQ283" s="2464"/>
      <c r="BR283" s="2434"/>
    </row>
    <row r="284" spans="1:70" ht="43.5" customHeight="1" x14ac:dyDescent="0.2">
      <c r="A284" s="2445"/>
      <c r="B284" s="1596"/>
      <c r="C284" s="1737"/>
      <c r="D284" s="2378"/>
      <c r="E284" s="2379"/>
      <c r="F284" s="2380"/>
      <c r="G284" s="2381"/>
      <c r="H284" s="2382"/>
      <c r="I284" s="2383"/>
      <c r="J284" s="4599">
        <v>175</v>
      </c>
      <c r="K284" s="4759" t="s">
        <v>2427</v>
      </c>
      <c r="L284" s="4671" t="s">
        <v>1974</v>
      </c>
      <c r="M284" s="4671">
        <v>14</v>
      </c>
      <c r="N284" s="4671">
        <v>0.4</v>
      </c>
      <c r="O284" s="4671" t="s">
        <v>2428</v>
      </c>
      <c r="P284" s="4671" t="s">
        <v>2429</v>
      </c>
      <c r="Q284" s="4677" t="s">
        <v>2430</v>
      </c>
      <c r="R284" s="4683">
        <f>SUM(W284:W286)/S284</f>
        <v>0.70059880239520955</v>
      </c>
      <c r="S284" s="4641">
        <v>40080000</v>
      </c>
      <c r="T284" s="4677" t="s">
        <v>2431</v>
      </c>
      <c r="U284" s="4761" t="s">
        <v>2432</v>
      </c>
      <c r="V284" s="2542" t="s">
        <v>2433</v>
      </c>
      <c r="W284" s="2547">
        <v>10000000</v>
      </c>
      <c r="X284" s="1621">
        <v>7660000</v>
      </c>
      <c r="Y284" s="1621">
        <v>1866000</v>
      </c>
      <c r="Z284" s="2385">
        <v>20</v>
      </c>
      <c r="AA284" s="2437" t="s">
        <v>71</v>
      </c>
      <c r="AB284" s="4608">
        <v>292684</v>
      </c>
      <c r="AC284" s="4714">
        <f>SUM(AB284*0.49)</f>
        <v>143415.16</v>
      </c>
      <c r="AD284" s="4608">
        <v>282326</v>
      </c>
      <c r="AE284" s="4714">
        <f>SUM(AD284*0.49)</f>
        <v>138339.74</v>
      </c>
      <c r="AF284" s="4608">
        <v>135912</v>
      </c>
      <c r="AG284" s="4714">
        <f>SUM(AF284*0.49)</f>
        <v>66596.88</v>
      </c>
      <c r="AH284" s="4608">
        <v>45122</v>
      </c>
      <c r="AI284" s="4714">
        <f>SUM(AH284*0.49)</f>
        <v>22109.78</v>
      </c>
      <c r="AJ284" s="4763">
        <v>307101</v>
      </c>
      <c r="AK284" s="4647">
        <v>150479.49</v>
      </c>
      <c r="AL284" s="4763">
        <v>86875</v>
      </c>
      <c r="AM284" s="4647">
        <v>42568.75</v>
      </c>
      <c r="AN284" s="4608">
        <v>2145</v>
      </c>
      <c r="AO284" s="4714">
        <f>SUM(AN284*0.49)</f>
        <v>1051.05</v>
      </c>
      <c r="AP284" s="4608">
        <v>12718</v>
      </c>
      <c r="AQ284" s="4714">
        <f>SUM(AP284*0.49)</f>
        <v>6231.82</v>
      </c>
      <c r="AR284" s="4608">
        <v>26</v>
      </c>
      <c r="AS284" s="4714">
        <f>SUM(AR284*0.49)</f>
        <v>12.74</v>
      </c>
      <c r="AT284" s="4608">
        <v>37</v>
      </c>
      <c r="AU284" s="4714">
        <f>SUM(AT284*0.49)</f>
        <v>18.13</v>
      </c>
      <c r="AV284" s="4608" t="s">
        <v>2015</v>
      </c>
      <c r="AW284" s="4714" t="s">
        <v>2015</v>
      </c>
      <c r="AX284" s="4608" t="s">
        <v>2015</v>
      </c>
      <c r="AY284" s="4714" t="s">
        <v>2015</v>
      </c>
      <c r="AZ284" s="4608">
        <v>53164</v>
      </c>
      <c r="BA284" s="4714">
        <f>SUM(AZ284*0.49)</f>
        <v>26050.36</v>
      </c>
      <c r="BB284" s="4608">
        <v>16982</v>
      </c>
      <c r="BC284" s="4714">
        <f>SUM(BB284*0.49)</f>
        <v>8321.18</v>
      </c>
      <c r="BD284" s="4608">
        <v>60013</v>
      </c>
      <c r="BE284" s="4714">
        <f>SUM(BD284*0.49)</f>
        <v>29406.37</v>
      </c>
      <c r="BF284" s="4608">
        <v>575010</v>
      </c>
      <c r="BG284" s="4714">
        <f>SUM(BF284*0.49)</f>
        <v>281754.90000000002</v>
      </c>
      <c r="BH284" s="4006">
        <v>3</v>
      </c>
      <c r="BI284" s="4667">
        <f>SUM(X284:X287)</f>
        <v>27980000</v>
      </c>
      <c r="BJ284" s="4667">
        <f>SUM(Y284:Y287)</f>
        <v>8394000</v>
      </c>
      <c r="BK284" s="4669">
        <f>+BJ284/BI284</f>
        <v>0.3</v>
      </c>
      <c r="BL284" s="4006">
        <v>20</v>
      </c>
      <c r="BM284" s="4666" t="s">
        <v>2332</v>
      </c>
      <c r="BN284" s="4721">
        <v>43466</v>
      </c>
      <c r="BO284" s="4721">
        <v>43467</v>
      </c>
      <c r="BP284" s="4721">
        <v>43830</v>
      </c>
      <c r="BQ284" s="4724">
        <v>43830</v>
      </c>
      <c r="BR284" s="3190" t="s">
        <v>1983</v>
      </c>
    </row>
    <row r="285" spans="1:70" ht="45" customHeight="1" x14ac:dyDescent="0.2">
      <c r="A285" s="2445"/>
      <c r="B285" s="1596"/>
      <c r="C285" s="1737"/>
      <c r="D285" s="2378"/>
      <c r="E285" s="2379"/>
      <c r="F285" s="2380"/>
      <c r="G285" s="2377"/>
      <c r="H285" s="2378"/>
      <c r="I285" s="2379"/>
      <c r="J285" s="4600"/>
      <c r="K285" s="4760"/>
      <c r="L285" s="4672"/>
      <c r="M285" s="4672"/>
      <c r="N285" s="4672"/>
      <c r="O285" s="4672"/>
      <c r="P285" s="4672"/>
      <c r="Q285" s="4678"/>
      <c r="R285" s="4684"/>
      <c r="S285" s="4642"/>
      <c r="T285" s="4678"/>
      <c r="U285" s="4761"/>
      <c r="V285" s="2542" t="s">
        <v>2434</v>
      </c>
      <c r="W285" s="2547">
        <v>8080000</v>
      </c>
      <c r="X285" s="1621">
        <v>7660000</v>
      </c>
      <c r="Y285" s="1621">
        <v>1865000</v>
      </c>
      <c r="Z285" s="2385">
        <v>20</v>
      </c>
      <c r="AA285" s="2437" t="s">
        <v>71</v>
      </c>
      <c r="AB285" s="4609"/>
      <c r="AC285" s="4715"/>
      <c r="AD285" s="4609"/>
      <c r="AE285" s="4715"/>
      <c r="AF285" s="4609"/>
      <c r="AG285" s="4715"/>
      <c r="AH285" s="4609"/>
      <c r="AI285" s="4715"/>
      <c r="AJ285" s="4764"/>
      <c r="AK285" s="4648"/>
      <c r="AL285" s="4764">
        <v>86875</v>
      </c>
      <c r="AM285" s="4648">
        <v>42568.75</v>
      </c>
      <c r="AN285" s="4609"/>
      <c r="AO285" s="4715"/>
      <c r="AP285" s="4609"/>
      <c r="AQ285" s="4715"/>
      <c r="AR285" s="4609"/>
      <c r="AS285" s="4715"/>
      <c r="AT285" s="4609"/>
      <c r="AU285" s="4715"/>
      <c r="AV285" s="4609"/>
      <c r="AW285" s="4715"/>
      <c r="AX285" s="4609"/>
      <c r="AY285" s="4715"/>
      <c r="AZ285" s="4609"/>
      <c r="BA285" s="4715"/>
      <c r="BB285" s="4609"/>
      <c r="BC285" s="4715"/>
      <c r="BD285" s="4609"/>
      <c r="BE285" s="4715"/>
      <c r="BF285" s="4609"/>
      <c r="BG285" s="4715"/>
      <c r="BH285" s="4665"/>
      <c r="BI285" s="4668"/>
      <c r="BJ285" s="4668"/>
      <c r="BK285" s="4670"/>
      <c r="BL285" s="4665"/>
      <c r="BM285" s="4365"/>
      <c r="BN285" s="4722"/>
      <c r="BO285" s="4722"/>
      <c r="BP285" s="4722"/>
      <c r="BQ285" s="4365"/>
      <c r="BR285" s="3595"/>
    </row>
    <row r="286" spans="1:70" ht="50.25" customHeight="1" x14ac:dyDescent="0.2">
      <c r="A286" s="2445"/>
      <c r="B286" s="1596"/>
      <c r="C286" s="1737"/>
      <c r="D286" s="2378"/>
      <c r="E286" s="2379"/>
      <c r="F286" s="2380"/>
      <c r="G286" s="2377"/>
      <c r="H286" s="2380"/>
      <c r="I286" s="2379"/>
      <c r="J286" s="4600"/>
      <c r="K286" s="4760"/>
      <c r="L286" s="4672"/>
      <c r="M286" s="4672"/>
      <c r="N286" s="4672"/>
      <c r="O286" s="4672"/>
      <c r="P286" s="4672"/>
      <c r="Q286" s="4678"/>
      <c r="R286" s="4684"/>
      <c r="S286" s="4642"/>
      <c r="T286" s="4678"/>
      <c r="U286" s="4761"/>
      <c r="V286" s="2542" t="s">
        <v>2435</v>
      </c>
      <c r="W286" s="992">
        <v>10000000</v>
      </c>
      <c r="X286" s="1621">
        <v>7660000</v>
      </c>
      <c r="Y286" s="1621">
        <v>1865000</v>
      </c>
      <c r="Z286" s="2385">
        <v>20</v>
      </c>
      <c r="AA286" s="2437" t="s">
        <v>71</v>
      </c>
      <c r="AB286" s="4609"/>
      <c r="AC286" s="4715"/>
      <c r="AD286" s="4609"/>
      <c r="AE286" s="4715"/>
      <c r="AF286" s="4609"/>
      <c r="AG286" s="4715"/>
      <c r="AH286" s="4609"/>
      <c r="AI286" s="4715"/>
      <c r="AJ286" s="4764"/>
      <c r="AK286" s="4648"/>
      <c r="AL286" s="4764">
        <v>86875</v>
      </c>
      <c r="AM286" s="4648">
        <v>42568.75</v>
      </c>
      <c r="AN286" s="4609"/>
      <c r="AO286" s="4715"/>
      <c r="AP286" s="4609"/>
      <c r="AQ286" s="4715"/>
      <c r="AR286" s="4609"/>
      <c r="AS286" s="4715"/>
      <c r="AT286" s="4609"/>
      <c r="AU286" s="4715"/>
      <c r="AV286" s="4609"/>
      <c r="AW286" s="4715"/>
      <c r="AX286" s="4609"/>
      <c r="AY286" s="4715"/>
      <c r="AZ286" s="4609"/>
      <c r="BA286" s="4715"/>
      <c r="BB286" s="4609"/>
      <c r="BC286" s="4715"/>
      <c r="BD286" s="4609"/>
      <c r="BE286" s="4715"/>
      <c r="BF286" s="4609"/>
      <c r="BG286" s="4715"/>
      <c r="BH286" s="4665"/>
      <c r="BI286" s="4668"/>
      <c r="BJ286" s="4668"/>
      <c r="BK286" s="4670"/>
      <c r="BL286" s="4665"/>
      <c r="BM286" s="4365"/>
      <c r="BN286" s="4722"/>
      <c r="BO286" s="4722"/>
      <c r="BP286" s="4722"/>
      <c r="BQ286" s="4365"/>
      <c r="BR286" s="3595"/>
    </row>
    <row r="287" spans="1:70" ht="75" x14ac:dyDescent="0.2">
      <c r="A287" s="2445"/>
      <c r="B287" s="1596"/>
      <c r="C287" s="1737"/>
      <c r="D287" s="2387"/>
      <c r="E287" s="2388"/>
      <c r="F287" s="2387"/>
      <c r="G287" s="2377"/>
      <c r="H287" s="2380"/>
      <c r="I287" s="2379"/>
      <c r="J287" s="2451">
        <v>176</v>
      </c>
      <c r="K287" s="2548" t="s">
        <v>2436</v>
      </c>
      <c r="L287" s="2456" t="s">
        <v>18</v>
      </c>
      <c r="M287" s="2456">
        <v>2</v>
      </c>
      <c r="N287" s="2456">
        <v>1</v>
      </c>
      <c r="O287" s="4673"/>
      <c r="P287" s="4673"/>
      <c r="Q287" s="4682"/>
      <c r="R287" s="2549">
        <f>W287/S284</f>
        <v>0.29940119760479039</v>
      </c>
      <c r="S287" s="4643"/>
      <c r="T287" s="4678"/>
      <c r="U287" s="2550" t="s">
        <v>2437</v>
      </c>
      <c r="V287" s="2542" t="s">
        <v>2438</v>
      </c>
      <c r="W287" s="992">
        <v>12000000</v>
      </c>
      <c r="X287" s="1621">
        <v>5000000</v>
      </c>
      <c r="Y287" s="1621">
        <v>2798000</v>
      </c>
      <c r="Z287" s="2385">
        <v>20</v>
      </c>
      <c r="AA287" s="2437" t="s">
        <v>71</v>
      </c>
      <c r="AB287" s="4610"/>
      <c r="AC287" s="4716"/>
      <c r="AD287" s="4610"/>
      <c r="AE287" s="4716"/>
      <c r="AF287" s="4610"/>
      <c r="AG287" s="4716"/>
      <c r="AH287" s="4610"/>
      <c r="AI287" s="4716"/>
      <c r="AJ287" s="4765"/>
      <c r="AK287" s="4649"/>
      <c r="AL287" s="4765">
        <v>86875</v>
      </c>
      <c r="AM287" s="4649">
        <v>42568.75</v>
      </c>
      <c r="AN287" s="4610"/>
      <c r="AO287" s="4716"/>
      <c r="AP287" s="4610"/>
      <c r="AQ287" s="4716"/>
      <c r="AR287" s="4610"/>
      <c r="AS287" s="4716"/>
      <c r="AT287" s="4610"/>
      <c r="AU287" s="4716"/>
      <c r="AV287" s="4610"/>
      <c r="AW287" s="4716"/>
      <c r="AX287" s="4610"/>
      <c r="AY287" s="4716"/>
      <c r="AZ287" s="4610"/>
      <c r="BA287" s="4716"/>
      <c r="BB287" s="4610"/>
      <c r="BC287" s="4716"/>
      <c r="BD287" s="4610"/>
      <c r="BE287" s="4716"/>
      <c r="BF287" s="4610"/>
      <c r="BG287" s="4716"/>
      <c r="BH287" s="4008"/>
      <c r="BI287" s="4718"/>
      <c r="BJ287" s="4718"/>
      <c r="BK287" s="4719"/>
      <c r="BL287" s="4008"/>
      <c r="BM287" s="4717"/>
      <c r="BN287" s="4723"/>
      <c r="BO287" s="4723"/>
      <c r="BP287" s="4723"/>
      <c r="BQ287" s="4717"/>
      <c r="BR287" s="3596"/>
    </row>
    <row r="288" spans="1:70" ht="15.75" x14ac:dyDescent="0.2">
      <c r="A288" s="2445"/>
      <c r="B288" s="1596"/>
      <c r="C288" s="1737"/>
      <c r="D288" s="2551">
        <v>15</v>
      </c>
      <c r="E288" s="2370" t="s">
        <v>2439</v>
      </c>
      <c r="F288" s="2370"/>
      <c r="G288" s="2471"/>
      <c r="H288" s="2471"/>
      <c r="I288" s="2471"/>
      <c r="J288" s="2371"/>
      <c r="K288" s="2396"/>
      <c r="L288" s="2371"/>
      <c r="M288" s="2397"/>
      <c r="N288" s="2500"/>
      <c r="O288" s="2399"/>
      <c r="P288" s="2399"/>
      <c r="Q288" s="2399"/>
      <c r="R288" s="2399"/>
      <c r="S288" s="2399"/>
      <c r="T288" s="2371"/>
      <c r="U288" s="2396"/>
      <c r="V288" s="2396"/>
      <c r="W288" s="2552"/>
      <c r="X288" s="965"/>
      <c r="Y288" s="965"/>
      <c r="Z288" s="2553"/>
      <c r="AA288" s="2401"/>
      <c r="AB288" s="2399"/>
      <c r="AC288" s="2399"/>
      <c r="AD288" s="2399"/>
      <c r="AE288" s="2399"/>
      <c r="AF288" s="2399"/>
      <c r="AG288" s="2399"/>
      <c r="AH288" s="2399"/>
      <c r="AI288" s="2399"/>
      <c r="AJ288" s="2399"/>
      <c r="AK288" s="2399"/>
      <c r="AL288" s="2399"/>
      <c r="AM288" s="2399"/>
      <c r="AN288" s="2399"/>
      <c r="AO288" s="2399"/>
      <c r="AP288" s="2399"/>
      <c r="AQ288" s="2399"/>
      <c r="AR288" s="2399"/>
      <c r="AS288" s="2399"/>
      <c r="AT288" s="2399"/>
      <c r="AU288" s="2399"/>
      <c r="AV288" s="2399"/>
      <c r="AW288" s="2399"/>
      <c r="AX288" s="2399"/>
      <c r="AY288" s="2399"/>
      <c r="AZ288" s="2399"/>
      <c r="BA288" s="2399"/>
      <c r="BB288" s="2399"/>
      <c r="BC288" s="2399"/>
      <c r="BD288" s="2399"/>
      <c r="BE288" s="2399"/>
      <c r="BF288" s="2399"/>
      <c r="BG288" s="2399"/>
      <c r="BH288" s="2399"/>
      <c r="BI288" s="965"/>
      <c r="BJ288" s="965"/>
      <c r="BK288" s="2399"/>
      <c r="BL288" s="2399"/>
      <c r="BM288" s="2399"/>
      <c r="BN288" s="2503"/>
      <c r="BO288" s="2503"/>
      <c r="BP288" s="2503"/>
      <c r="BQ288" s="2502"/>
      <c r="BR288" s="2554"/>
    </row>
    <row r="289" spans="1:70" ht="15.75" x14ac:dyDescent="0.2">
      <c r="A289" s="2445"/>
      <c r="B289" s="1596"/>
      <c r="C289" s="1737"/>
      <c r="D289" s="2404"/>
      <c r="E289" s="2405"/>
      <c r="F289" s="2405"/>
      <c r="G289" s="2432">
        <v>55</v>
      </c>
      <c r="H289" s="2375" t="s">
        <v>2440</v>
      </c>
      <c r="I289" s="2375"/>
      <c r="J289" s="2375"/>
      <c r="K289" s="2407"/>
      <c r="L289" s="2375"/>
      <c r="M289" s="2408"/>
      <c r="N289" s="2408"/>
      <c r="O289" s="2375"/>
      <c r="P289" s="2375"/>
      <c r="Q289" s="2375"/>
      <c r="R289" s="2375"/>
      <c r="S289" s="2375"/>
      <c r="T289" s="2375"/>
      <c r="U289" s="2407"/>
      <c r="V289" s="2407"/>
      <c r="W289" s="2423"/>
      <c r="X289" s="2414"/>
      <c r="Y289" s="2414"/>
      <c r="Z289" s="2530"/>
      <c r="AA289" s="2555"/>
      <c r="AB289" s="2375"/>
      <c r="AC289" s="2375"/>
      <c r="AD289" s="2375"/>
      <c r="AE289" s="2375"/>
      <c r="AF289" s="2375"/>
      <c r="AG289" s="2375"/>
      <c r="AH289" s="2375"/>
      <c r="AI289" s="2375"/>
      <c r="AJ289" s="2375"/>
      <c r="AK289" s="2375"/>
      <c r="AL289" s="2375"/>
      <c r="AM289" s="2375"/>
      <c r="AN289" s="2375"/>
      <c r="AO289" s="2375"/>
      <c r="AP289" s="2375"/>
      <c r="AQ289" s="2375"/>
      <c r="AR289" s="2375"/>
      <c r="AS289" s="2375"/>
      <c r="AT289" s="2375"/>
      <c r="AU289" s="2375"/>
      <c r="AV289" s="2375"/>
      <c r="AW289" s="2375"/>
      <c r="AX289" s="2375"/>
      <c r="AY289" s="2375"/>
      <c r="AZ289" s="2375"/>
      <c r="BA289" s="2375"/>
      <c r="BB289" s="2375"/>
      <c r="BC289" s="2375"/>
      <c r="BD289" s="2375"/>
      <c r="BE289" s="2375"/>
      <c r="BF289" s="2375"/>
      <c r="BG289" s="2375"/>
      <c r="BH289" s="2375"/>
      <c r="BI289" s="2414"/>
      <c r="BJ289" s="2414"/>
      <c r="BK289" s="2375"/>
      <c r="BL289" s="2375"/>
      <c r="BM289" s="2375"/>
      <c r="BN289" s="2465"/>
      <c r="BO289" s="2465"/>
      <c r="BP289" s="2465"/>
      <c r="BQ289" s="2464"/>
      <c r="BR289" s="2434"/>
    </row>
    <row r="290" spans="1:70" ht="91.5" customHeight="1" x14ac:dyDescent="0.2">
      <c r="A290" s="2445"/>
      <c r="B290" s="1596"/>
      <c r="C290" s="1737"/>
      <c r="D290" s="2428"/>
      <c r="E290" s="2429"/>
      <c r="F290" s="2428"/>
      <c r="G290" s="2556"/>
      <c r="H290" s="2425"/>
      <c r="I290" s="2426"/>
      <c r="J290" s="2437">
        <v>177</v>
      </c>
      <c r="K290" s="2435" t="s">
        <v>2441</v>
      </c>
      <c r="L290" s="2437" t="s">
        <v>1974</v>
      </c>
      <c r="M290" s="2437">
        <v>2</v>
      </c>
      <c r="N290" s="2641">
        <v>0</v>
      </c>
      <c r="O290" s="4720" t="s">
        <v>2442</v>
      </c>
      <c r="P290" s="4720" t="s">
        <v>2443</v>
      </c>
      <c r="Q290" s="4664" t="s">
        <v>2444</v>
      </c>
      <c r="R290" s="2557">
        <v>0</v>
      </c>
      <c r="S290" s="4762">
        <v>150000000</v>
      </c>
      <c r="T290" s="4664" t="s">
        <v>2445</v>
      </c>
      <c r="U290" s="2435" t="s">
        <v>2446</v>
      </c>
      <c r="V290" s="2435" t="s">
        <v>2447</v>
      </c>
      <c r="W290" s="2558">
        <v>0</v>
      </c>
      <c r="X290" s="2559"/>
      <c r="Y290" s="2559"/>
      <c r="Z290" s="2560"/>
      <c r="AA290" s="2437"/>
      <c r="AB290" s="4635">
        <v>292684</v>
      </c>
      <c r="AC290" s="4647">
        <v>137561.47999999998</v>
      </c>
      <c r="AD290" s="4635">
        <v>282326</v>
      </c>
      <c r="AE290" s="4647">
        <v>132693.22</v>
      </c>
      <c r="AF290" s="4635">
        <v>135912</v>
      </c>
      <c r="AG290" s="4647">
        <v>63878.64</v>
      </c>
      <c r="AH290" s="4635">
        <v>45122</v>
      </c>
      <c r="AI290" s="4647">
        <v>21207.34</v>
      </c>
      <c r="AJ290" s="4635">
        <v>307101</v>
      </c>
      <c r="AK290" s="4647">
        <v>144337.47</v>
      </c>
      <c r="AL290" s="4635">
        <v>86875</v>
      </c>
      <c r="AM290" s="4647">
        <v>40831.25</v>
      </c>
      <c r="AN290" s="4635">
        <v>2145</v>
      </c>
      <c r="AO290" s="4647">
        <v>1008.15</v>
      </c>
      <c r="AP290" s="4635">
        <v>12718</v>
      </c>
      <c r="AQ290" s="4647">
        <v>5977.46</v>
      </c>
      <c r="AR290" s="4635">
        <v>26</v>
      </c>
      <c r="AS290" s="4647">
        <v>12.219999999999999</v>
      </c>
      <c r="AT290" s="4635">
        <v>37</v>
      </c>
      <c r="AU290" s="4647">
        <v>17.39</v>
      </c>
      <c r="AV290" s="4635" t="s">
        <v>2015</v>
      </c>
      <c r="AW290" s="4647" t="s">
        <v>2015</v>
      </c>
      <c r="AX290" s="4635" t="s">
        <v>2015</v>
      </c>
      <c r="AY290" s="4647" t="s">
        <v>2015</v>
      </c>
      <c r="AZ290" s="4635">
        <v>53164</v>
      </c>
      <c r="BA290" s="4647">
        <v>24987.079999999998</v>
      </c>
      <c r="BB290" s="4635">
        <v>16982</v>
      </c>
      <c r="BC290" s="4647">
        <v>7981.54</v>
      </c>
      <c r="BD290" s="4635">
        <v>60013</v>
      </c>
      <c r="BE290" s="4647">
        <v>28206.109999999997</v>
      </c>
      <c r="BF290" s="4635">
        <v>575010</v>
      </c>
      <c r="BG290" s="4647">
        <v>270254.7</v>
      </c>
      <c r="BH290" s="4006">
        <v>2</v>
      </c>
      <c r="BI290" s="4667">
        <f>SUM(X291:X295)</f>
        <v>27980000</v>
      </c>
      <c r="BJ290" s="4667">
        <f>SUM(Y291:Y295)</f>
        <v>2798000</v>
      </c>
      <c r="BK290" s="4669">
        <f>+BJ290/BI290</f>
        <v>0.1</v>
      </c>
      <c r="BL290" s="4006">
        <v>72</v>
      </c>
      <c r="BM290" s="4766"/>
      <c r="BN290" s="4721">
        <v>43466</v>
      </c>
      <c r="BO290" s="4721">
        <v>43467</v>
      </c>
      <c r="BP290" s="4721">
        <v>43830</v>
      </c>
      <c r="BQ290" s="4724">
        <v>43830</v>
      </c>
      <c r="BR290" s="3190" t="s">
        <v>1983</v>
      </c>
    </row>
    <row r="291" spans="1:70" ht="46.5" customHeight="1" x14ac:dyDescent="0.2">
      <c r="A291" s="2445"/>
      <c r="B291" s="1596"/>
      <c r="C291" s="1737"/>
      <c r="D291" s="2428"/>
      <c r="E291" s="2429"/>
      <c r="F291" s="2428"/>
      <c r="G291" s="2561"/>
      <c r="H291" s="2428"/>
      <c r="I291" s="2429"/>
      <c r="J291" s="4720">
        <v>178</v>
      </c>
      <c r="K291" s="4664" t="s">
        <v>2448</v>
      </c>
      <c r="L291" s="4720" t="s">
        <v>1974</v>
      </c>
      <c r="M291" s="4720">
        <v>3</v>
      </c>
      <c r="N291" s="4720">
        <v>0.1</v>
      </c>
      <c r="O291" s="4720"/>
      <c r="P291" s="4720"/>
      <c r="Q291" s="4664"/>
      <c r="R291" s="3182">
        <f>SUM(W291:W295)/S290</f>
        <v>1</v>
      </c>
      <c r="S291" s="4762"/>
      <c r="T291" s="4664"/>
      <c r="U291" s="4664" t="s">
        <v>2449</v>
      </c>
      <c r="V291" s="2562" t="s">
        <v>2450</v>
      </c>
      <c r="W291" s="992">
        <v>60000000</v>
      </c>
      <c r="X291" s="1239">
        <v>5596000</v>
      </c>
      <c r="Y291" s="1239">
        <v>559600</v>
      </c>
      <c r="Z291" s="2560">
        <v>72</v>
      </c>
      <c r="AA291" s="2437" t="s">
        <v>2451</v>
      </c>
      <c r="AB291" s="4636"/>
      <c r="AC291" s="4648"/>
      <c r="AD291" s="4636"/>
      <c r="AE291" s="4648"/>
      <c r="AF291" s="4636"/>
      <c r="AG291" s="4648"/>
      <c r="AH291" s="4636"/>
      <c r="AI291" s="4648"/>
      <c r="AJ291" s="4636"/>
      <c r="AK291" s="4648"/>
      <c r="AL291" s="4636"/>
      <c r="AM291" s="4648"/>
      <c r="AN291" s="4636"/>
      <c r="AO291" s="4648"/>
      <c r="AP291" s="4636"/>
      <c r="AQ291" s="4648"/>
      <c r="AR291" s="4636"/>
      <c r="AS291" s="4648"/>
      <c r="AT291" s="4636"/>
      <c r="AU291" s="4648"/>
      <c r="AV291" s="4636"/>
      <c r="AW291" s="4648"/>
      <c r="AX291" s="4636"/>
      <c r="AY291" s="4648"/>
      <c r="AZ291" s="4636"/>
      <c r="BA291" s="4648"/>
      <c r="BB291" s="4636"/>
      <c r="BC291" s="4648"/>
      <c r="BD291" s="4636"/>
      <c r="BE291" s="4648"/>
      <c r="BF291" s="4636"/>
      <c r="BG291" s="4648"/>
      <c r="BH291" s="4665"/>
      <c r="BI291" s="4668"/>
      <c r="BJ291" s="4668"/>
      <c r="BK291" s="4670"/>
      <c r="BL291" s="4665"/>
      <c r="BM291" s="4767"/>
      <c r="BN291" s="4722"/>
      <c r="BO291" s="4722"/>
      <c r="BP291" s="4722"/>
      <c r="BQ291" s="4365"/>
      <c r="BR291" s="3595"/>
    </row>
    <row r="292" spans="1:70" ht="46.5" customHeight="1" x14ac:dyDescent="0.2">
      <c r="A292" s="2445"/>
      <c r="B292" s="1596"/>
      <c r="C292" s="1737"/>
      <c r="D292" s="2428"/>
      <c r="E292" s="2429"/>
      <c r="F292" s="2428"/>
      <c r="G292" s="2561"/>
      <c r="H292" s="2428"/>
      <c r="I292" s="2429"/>
      <c r="J292" s="4720"/>
      <c r="K292" s="4664"/>
      <c r="L292" s="4720"/>
      <c r="M292" s="4720"/>
      <c r="N292" s="4720"/>
      <c r="O292" s="4720"/>
      <c r="P292" s="4720"/>
      <c r="Q292" s="4664"/>
      <c r="R292" s="3183"/>
      <c r="S292" s="4762"/>
      <c r="T292" s="4664"/>
      <c r="U292" s="4664"/>
      <c r="V292" s="2562" t="s">
        <v>2452</v>
      </c>
      <c r="W292" s="992">
        <v>40000000</v>
      </c>
      <c r="X292" s="1239">
        <v>5596000</v>
      </c>
      <c r="Y292" s="1239">
        <v>559600</v>
      </c>
      <c r="Z292" s="2560">
        <v>72</v>
      </c>
      <c r="AA292" s="2437" t="s">
        <v>2451</v>
      </c>
      <c r="AB292" s="4636"/>
      <c r="AC292" s="4648"/>
      <c r="AD292" s="4636"/>
      <c r="AE292" s="4648"/>
      <c r="AF292" s="4636"/>
      <c r="AG292" s="4648"/>
      <c r="AH292" s="4636"/>
      <c r="AI292" s="4648"/>
      <c r="AJ292" s="4636"/>
      <c r="AK292" s="4648"/>
      <c r="AL292" s="4636"/>
      <c r="AM292" s="4648"/>
      <c r="AN292" s="4636"/>
      <c r="AO292" s="4648"/>
      <c r="AP292" s="4636"/>
      <c r="AQ292" s="4648"/>
      <c r="AR292" s="4636"/>
      <c r="AS292" s="4648"/>
      <c r="AT292" s="4636"/>
      <c r="AU292" s="4648"/>
      <c r="AV292" s="4636"/>
      <c r="AW292" s="4648"/>
      <c r="AX292" s="4636"/>
      <c r="AY292" s="4648"/>
      <c r="AZ292" s="4636"/>
      <c r="BA292" s="4648"/>
      <c r="BB292" s="4636"/>
      <c r="BC292" s="4648"/>
      <c r="BD292" s="4636"/>
      <c r="BE292" s="4648"/>
      <c r="BF292" s="4636"/>
      <c r="BG292" s="4648"/>
      <c r="BH292" s="4665"/>
      <c r="BI292" s="4668"/>
      <c r="BJ292" s="4668"/>
      <c r="BK292" s="4670"/>
      <c r="BL292" s="4665"/>
      <c r="BM292" s="4767"/>
      <c r="BN292" s="4722"/>
      <c r="BO292" s="4722"/>
      <c r="BP292" s="4722"/>
      <c r="BQ292" s="4365"/>
      <c r="BR292" s="3595"/>
    </row>
    <row r="293" spans="1:70" ht="46.5" customHeight="1" x14ac:dyDescent="0.2">
      <c r="A293" s="2445"/>
      <c r="B293" s="1596"/>
      <c r="C293" s="1737"/>
      <c r="D293" s="2428"/>
      <c r="E293" s="2429"/>
      <c r="F293" s="2428"/>
      <c r="G293" s="2561"/>
      <c r="H293" s="2428"/>
      <c r="I293" s="2429"/>
      <c r="J293" s="4720"/>
      <c r="K293" s="4664"/>
      <c r="L293" s="4720"/>
      <c r="M293" s="4720"/>
      <c r="N293" s="4720"/>
      <c r="O293" s="4720"/>
      <c r="P293" s="4720"/>
      <c r="Q293" s="4664"/>
      <c r="R293" s="3183"/>
      <c r="S293" s="4762"/>
      <c r="T293" s="4664"/>
      <c r="U293" s="4664"/>
      <c r="V293" s="2562" t="s">
        <v>2453</v>
      </c>
      <c r="W293" s="992">
        <v>20000000</v>
      </c>
      <c r="X293" s="1239">
        <v>5596000</v>
      </c>
      <c r="Y293" s="1239">
        <v>559600</v>
      </c>
      <c r="Z293" s="2560">
        <v>72</v>
      </c>
      <c r="AA293" s="2437" t="s">
        <v>2451</v>
      </c>
      <c r="AB293" s="4636"/>
      <c r="AC293" s="4648"/>
      <c r="AD293" s="4636"/>
      <c r="AE293" s="4648"/>
      <c r="AF293" s="4636"/>
      <c r="AG293" s="4648"/>
      <c r="AH293" s="4636"/>
      <c r="AI293" s="4648"/>
      <c r="AJ293" s="4636"/>
      <c r="AK293" s="4648"/>
      <c r="AL293" s="4636"/>
      <c r="AM293" s="4648"/>
      <c r="AN293" s="4636"/>
      <c r="AO293" s="4648"/>
      <c r="AP293" s="4636"/>
      <c r="AQ293" s="4648"/>
      <c r="AR293" s="4636"/>
      <c r="AS293" s="4648"/>
      <c r="AT293" s="4636"/>
      <c r="AU293" s="4648"/>
      <c r="AV293" s="4636"/>
      <c r="AW293" s="4648"/>
      <c r="AX293" s="4636"/>
      <c r="AY293" s="4648"/>
      <c r="AZ293" s="4636"/>
      <c r="BA293" s="4648"/>
      <c r="BB293" s="4636"/>
      <c r="BC293" s="4648"/>
      <c r="BD293" s="4636"/>
      <c r="BE293" s="4648"/>
      <c r="BF293" s="4636"/>
      <c r="BG293" s="4648"/>
      <c r="BH293" s="4665"/>
      <c r="BI293" s="4668"/>
      <c r="BJ293" s="4668"/>
      <c r="BK293" s="4670"/>
      <c r="BL293" s="4665"/>
      <c r="BM293" s="4767"/>
      <c r="BN293" s="4722"/>
      <c r="BO293" s="4722"/>
      <c r="BP293" s="4722"/>
      <c r="BQ293" s="4365"/>
      <c r="BR293" s="3595"/>
    </row>
    <row r="294" spans="1:70" ht="46.5" customHeight="1" x14ac:dyDescent="0.2">
      <c r="A294" s="2445"/>
      <c r="B294" s="1596"/>
      <c r="C294" s="1737"/>
      <c r="D294" s="2428"/>
      <c r="E294" s="2429"/>
      <c r="F294" s="2428"/>
      <c r="G294" s="2561"/>
      <c r="H294" s="2428"/>
      <c r="I294" s="2429"/>
      <c r="J294" s="4720"/>
      <c r="K294" s="4664"/>
      <c r="L294" s="4720"/>
      <c r="M294" s="4720"/>
      <c r="N294" s="4720"/>
      <c r="O294" s="4720"/>
      <c r="P294" s="4720"/>
      <c r="Q294" s="4664"/>
      <c r="R294" s="3183"/>
      <c r="S294" s="4762"/>
      <c r="T294" s="4664"/>
      <c r="U294" s="4664" t="s">
        <v>2454</v>
      </c>
      <c r="V294" s="2563" t="s">
        <v>2455</v>
      </c>
      <c r="W294" s="992">
        <v>15000000</v>
      </c>
      <c r="X294" s="1239">
        <v>5596000</v>
      </c>
      <c r="Y294" s="1239">
        <v>559600</v>
      </c>
      <c r="Z294" s="2560">
        <v>72</v>
      </c>
      <c r="AA294" s="2437" t="s">
        <v>2451</v>
      </c>
      <c r="AB294" s="4636"/>
      <c r="AC294" s="4648"/>
      <c r="AD294" s="4636"/>
      <c r="AE294" s="4648"/>
      <c r="AF294" s="4636"/>
      <c r="AG294" s="4648"/>
      <c r="AH294" s="4636"/>
      <c r="AI294" s="4648"/>
      <c r="AJ294" s="4636"/>
      <c r="AK294" s="4648"/>
      <c r="AL294" s="4636"/>
      <c r="AM294" s="4648"/>
      <c r="AN294" s="4636"/>
      <c r="AO294" s="4648"/>
      <c r="AP294" s="4636"/>
      <c r="AQ294" s="4648"/>
      <c r="AR294" s="4636"/>
      <c r="AS294" s="4648"/>
      <c r="AT294" s="4636"/>
      <c r="AU294" s="4648"/>
      <c r="AV294" s="4636"/>
      <c r="AW294" s="4648"/>
      <c r="AX294" s="4636"/>
      <c r="AY294" s="4648"/>
      <c r="AZ294" s="4636"/>
      <c r="BA294" s="4648"/>
      <c r="BB294" s="4636"/>
      <c r="BC294" s="4648"/>
      <c r="BD294" s="4636"/>
      <c r="BE294" s="4648"/>
      <c r="BF294" s="4636"/>
      <c r="BG294" s="4648"/>
      <c r="BH294" s="4665"/>
      <c r="BI294" s="4668"/>
      <c r="BJ294" s="4668"/>
      <c r="BK294" s="4670"/>
      <c r="BL294" s="4665"/>
      <c r="BM294" s="4767"/>
      <c r="BN294" s="4722"/>
      <c r="BO294" s="4722"/>
      <c r="BP294" s="4722"/>
      <c r="BQ294" s="4365"/>
      <c r="BR294" s="3595"/>
    </row>
    <row r="295" spans="1:70" ht="46.5" customHeight="1" x14ac:dyDescent="0.2">
      <c r="A295" s="2445"/>
      <c r="B295" s="1596"/>
      <c r="C295" s="1737"/>
      <c r="D295" s="2428"/>
      <c r="E295" s="2429"/>
      <c r="F295" s="2428"/>
      <c r="G295" s="2561"/>
      <c r="H295" s="2428"/>
      <c r="I295" s="2429"/>
      <c r="J295" s="4720"/>
      <c r="K295" s="4664"/>
      <c r="L295" s="4720"/>
      <c r="M295" s="4720"/>
      <c r="N295" s="4720"/>
      <c r="O295" s="4720"/>
      <c r="P295" s="4720"/>
      <c r="Q295" s="4664"/>
      <c r="R295" s="3184"/>
      <c r="S295" s="4762"/>
      <c r="T295" s="4664"/>
      <c r="U295" s="4664"/>
      <c r="V295" s="2563" t="s">
        <v>2456</v>
      </c>
      <c r="W295" s="992">
        <v>15000000</v>
      </c>
      <c r="X295" s="1239">
        <v>5596000</v>
      </c>
      <c r="Y295" s="1239">
        <v>559600</v>
      </c>
      <c r="Z295" s="2560">
        <v>72</v>
      </c>
      <c r="AA295" s="2437" t="s">
        <v>2451</v>
      </c>
      <c r="AB295" s="4636"/>
      <c r="AC295" s="4648"/>
      <c r="AD295" s="4636"/>
      <c r="AE295" s="4648"/>
      <c r="AF295" s="4636"/>
      <c r="AG295" s="4648"/>
      <c r="AH295" s="4636"/>
      <c r="AI295" s="4648"/>
      <c r="AJ295" s="4636"/>
      <c r="AK295" s="4648"/>
      <c r="AL295" s="4636"/>
      <c r="AM295" s="4648"/>
      <c r="AN295" s="4636"/>
      <c r="AO295" s="4648"/>
      <c r="AP295" s="4636"/>
      <c r="AQ295" s="4648"/>
      <c r="AR295" s="4636"/>
      <c r="AS295" s="4648"/>
      <c r="AT295" s="4636"/>
      <c r="AU295" s="4648"/>
      <c r="AV295" s="4636"/>
      <c r="AW295" s="4648"/>
      <c r="AX295" s="4636"/>
      <c r="AY295" s="4648"/>
      <c r="AZ295" s="4636"/>
      <c r="BA295" s="4648"/>
      <c r="BB295" s="4636"/>
      <c r="BC295" s="4648"/>
      <c r="BD295" s="4636"/>
      <c r="BE295" s="4648"/>
      <c r="BF295" s="4636"/>
      <c r="BG295" s="4648"/>
      <c r="BH295" s="4665"/>
      <c r="BI295" s="4668"/>
      <c r="BJ295" s="4668"/>
      <c r="BK295" s="4670"/>
      <c r="BL295" s="4665"/>
      <c r="BM295" s="4767"/>
      <c r="BN295" s="4722"/>
      <c r="BO295" s="4722"/>
      <c r="BP295" s="4722"/>
      <c r="BQ295" s="4365"/>
      <c r="BR295" s="3595"/>
    </row>
    <row r="296" spans="1:70" ht="60" x14ac:dyDescent="0.2">
      <c r="A296" s="2445"/>
      <c r="B296" s="1596"/>
      <c r="C296" s="1737"/>
      <c r="D296" s="2428"/>
      <c r="E296" s="2429"/>
      <c r="F296" s="2428"/>
      <c r="G296" s="2561"/>
      <c r="H296" s="2428"/>
      <c r="I296" s="2429"/>
      <c r="J296" s="2417">
        <v>179</v>
      </c>
      <c r="K296" s="2539" t="s">
        <v>2457</v>
      </c>
      <c r="L296" s="2417" t="s">
        <v>1974</v>
      </c>
      <c r="M296" s="2417">
        <v>4</v>
      </c>
      <c r="N296" s="2641">
        <v>0</v>
      </c>
      <c r="O296" s="4605"/>
      <c r="P296" s="4605"/>
      <c r="Q296" s="4602"/>
      <c r="R296" s="2514">
        <v>0</v>
      </c>
      <c r="S296" s="4641"/>
      <c r="T296" s="4602"/>
      <c r="U296" s="2416" t="s">
        <v>2458</v>
      </c>
      <c r="V296" s="2564" t="s">
        <v>2459</v>
      </c>
      <c r="W296" s="989">
        <v>0</v>
      </c>
      <c r="X296" s="2565"/>
      <c r="Y296" s="2565"/>
      <c r="Z296" s="2566"/>
      <c r="AA296" s="2417"/>
      <c r="AB296" s="4637"/>
      <c r="AC296" s="4649"/>
      <c r="AD296" s="4637"/>
      <c r="AE296" s="4649"/>
      <c r="AF296" s="4637"/>
      <c r="AG296" s="4649"/>
      <c r="AH296" s="4637"/>
      <c r="AI296" s="4649"/>
      <c r="AJ296" s="4637"/>
      <c r="AK296" s="4649"/>
      <c r="AL296" s="4637"/>
      <c r="AM296" s="4649"/>
      <c r="AN296" s="4637"/>
      <c r="AO296" s="4649"/>
      <c r="AP296" s="4637"/>
      <c r="AQ296" s="4649"/>
      <c r="AR296" s="4637"/>
      <c r="AS296" s="4649"/>
      <c r="AT296" s="4637"/>
      <c r="AU296" s="4649"/>
      <c r="AV296" s="4637"/>
      <c r="AW296" s="4649"/>
      <c r="AX296" s="4637"/>
      <c r="AY296" s="4649"/>
      <c r="AZ296" s="4637"/>
      <c r="BA296" s="4649"/>
      <c r="BB296" s="4637"/>
      <c r="BC296" s="4649"/>
      <c r="BD296" s="4637"/>
      <c r="BE296" s="4649"/>
      <c r="BF296" s="4637"/>
      <c r="BG296" s="4649"/>
      <c r="BH296" s="4665"/>
      <c r="BI296" s="4668"/>
      <c r="BJ296" s="4668"/>
      <c r="BK296" s="4670"/>
      <c r="BL296" s="4665"/>
      <c r="BM296" s="4767"/>
      <c r="BN296" s="4722"/>
      <c r="BO296" s="4722"/>
      <c r="BP296" s="4722"/>
      <c r="BQ296" s="4365"/>
      <c r="BR296" s="3596"/>
    </row>
    <row r="297" spans="1:70" s="103" customFormat="1" ht="33.75" customHeight="1" x14ac:dyDescent="0.25">
      <c r="A297" s="2567"/>
      <c r="B297" s="2568"/>
      <c r="C297" s="2569"/>
      <c r="D297" s="2568"/>
      <c r="E297" s="2569"/>
      <c r="G297" s="2567"/>
      <c r="H297" s="2568"/>
      <c r="I297" s="2569"/>
      <c r="J297" s="2513"/>
      <c r="K297" s="2513"/>
      <c r="L297" s="2513"/>
      <c r="M297" s="2513"/>
      <c r="N297" s="2513"/>
      <c r="O297" s="2513"/>
      <c r="P297" s="2513"/>
      <c r="Q297" s="2513"/>
      <c r="R297" s="2513"/>
      <c r="S297" s="2570">
        <f>SUM(S13:S296)</f>
        <v>39433735554</v>
      </c>
      <c r="T297" s="2513"/>
      <c r="U297" s="2571"/>
      <c r="V297" s="2513"/>
      <c r="W297" s="2570">
        <f>SUM(W13:W296)</f>
        <v>39433735554</v>
      </c>
      <c r="X297" s="2570">
        <f t="shared" ref="X297:Y297" si="0">SUM(X13:X296)</f>
        <v>7921662229</v>
      </c>
      <c r="Y297" s="2570">
        <f t="shared" si="0"/>
        <v>2815603738</v>
      </c>
      <c r="Z297" s="2513"/>
      <c r="AA297" s="202"/>
      <c r="AB297" s="2513"/>
      <c r="AC297" s="2513"/>
      <c r="AD297" s="2513"/>
      <c r="AE297" s="2513"/>
      <c r="AF297" s="2513"/>
      <c r="AG297" s="2513"/>
      <c r="AH297" s="2513"/>
      <c r="AI297" s="2513"/>
      <c r="AJ297" s="2513"/>
      <c r="AK297" s="2513"/>
      <c r="AL297" s="2513"/>
      <c r="AM297" s="2513"/>
      <c r="AN297" s="2513"/>
      <c r="AO297" s="2513"/>
      <c r="AP297" s="2513"/>
      <c r="AQ297" s="2513"/>
      <c r="AR297" s="2513"/>
      <c r="AS297" s="2513"/>
      <c r="AT297" s="2513"/>
      <c r="AU297" s="2513"/>
      <c r="AV297" s="2513"/>
      <c r="AW297" s="2513"/>
      <c r="AX297" s="2513"/>
      <c r="AY297" s="2513"/>
      <c r="AZ297" s="2513"/>
      <c r="BA297" s="2513"/>
      <c r="BB297" s="2513"/>
      <c r="BC297" s="2513"/>
      <c r="BD297" s="2513"/>
      <c r="BE297" s="2513"/>
      <c r="BF297" s="2513"/>
      <c r="BG297" s="2513"/>
      <c r="BH297" s="2513"/>
      <c r="BI297" s="2570">
        <f>SUM(BI13:BI296)</f>
        <v>7915125448</v>
      </c>
      <c r="BJ297" s="2570">
        <f>SUM(BJ13:BJ296)</f>
        <v>2815603738</v>
      </c>
      <c r="BK297" s="2513"/>
      <c r="BL297" s="2513"/>
      <c r="BM297" s="2513"/>
      <c r="BN297" s="2513"/>
      <c r="BO297" s="2513"/>
      <c r="BP297" s="2513"/>
      <c r="BQ297" s="2513"/>
      <c r="BR297" s="2513"/>
    </row>
    <row r="298" spans="1:70" x14ac:dyDescent="0.2">
      <c r="BI298" s="2573"/>
      <c r="BJ298" s="2573"/>
    </row>
    <row r="299" spans="1:70" x14ac:dyDescent="0.2">
      <c r="BI299" s="2573"/>
      <c r="BJ299" s="2573"/>
    </row>
  </sheetData>
  <sheetProtection password="F3F4" sheet="1" objects="1" scenarios="1"/>
  <mergeCells count="1506">
    <mergeCell ref="U291:U293"/>
    <mergeCell ref="U294:U295"/>
    <mergeCell ref="BO290:BO296"/>
    <mergeCell ref="BP290:BP296"/>
    <mergeCell ref="BQ290:BQ296"/>
    <mergeCell ref="BR290:BR296"/>
    <mergeCell ref="J291:J295"/>
    <mergeCell ref="K291:K295"/>
    <mergeCell ref="L291:L295"/>
    <mergeCell ref="M291:M295"/>
    <mergeCell ref="N291:N295"/>
    <mergeCell ref="R291:R295"/>
    <mergeCell ref="BI290:BI296"/>
    <mergeCell ref="BJ290:BJ296"/>
    <mergeCell ref="BK290:BK296"/>
    <mergeCell ref="BL290:BL296"/>
    <mergeCell ref="BM290:BM296"/>
    <mergeCell ref="BN290:BN296"/>
    <mergeCell ref="BC290:BC296"/>
    <mergeCell ref="BD290:BD296"/>
    <mergeCell ref="BE290:BE296"/>
    <mergeCell ref="BF290:BF296"/>
    <mergeCell ref="BG290:BG296"/>
    <mergeCell ref="BH290:BH296"/>
    <mergeCell ref="AW290:AW296"/>
    <mergeCell ref="AX290:AX296"/>
    <mergeCell ref="AY290:AY296"/>
    <mergeCell ref="AZ290:AZ296"/>
    <mergeCell ref="BA290:BA296"/>
    <mergeCell ref="BB290:BB296"/>
    <mergeCell ref="AQ290:AQ296"/>
    <mergeCell ref="AR290:AR296"/>
    <mergeCell ref="AS290:AS296"/>
    <mergeCell ref="AT290:AT296"/>
    <mergeCell ref="AU290:AU296"/>
    <mergeCell ref="AV290:AV296"/>
    <mergeCell ref="AK290:AK296"/>
    <mergeCell ref="AL290:AL296"/>
    <mergeCell ref="AM290:AM296"/>
    <mergeCell ref="AN290:AN296"/>
    <mergeCell ref="AO290:AO296"/>
    <mergeCell ref="AP290:AP296"/>
    <mergeCell ref="AE290:AE296"/>
    <mergeCell ref="AF290:AF296"/>
    <mergeCell ref="AG290:AG296"/>
    <mergeCell ref="AH290:AH296"/>
    <mergeCell ref="AI290:AI296"/>
    <mergeCell ref="AJ290:AJ296"/>
    <mergeCell ref="BQ284:BQ287"/>
    <mergeCell ref="AX284:AX287"/>
    <mergeCell ref="AM284:AM287"/>
    <mergeCell ref="AN284:AN287"/>
    <mergeCell ref="AO284:AO287"/>
    <mergeCell ref="AP284:AP287"/>
    <mergeCell ref="AQ284:AQ287"/>
    <mergeCell ref="AR284:AR287"/>
    <mergeCell ref="AG284:AG287"/>
    <mergeCell ref="AH284:AH287"/>
    <mergeCell ref="AI284:AI287"/>
    <mergeCell ref="AJ284:AJ287"/>
    <mergeCell ref="AK284:AK287"/>
    <mergeCell ref="AL284:AL287"/>
    <mergeCell ref="BR284:BR287"/>
    <mergeCell ref="O290:O296"/>
    <mergeCell ref="P290:P296"/>
    <mergeCell ref="Q290:Q296"/>
    <mergeCell ref="S290:S296"/>
    <mergeCell ref="T290:T296"/>
    <mergeCell ref="AB290:AB296"/>
    <mergeCell ref="AC290:AC296"/>
    <mergeCell ref="AD290:AD296"/>
    <mergeCell ref="BK284:BK287"/>
    <mergeCell ref="BL284:BL287"/>
    <mergeCell ref="BM284:BM287"/>
    <mergeCell ref="BN284:BN287"/>
    <mergeCell ref="BO284:BO287"/>
    <mergeCell ref="BP284:BP287"/>
    <mergeCell ref="BE284:BE287"/>
    <mergeCell ref="BF284:BF287"/>
    <mergeCell ref="BG284:BG287"/>
    <mergeCell ref="BH284:BH287"/>
    <mergeCell ref="BI284:BI287"/>
    <mergeCell ref="BJ284:BJ287"/>
    <mergeCell ref="AY284:AY287"/>
    <mergeCell ref="AZ284:AZ287"/>
    <mergeCell ref="BA284:BA287"/>
    <mergeCell ref="BB284:BB287"/>
    <mergeCell ref="BC284:BC287"/>
    <mergeCell ref="BD284:BD287"/>
    <mergeCell ref="AS284:AS287"/>
    <mergeCell ref="AT284:AT287"/>
    <mergeCell ref="AU284:AU287"/>
    <mergeCell ref="AV284:AV287"/>
    <mergeCell ref="AW284:AW287"/>
    <mergeCell ref="U284:U286"/>
    <mergeCell ref="AB284:AB287"/>
    <mergeCell ref="AC284:AC287"/>
    <mergeCell ref="AD284:AD287"/>
    <mergeCell ref="AE284:AE287"/>
    <mergeCell ref="AF284:AF287"/>
    <mergeCell ref="O284:O287"/>
    <mergeCell ref="P284:P287"/>
    <mergeCell ref="Q284:Q287"/>
    <mergeCell ref="R284:R286"/>
    <mergeCell ref="S284:S287"/>
    <mergeCell ref="T284:T287"/>
    <mergeCell ref="BO275:BO282"/>
    <mergeCell ref="BP275:BP282"/>
    <mergeCell ref="BQ275:BQ282"/>
    <mergeCell ref="BR275:BR282"/>
    <mergeCell ref="U279:U282"/>
    <mergeCell ref="AN275:AN282"/>
    <mergeCell ref="AO275:AO282"/>
    <mergeCell ref="AP275:AP282"/>
    <mergeCell ref="AE275:AE282"/>
    <mergeCell ref="AF275:AF282"/>
    <mergeCell ref="AG275:AG282"/>
    <mergeCell ref="AH275:AH282"/>
    <mergeCell ref="AI275:AI282"/>
    <mergeCell ref="AJ275:AJ282"/>
    <mergeCell ref="S275:S282"/>
    <mergeCell ref="T275:T282"/>
    <mergeCell ref="U275:U277"/>
    <mergeCell ref="AB275:AB282"/>
    <mergeCell ref="AC275:AC282"/>
    <mergeCell ref="AD275:AD282"/>
    <mergeCell ref="J284:J286"/>
    <mergeCell ref="K284:K286"/>
    <mergeCell ref="L284:L286"/>
    <mergeCell ref="M284:M286"/>
    <mergeCell ref="N284:N286"/>
    <mergeCell ref="BI275:BI282"/>
    <mergeCell ref="BJ275:BJ282"/>
    <mergeCell ref="BK275:BK282"/>
    <mergeCell ref="BL275:BL282"/>
    <mergeCell ref="BM275:BM282"/>
    <mergeCell ref="BN275:BN282"/>
    <mergeCell ref="BC275:BC282"/>
    <mergeCell ref="BD275:BD282"/>
    <mergeCell ref="BE275:BE282"/>
    <mergeCell ref="BF275:BF282"/>
    <mergeCell ref="BG275:BG282"/>
    <mergeCell ref="BH275:BH282"/>
    <mergeCell ref="AW275:AW282"/>
    <mergeCell ref="AX275:AX282"/>
    <mergeCell ref="AY275:AY282"/>
    <mergeCell ref="AZ275:AZ282"/>
    <mergeCell ref="BA275:BA282"/>
    <mergeCell ref="BB275:BB282"/>
    <mergeCell ref="AQ275:AQ282"/>
    <mergeCell ref="AR275:AR282"/>
    <mergeCell ref="AS275:AS282"/>
    <mergeCell ref="AT275:AT282"/>
    <mergeCell ref="AU275:AU282"/>
    <mergeCell ref="AV275:AV282"/>
    <mergeCell ref="AK275:AK282"/>
    <mergeCell ref="AL275:AL282"/>
    <mergeCell ref="AM275:AM282"/>
    <mergeCell ref="BR268:BR273"/>
    <mergeCell ref="J275:J281"/>
    <mergeCell ref="K275:K281"/>
    <mergeCell ref="L275:L281"/>
    <mergeCell ref="M275:M281"/>
    <mergeCell ref="N275:N281"/>
    <mergeCell ref="O275:O282"/>
    <mergeCell ref="P275:P282"/>
    <mergeCell ref="Q275:Q282"/>
    <mergeCell ref="R275:R281"/>
    <mergeCell ref="BL268:BL273"/>
    <mergeCell ref="BM268:BM273"/>
    <mergeCell ref="BN268:BN273"/>
    <mergeCell ref="BO268:BO273"/>
    <mergeCell ref="BP268:BP273"/>
    <mergeCell ref="BQ268:BQ273"/>
    <mergeCell ref="BF268:BF273"/>
    <mergeCell ref="BG268:BG273"/>
    <mergeCell ref="BH268:BH273"/>
    <mergeCell ref="BI268:BI273"/>
    <mergeCell ref="BJ268:BJ273"/>
    <mergeCell ref="BK268:BK273"/>
    <mergeCell ref="AZ268:AZ273"/>
    <mergeCell ref="BA268:BA273"/>
    <mergeCell ref="BB268:BB273"/>
    <mergeCell ref="BC268:BC273"/>
    <mergeCell ref="BD268:BD273"/>
    <mergeCell ref="BE268:BE273"/>
    <mergeCell ref="AT268:AT273"/>
    <mergeCell ref="AU268:AU273"/>
    <mergeCell ref="AV268:AV273"/>
    <mergeCell ref="AW268:AW273"/>
    <mergeCell ref="AX268:AX273"/>
    <mergeCell ref="AY268:AY273"/>
    <mergeCell ref="AN268:AN273"/>
    <mergeCell ref="AO268:AO273"/>
    <mergeCell ref="AP268:AP273"/>
    <mergeCell ref="AQ268:AQ273"/>
    <mergeCell ref="AR268:AR273"/>
    <mergeCell ref="AS268:AS273"/>
    <mergeCell ref="AH268:AH273"/>
    <mergeCell ref="AI268:AI273"/>
    <mergeCell ref="AJ268:AJ273"/>
    <mergeCell ref="AK268:AK273"/>
    <mergeCell ref="AL268:AL273"/>
    <mergeCell ref="AM268:AM273"/>
    <mergeCell ref="AB268:AB273"/>
    <mergeCell ref="AC268:AC273"/>
    <mergeCell ref="AD268:AD273"/>
    <mergeCell ref="AE268:AE273"/>
    <mergeCell ref="AF268:AF273"/>
    <mergeCell ref="AG268:AG273"/>
    <mergeCell ref="P268:P273"/>
    <mergeCell ref="Q268:Q273"/>
    <mergeCell ref="R268:R273"/>
    <mergeCell ref="S268:S273"/>
    <mergeCell ref="T268:T273"/>
    <mergeCell ref="U268:U272"/>
    <mergeCell ref="BR263:BR267"/>
    <mergeCell ref="J266:J267"/>
    <mergeCell ref="R266:R267"/>
    <mergeCell ref="U266:U267"/>
    <mergeCell ref="J268:J273"/>
    <mergeCell ref="K268:K273"/>
    <mergeCell ref="L268:L273"/>
    <mergeCell ref="M268:M273"/>
    <mergeCell ref="N268:N273"/>
    <mergeCell ref="O268:O273"/>
    <mergeCell ref="BL263:BL267"/>
    <mergeCell ref="BM263:BM267"/>
    <mergeCell ref="BN263:BN267"/>
    <mergeCell ref="BO263:BO267"/>
    <mergeCell ref="BP263:BP267"/>
    <mergeCell ref="BQ263:BQ267"/>
    <mergeCell ref="BF263:BF267"/>
    <mergeCell ref="BG263:BG267"/>
    <mergeCell ref="BH263:BH267"/>
    <mergeCell ref="BI263:BI267"/>
    <mergeCell ref="BJ263:BJ267"/>
    <mergeCell ref="BK263:BK267"/>
    <mergeCell ref="AZ263:AZ267"/>
    <mergeCell ref="BA263:BA267"/>
    <mergeCell ref="BB263:BB267"/>
    <mergeCell ref="BC263:BC267"/>
    <mergeCell ref="BD263:BD267"/>
    <mergeCell ref="BE263:BE267"/>
    <mergeCell ref="AT263:AT267"/>
    <mergeCell ref="AU263:AU267"/>
    <mergeCell ref="AV263:AV267"/>
    <mergeCell ref="AW263:AW267"/>
    <mergeCell ref="AX263:AX267"/>
    <mergeCell ref="AY263:AY267"/>
    <mergeCell ref="AN263:AN267"/>
    <mergeCell ref="AO263:AO267"/>
    <mergeCell ref="AP263:AP267"/>
    <mergeCell ref="AQ263:AQ267"/>
    <mergeCell ref="AR263:AR267"/>
    <mergeCell ref="AS263:AS267"/>
    <mergeCell ref="AH263:AH267"/>
    <mergeCell ref="AI263:AI267"/>
    <mergeCell ref="AJ263:AJ267"/>
    <mergeCell ref="AK263:AK267"/>
    <mergeCell ref="AL263:AL267"/>
    <mergeCell ref="AM263:AM267"/>
    <mergeCell ref="AB263:AB267"/>
    <mergeCell ref="AC263:AC267"/>
    <mergeCell ref="AD263:AD267"/>
    <mergeCell ref="AE263:AE267"/>
    <mergeCell ref="AF263:AF267"/>
    <mergeCell ref="AG263:AG267"/>
    <mergeCell ref="P263:P267"/>
    <mergeCell ref="Q263:Q267"/>
    <mergeCell ref="R263:R265"/>
    <mergeCell ref="S263:S267"/>
    <mergeCell ref="T263:T267"/>
    <mergeCell ref="U263:U265"/>
    <mergeCell ref="J263:J265"/>
    <mergeCell ref="K263:K266"/>
    <mergeCell ref="L263:L266"/>
    <mergeCell ref="M263:M266"/>
    <mergeCell ref="N263:N266"/>
    <mergeCell ref="O263:O267"/>
    <mergeCell ref="BM259:BM261"/>
    <mergeCell ref="BN259:BN261"/>
    <mergeCell ref="BO259:BO261"/>
    <mergeCell ref="BP259:BP261"/>
    <mergeCell ref="BQ259:BQ261"/>
    <mergeCell ref="BR259:BR261"/>
    <mergeCell ref="BG259:BG261"/>
    <mergeCell ref="BH259:BH261"/>
    <mergeCell ref="BI259:BI261"/>
    <mergeCell ref="BJ259:BJ261"/>
    <mergeCell ref="BK259:BK261"/>
    <mergeCell ref="BL259:BL261"/>
    <mergeCell ref="BA259:BA261"/>
    <mergeCell ref="BB259:BB261"/>
    <mergeCell ref="BC259:BC261"/>
    <mergeCell ref="BD259:BD261"/>
    <mergeCell ref="BE259:BE261"/>
    <mergeCell ref="BF259:BF261"/>
    <mergeCell ref="AU259:AU261"/>
    <mergeCell ref="AV259:AV261"/>
    <mergeCell ref="AW259:AW261"/>
    <mergeCell ref="AX259:AX261"/>
    <mergeCell ref="AY259:AY261"/>
    <mergeCell ref="AZ259:AZ261"/>
    <mergeCell ref="AO259:AO261"/>
    <mergeCell ref="AP259:AP261"/>
    <mergeCell ref="AQ259:AQ261"/>
    <mergeCell ref="AR259:AR261"/>
    <mergeCell ref="AS259:AS261"/>
    <mergeCell ref="AT259:AT261"/>
    <mergeCell ref="AI259:AI261"/>
    <mergeCell ref="AJ259:AJ261"/>
    <mergeCell ref="AK259:AK261"/>
    <mergeCell ref="AL259:AL261"/>
    <mergeCell ref="AM259:AM261"/>
    <mergeCell ref="AN259:AN261"/>
    <mergeCell ref="AC259:AC261"/>
    <mergeCell ref="AD259:AD261"/>
    <mergeCell ref="AE259:AE261"/>
    <mergeCell ref="AF259:AF261"/>
    <mergeCell ref="AG259:AG261"/>
    <mergeCell ref="AH259:AH261"/>
    <mergeCell ref="P259:P261"/>
    <mergeCell ref="Q259:Q261"/>
    <mergeCell ref="R259:R261"/>
    <mergeCell ref="S259:S261"/>
    <mergeCell ref="T259:T261"/>
    <mergeCell ref="AB259:AB261"/>
    <mergeCell ref="J259:J261"/>
    <mergeCell ref="K259:K261"/>
    <mergeCell ref="L259:L261"/>
    <mergeCell ref="M259:M261"/>
    <mergeCell ref="N259:N261"/>
    <mergeCell ref="O259:O261"/>
    <mergeCell ref="R251:R255"/>
    <mergeCell ref="U251:U255"/>
    <mergeCell ref="V251:V255"/>
    <mergeCell ref="J256:J257"/>
    <mergeCell ref="K256:K257"/>
    <mergeCell ref="L256:L257"/>
    <mergeCell ref="M256:M257"/>
    <mergeCell ref="N256:N257"/>
    <mergeCell ref="R256:R257"/>
    <mergeCell ref="U256:U257"/>
    <mergeCell ref="BN250:BN257"/>
    <mergeCell ref="BO250:BO257"/>
    <mergeCell ref="BP250:BP257"/>
    <mergeCell ref="BQ250:BQ257"/>
    <mergeCell ref="BR250:BR257"/>
    <mergeCell ref="J251:J255"/>
    <mergeCell ref="K251:K255"/>
    <mergeCell ref="L251:L255"/>
    <mergeCell ref="M251:M255"/>
    <mergeCell ref="N251:N255"/>
    <mergeCell ref="BH250:BH257"/>
    <mergeCell ref="BI250:BI257"/>
    <mergeCell ref="BJ250:BJ257"/>
    <mergeCell ref="BK250:BK257"/>
    <mergeCell ref="BL250:BL257"/>
    <mergeCell ref="BM250:BM257"/>
    <mergeCell ref="BB250:BB257"/>
    <mergeCell ref="BC250:BC257"/>
    <mergeCell ref="BD250:BD257"/>
    <mergeCell ref="BE250:BE257"/>
    <mergeCell ref="BF250:BF257"/>
    <mergeCell ref="BG250:BG257"/>
    <mergeCell ref="AV250:AV257"/>
    <mergeCell ref="AW250:AW257"/>
    <mergeCell ref="AX250:AX257"/>
    <mergeCell ref="AY250:AY257"/>
    <mergeCell ref="AZ250:AZ257"/>
    <mergeCell ref="BA250:BA257"/>
    <mergeCell ref="AP250:AP257"/>
    <mergeCell ref="AQ250:AQ257"/>
    <mergeCell ref="AR250:AR257"/>
    <mergeCell ref="AS250:AS257"/>
    <mergeCell ref="AT250:AT257"/>
    <mergeCell ref="AU250:AU257"/>
    <mergeCell ref="AJ250:AJ257"/>
    <mergeCell ref="AK250:AK257"/>
    <mergeCell ref="AL250:AL257"/>
    <mergeCell ref="AM250:AM257"/>
    <mergeCell ref="AN250:AN257"/>
    <mergeCell ref="AO250:AO257"/>
    <mergeCell ref="AD250:AD257"/>
    <mergeCell ref="AE250:AE257"/>
    <mergeCell ref="AF250:AF257"/>
    <mergeCell ref="AG250:AG257"/>
    <mergeCell ref="AH250:AH257"/>
    <mergeCell ref="AI250:AI257"/>
    <mergeCell ref="BP246:BP247"/>
    <mergeCell ref="BQ246:BQ247"/>
    <mergeCell ref="BR246:BR247"/>
    <mergeCell ref="O250:O257"/>
    <mergeCell ref="P250:P257"/>
    <mergeCell ref="Q250:Q257"/>
    <mergeCell ref="S250:S257"/>
    <mergeCell ref="T250:T257"/>
    <mergeCell ref="AB250:AB257"/>
    <mergeCell ref="AC250:AC257"/>
    <mergeCell ref="G246:I247"/>
    <mergeCell ref="J246:J247"/>
    <mergeCell ref="K246:K247"/>
    <mergeCell ref="L246:L247"/>
    <mergeCell ref="M246:M247"/>
    <mergeCell ref="N246:N247"/>
    <mergeCell ref="AS240:AS247"/>
    <mergeCell ref="AT240:AT247"/>
    <mergeCell ref="AU240:AU247"/>
    <mergeCell ref="AV240:AV247"/>
    <mergeCell ref="AW240:AW247"/>
    <mergeCell ref="AX240:AX247"/>
    <mergeCell ref="AM240:AM247"/>
    <mergeCell ref="AN240:AN247"/>
    <mergeCell ref="AO240:AO247"/>
    <mergeCell ref="AP240:AP247"/>
    <mergeCell ref="BQ240:BQ241"/>
    <mergeCell ref="BR240:BR241"/>
    <mergeCell ref="G243:I244"/>
    <mergeCell ref="J243:J244"/>
    <mergeCell ref="K243:K244"/>
    <mergeCell ref="L243:L244"/>
    <mergeCell ref="M243:M244"/>
    <mergeCell ref="N243:N244"/>
    <mergeCell ref="O243:O244"/>
    <mergeCell ref="R243:R244"/>
    <mergeCell ref="BK240:BK247"/>
    <mergeCell ref="BL240:BL241"/>
    <mergeCell ref="BM240:BM241"/>
    <mergeCell ref="BN240:BN241"/>
    <mergeCell ref="BO240:BO241"/>
    <mergeCell ref="BP240:BP241"/>
    <mergeCell ref="BL246:BL247"/>
    <mergeCell ref="BM246:BM247"/>
    <mergeCell ref="BN246:BN247"/>
    <mergeCell ref="BO246:BO247"/>
    <mergeCell ref="BE240:BE247"/>
    <mergeCell ref="BF240:BF247"/>
    <mergeCell ref="BG240:BG247"/>
    <mergeCell ref="BH240:BH247"/>
    <mergeCell ref="BI240:BI247"/>
    <mergeCell ref="BJ240:BJ247"/>
    <mergeCell ref="AY240:AY247"/>
    <mergeCell ref="AZ240:AZ247"/>
    <mergeCell ref="BA240:BA247"/>
    <mergeCell ref="BB240:BB247"/>
    <mergeCell ref="BC240:BC247"/>
    <mergeCell ref="BD240:BD247"/>
    <mergeCell ref="AQ240:AQ247"/>
    <mergeCell ref="AR240:AR247"/>
    <mergeCell ref="AG240:AG247"/>
    <mergeCell ref="AH240:AH247"/>
    <mergeCell ref="AI240:AI247"/>
    <mergeCell ref="AJ240:AJ247"/>
    <mergeCell ref="AK240:AK247"/>
    <mergeCell ref="AL240:AL247"/>
    <mergeCell ref="U240:U241"/>
    <mergeCell ref="AB240:AB247"/>
    <mergeCell ref="AC240:AC247"/>
    <mergeCell ref="AD240:AD247"/>
    <mergeCell ref="AE240:AE247"/>
    <mergeCell ref="AF240:AF247"/>
    <mergeCell ref="U243:U244"/>
    <mergeCell ref="V243:V244"/>
    <mergeCell ref="U246:U247"/>
    <mergeCell ref="O240:O241"/>
    <mergeCell ref="P240:P247"/>
    <mergeCell ref="Q240:Q247"/>
    <mergeCell ref="R240:R241"/>
    <mergeCell ref="S240:S247"/>
    <mergeCell ref="T240:T247"/>
    <mergeCell ref="O246:O247"/>
    <mergeCell ref="R246:R247"/>
    <mergeCell ref="G240:I241"/>
    <mergeCell ref="J240:J241"/>
    <mergeCell ref="K240:K241"/>
    <mergeCell ref="L240:L241"/>
    <mergeCell ref="M240:M241"/>
    <mergeCell ref="N240:N241"/>
    <mergeCell ref="BR229:BR237"/>
    <mergeCell ref="J233:J237"/>
    <mergeCell ref="K233:K237"/>
    <mergeCell ref="L233:L237"/>
    <mergeCell ref="M233:M237"/>
    <mergeCell ref="N233:N237"/>
    <mergeCell ref="R233:R237"/>
    <mergeCell ref="U233:U237"/>
    <mergeCell ref="BL229:BL237"/>
    <mergeCell ref="BM229:BM237"/>
    <mergeCell ref="BN229:BN237"/>
    <mergeCell ref="BO229:BO237"/>
    <mergeCell ref="BP229:BP237"/>
    <mergeCell ref="BQ229:BQ237"/>
    <mergeCell ref="BF229:BF237"/>
    <mergeCell ref="BG229:BG237"/>
    <mergeCell ref="BH229:BH237"/>
    <mergeCell ref="BI229:BI237"/>
    <mergeCell ref="BJ229:BJ237"/>
    <mergeCell ref="BK229:BK237"/>
    <mergeCell ref="AZ229:AZ237"/>
    <mergeCell ref="BA229:BA237"/>
    <mergeCell ref="BB229:BB237"/>
    <mergeCell ref="BC229:BC237"/>
    <mergeCell ref="BD229:BD237"/>
    <mergeCell ref="BE229:BE237"/>
    <mergeCell ref="AT229:AT237"/>
    <mergeCell ref="AU229:AU237"/>
    <mergeCell ref="AV229:AV237"/>
    <mergeCell ref="AW229:AW237"/>
    <mergeCell ref="AX229:AX237"/>
    <mergeCell ref="AY229:AY237"/>
    <mergeCell ref="AN229:AN237"/>
    <mergeCell ref="AO229:AO237"/>
    <mergeCell ref="AP229:AP237"/>
    <mergeCell ref="AQ229:AQ237"/>
    <mergeCell ref="AR229:AR237"/>
    <mergeCell ref="AS229:AS237"/>
    <mergeCell ref="AH229:AH237"/>
    <mergeCell ref="AI229:AI237"/>
    <mergeCell ref="AJ229:AJ237"/>
    <mergeCell ref="AK229:AK237"/>
    <mergeCell ref="AL229:AL237"/>
    <mergeCell ref="AM229:AM237"/>
    <mergeCell ref="AB229:AB237"/>
    <mergeCell ref="AC229:AC237"/>
    <mergeCell ref="AD229:AD237"/>
    <mergeCell ref="AE229:AE237"/>
    <mergeCell ref="AF229:AF237"/>
    <mergeCell ref="AG229:AG237"/>
    <mergeCell ref="P229:P237"/>
    <mergeCell ref="Q229:Q237"/>
    <mergeCell ref="R229:R232"/>
    <mergeCell ref="S229:S237"/>
    <mergeCell ref="T229:T237"/>
    <mergeCell ref="U229:U232"/>
    <mergeCell ref="J229:J232"/>
    <mergeCell ref="K229:K232"/>
    <mergeCell ref="L229:L232"/>
    <mergeCell ref="M229:M232"/>
    <mergeCell ref="N229:N232"/>
    <mergeCell ref="O229:O237"/>
    <mergeCell ref="BN221:BN228"/>
    <mergeCell ref="BO221:BO228"/>
    <mergeCell ref="BP221:BP228"/>
    <mergeCell ref="BQ221:BQ228"/>
    <mergeCell ref="BR221:BR228"/>
    <mergeCell ref="U226:U227"/>
    <mergeCell ref="BH221:BH228"/>
    <mergeCell ref="BI221:BI228"/>
    <mergeCell ref="BJ221:BJ228"/>
    <mergeCell ref="BK221:BK228"/>
    <mergeCell ref="BL221:BL228"/>
    <mergeCell ref="BM221:BM228"/>
    <mergeCell ref="BB221:BB228"/>
    <mergeCell ref="BC221:BC228"/>
    <mergeCell ref="BD221:BD228"/>
    <mergeCell ref="BE221:BE228"/>
    <mergeCell ref="BF221:BF228"/>
    <mergeCell ref="BG221:BG228"/>
    <mergeCell ref="AV221:AV228"/>
    <mergeCell ref="AW221:AW228"/>
    <mergeCell ref="AX221:AX228"/>
    <mergeCell ref="AY221:AY228"/>
    <mergeCell ref="AZ221:AZ228"/>
    <mergeCell ref="BA221:BA228"/>
    <mergeCell ref="AP221:AP228"/>
    <mergeCell ref="AQ221:AQ228"/>
    <mergeCell ref="AR221:AR228"/>
    <mergeCell ref="AS221:AS228"/>
    <mergeCell ref="AT221:AT228"/>
    <mergeCell ref="AU221:AU228"/>
    <mergeCell ref="AJ221:AJ228"/>
    <mergeCell ref="AK221:AK228"/>
    <mergeCell ref="AL221:AL228"/>
    <mergeCell ref="AM221:AM228"/>
    <mergeCell ref="AN221:AN228"/>
    <mergeCell ref="AO221:AO228"/>
    <mergeCell ref="AD221:AD228"/>
    <mergeCell ref="AE221:AE228"/>
    <mergeCell ref="AF221:AF228"/>
    <mergeCell ref="AG221:AG228"/>
    <mergeCell ref="AH221:AH228"/>
    <mergeCell ref="AI221:AI228"/>
    <mergeCell ref="S221:S228"/>
    <mergeCell ref="T221:T228"/>
    <mergeCell ref="U221:U225"/>
    <mergeCell ref="V221:V222"/>
    <mergeCell ref="AB221:AB228"/>
    <mergeCell ref="AC221:AC228"/>
    <mergeCell ref="BR215:BR219"/>
    <mergeCell ref="J221:J228"/>
    <mergeCell ref="K221:K228"/>
    <mergeCell ref="L221:L228"/>
    <mergeCell ref="M221:M228"/>
    <mergeCell ref="N221:N228"/>
    <mergeCell ref="O221:O228"/>
    <mergeCell ref="P221:P228"/>
    <mergeCell ref="Q221:Q228"/>
    <mergeCell ref="R221:R228"/>
    <mergeCell ref="BL215:BL219"/>
    <mergeCell ref="BM215:BM219"/>
    <mergeCell ref="BN215:BN219"/>
    <mergeCell ref="BO215:BO219"/>
    <mergeCell ref="BP215:BP219"/>
    <mergeCell ref="BQ215:BQ219"/>
    <mergeCell ref="BF215:BF219"/>
    <mergeCell ref="BG215:BG219"/>
    <mergeCell ref="BH215:BH219"/>
    <mergeCell ref="BI215:BI219"/>
    <mergeCell ref="BJ215:BJ219"/>
    <mergeCell ref="BK215:BK219"/>
    <mergeCell ref="AZ215:AZ219"/>
    <mergeCell ref="BA215:BA219"/>
    <mergeCell ref="BB215:BB219"/>
    <mergeCell ref="BC215:BC219"/>
    <mergeCell ref="BD215:BD219"/>
    <mergeCell ref="BE215:BE219"/>
    <mergeCell ref="AT215:AT219"/>
    <mergeCell ref="AU215:AU219"/>
    <mergeCell ref="AV215:AV219"/>
    <mergeCell ref="AW215:AW219"/>
    <mergeCell ref="AX215:AX219"/>
    <mergeCell ref="AY215:AY219"/>
    <mergeCell ref="AN215:AN219"/>
    <mergeCell ref="AO215:AO219"/>
    <mergeCell ref="AP215:AP219"/>
    <mergeCell ref="AQ215:AQ219"/>
    <mergeCell ref="AR215:AR219"/>
    <mergeCell ref="AS215:AS219"/>
    <mergeCell ref="AH215:AH219"/>
    <mergeCell ref="AI215:AI219"/>
    <mergeCell ref="AJ215:AJ219"/>
    <mergeCell ref="AK215:AK219"/>
    <mergeCell ref="AL215:AL219"/>
    <mergeCell ref="AM215:AM219"/>
    <mergeCell ref="AB215:AB219"/>
    <mergeCell ref="AC215:AC219"/>
    <mergeCell ref="AD215:AD219"/>
    <mergeCell ref="AE215:AE219"/>
    <mergeCell ref="AF215:AF219"/>
    <mergeCell ref="AG215:AG219"/>
    <mergeCell ref="P215:P219"/>
    <mergeCell ref="Q215:Q219"/>
    <mergeCell ref="R215:R218"/>
    <mergeCell ref="S215:S219"/>
    <mergeCell ref="T215:T219"/>
    <mergeCell ref="U215:U218"/>
    <mergeCell ref="J215:J218"/>
    <mergeCell ref="K215:K218"/>
    <mergeCell ref="L215:L217"/>
    <mergeCell ref="M215:M218"/>
    <mergeCell ref="N215:N218"/>
    <mergeCell ref="O215:O219"/>
    <mergeCell ref="K206:K213"/>
    <mergeCell ref="L206:L213"/>
    <mergeCell ref="M206:M213"/>
    <mergeCell ref="N206:N213"/>
    <mergeCell ref="R206:R213"/>
    <mergeCell ref="U206:U213"/>
    <mergeCell ref="P186:P213"/>
    <mergeCell ref="Q186:Q213"/>
    <mergeCell ref="R186:R191"/>
    <mergeCell ref="S186:S213"/>
    <mergeCell ref="T186:T213"/>
    <mergeCell ref="U186:U191"/>
    <mergeCell ref="R200:R205"/>
    <mergeCell ref="U200:U205"/>
    <mergeCell ref="J186:J191"/>
    <mergeCell ref="K186:K191"/>
    <mergeCell ref="L186:L191"/>
    <mergeCell ref="M186:M191"/>
    <mergeCell ref="N186:N191"/>
    <mergeCell ref="O186:O213"/>
    <mergeCell ref="BR186:BR213"/>
    <mergeCell ref="J192:J199"/>
    <mergeCell ref="K192:K199"/>
    <mergeCell ref="L192:L199"/>
    <mergeCell ref="M192:M199"/>
    <mergeCell ref="N192:N199"/>
    <mergeCell ref="R192:R199"/>
    <mergeCell ref="U192:U199"/>
    <mergeCell ref="J200:J205"/>
    <mergeCell ref="K200:K205"/>
    <mergeCell ref="BL186:BL213"/>
    <mergeCell ref="BM186:BM213"/>
    <mergeCell ref="BN186:BN213"/>
    <mergeCell ref="BO186:BO213"/>
    <mergeCell ref="BP186:BP213"/>
    <mergeCell ref="BQ186:BQ213"/>
    <mergeCell ref="BF186:BF213"/>
    <mergeCell ref="BG186:BG213"/>
    <mergeCell ref="BH186:BH213"/>
    <mergeCell ref="BI186:BI213"/>
    <mergeCell ref="BJ186:BJ213"/>
    <mergeCell ref="BK186:BK213"/>
    <mergeCell ref="AZ186:AZ213"/>
    <mergeCell ref="BA186:BA213"/>
    <mergeCell ref="BB186:BB213"/>
    <mergeCell ref="BC186:BC213"/>
    <mergeCell ref="BD186:BD213"/>
    <mergeCell ref="BE186:BE213"/>
    <mergeCell ref="AT186:AT213"/>
    <mergeCell ref="AU186:AU213"/>
    <mergeCell ref="AV186:AV213"/>
    <mergeCell ref="AW186:AW213"/>
    <mergeCell ref="AX186:AX213"/>
    <mergeCell ref="AY186:AY213"/>
    <mergeCell ref="AN186:AN213"/>
    <mergeCell ref="AO186:AO213"/>
    <mergeCell ref="AP186:AP213"/>
    <mergeCell ref="AQ186:AQ213"/>
    <mergeCell ref="AR186:AR213"/>
    <mergeCell ref="AS186:AS213"/>
    <mergeCell ref="AH186:AH213"/>
    <mergeCell ref="AI186:AI213"/>
    <mergeCell ref="AJ186:AJ213"/>
    <mergeCell ref="AK186:AK213"/>
    <mergeCell ref="AL186:AL213"/>
    <mergeCell ref="AM186:AM213"/>
    <mergeCell ref="AB186:AB213"/>
    <mergeCell ref="AC186:AC213"/>
    <mergeCell ref="AD186:AD213"/>
    <mergeCell ref="AE186:AE213"/>
    <mergeCell ref="AF186:AF213"/>
    <mergeCell ref="AG186:AG213"/>
    <mergeCell ref="L200:L205"/>
    <mergeCell ref="M200:M205"/>
    <mergeCell ref="N200:N205"/>
    <mergeCell ref="J206:J213"/>
    <mergeCell ref="BR172:BR184"/>
    <mergeCell ref="V173:V174"/>
    <mergeCell ref="U176:U184"/>
    <mergeCell ref="J177:J184"/>
    <mergeCell ref="K177:K184"/>
    <mergeCell ref="L177:L184"/>
    <mergeCell ref="M177:M184"/>
    <mergeCell ref="N177:N184"/>
    <mergeCell ref="R177:R184"/>
    <mergeCell ref="BL172:BL184"/>
    <mergeCell ref="BM172:BM184"/>
    <mergeCell ref="BN172:BN184"/>
    <mergeCell ref="BO172:BO184"/>
    <mergeCell ref="BP172:BP184"/>
    <mergeCell ref="BQ172:BQ184"/>
    <mergeCell ref="BF172:BF184"/>
    <mergeCell ref="BG172:BG184"/>
    <mergeCell ref="BH172:BH184"/>
    <mergeCell ref="BI172:BI184"/>
    <mergeCell ref="BJ172:BJ184"/>
    <mergeCell ref="BK172:BK184"/>
    <mergeCell ref="AZ172:AZ184"/>
    <mergeCell ref="BA172:BA184"/>
    <mergeCell ref="BB172:BB184"/>
    <mergeCell ref="BC172:BC184"/>
    <mergeCell ref="BD172:BD184"/>
    <mergeCell ref="BE172:BE184"/>
    <mergeCell ref="AT172:AT184"/>
    <mergeCell ref="AU172:AU184"/>
    <mergeCell ref="AV172:AV184"/>
    <mergeCell ref="AW172:AW184"/>
    <mergeCell ref="AX172:AX184"/>
    <mergeCell ref="AY172:AY184"/>
    <mergeCell ref="AN172:AN184"/>
    <mergeCell ref="AO172:AO184"/>
    <mergeCell ref="AP172:AP184"/>
    <mergeCell ref="AQ172:AQ184"/>
    <mergeCell ref="AR172:AR184"/>
    <mergeCell ref="AS172:AS184"/>
    <mergeCell ref="AH172:AH184"/>
    <mergeCell ref="AI172:AI184"/>
    <mergeCell ref="AJ172:AJ184"/>
    <mergeCell ref="AK172:AK184"/>
    <mergeCell ref="AL172:AL184"/>
    <mergeCell ref="AM172:AM184"/>
    <mergeCell ref="AB172:AB184"/>
    <mergeCell ref="AC172:AC184"/>
    <mergeCell ref="AD172:AD184"/>
    <mergeCell ref="AE172:AE184"/>
    <mergeCell ref="AF172:AF184"/>
    <mergeCell ref="AG172:AG184"/>
    <mergeCell ref="P172:P184"/>
    <mergeCell ref="Q172:Q184"/>
    <mergeCell ref="R172:R175"/>
    <mergeCell ref="S172:S184"/>
    <mergeCell ref="T172:T184"/>
    <mergeCell ref="U172:U175"/>
    <mergeCell ref="J172:J175"/>
    <mergeCell ref="K172:K175"/>
    <mergeCell ref="L172:L175"/>
    <mergeCell ref="M172:M175"/>
    <mergeCell ref="N172:N175"/>
    <mergeCell ref="O172:O184"/>
    <mergeCell ref="BR160:BR170"/>
    <mergeCell ref="J166:J170"/>
    <mergeCell ref="K166:K170"/>
    <mergeCell ref="L166:L170"/>
    <mergeCell ref="M166:M170"/>
    <mergeCell ref="N166:N170"/>
    <mergeCell ref="R166:R170"/>
    <mergeCell ref="U166:U170"/>
    <mergeCell ref="BL160:BL170"/>
    <mergeCell ref="BM160:BM170"/>
    <mergeCell ref="BN160:BN170"/>
    <mergeCell ref="BO160:BO170"/>
    <mergeCell ref="BP160:BP170"/>
    <mergeCell ref="BQ160:BQ170"/>
    <mergeCell ref="BF160:BF170"/>
    <mergeCell ref="BG160:BG170"/>
    <mergeCell ref="BH160:BH170"/>
    <mergeCell ref="BI160:BI170"/>
    <mergeCell ref="BJ160:BJ170"/>
    <mergeCell ref="BK160:BK170"/>
    <mergeCell ref="AZ160:AZ170"/>
    <mergeCell ref="BA160:BA170"/>
    <mergeCell ref="BB160:BB170"/>
    <mergeCell ref="BC160:BC170"/>
    <mergeCell ref="BD160:BD170"/>
    <mergeCell ref="BE160:BE170"/>
    <mergeCell ref="AT160:AT170"/>
    <mergeCell ref="AU160:AU170"/>
    <mergeCell ref="AV160:AV170"/>
    <mergeCell ref="AW160:AW170"/>
    <mergeCell ref="AX160:AX170"/>
    <mergeCell ref="AY160:AY170"/>
    <mergeCell ref="AN160:AN170"/>
    <mergeCell ref="AO160:AO170"/>
    <mergeCell ref="AP160:AP170"/>
    <mergeCell ref="AQ160:AQ170"/>
    <mergeCell ref="AR160:AR170"/>
    <mergeCell ref="AS160:AS170"/>
    <mergeCell ref="AH160:AH170"/>
    <mergeCell ref="AI160:AI170"/>
    <mergeCell ref="AJ160:AJ170"/>
    <mergeCell ref="AK160:AK170"/>
    <mergeCell ref="AL160:AL170"/>
    <mergeCell ref="AM160:AM170"/>
    <mergeCell ref="AB160:AB170"/>
    <mergeCell ref="AC160:AC170"/>
    <mergeCell ref="AD160:AD170"/>
    <mergeCell ref="AE160:AE170"/>
    <mergeCell ref="AF160:AF170"/>
    <mergeCell ref="AG160:AG170"/>
    <mergeCell ref="P160:P170"/>
    <mergeCell ref="Q160:Q170"/>
    <mergeCell ref="R160:R165"/>
    <mergeCell ref="S160:S170"/>
    <mergeCell ref="T160:T170"/>
    <mergeCell ref="U160:U165"/>
    <mergeCell ref="J160:J165"/>
    <mergeCell ref="K160:K165"/>
    <mergeCell ref="L160:L165"/>
    <mergeCell ref="M160:M165"/>
    <mergeCell ref="N160:N165"/>
    <mergeCell ref="O160:O170"/>
    <mergeCell ref="BR152:BR158"/>
    <mergeCell ref="J155:J158"/>
    <mergeCell ref="K155:K158"/>
    <mergeCell ref="L155:L158"/>
    <mergeCell ref="M155:M158"/>
    <mergeCell ref="N155:N158"/>
    <mergeCell ref="R155:R158"/>
    <mergeCell ref="U155:U158"/>
    <mergeCell ref="BL152:BL158"/>
    <mergeCell ref="BM152:BM158"/>
    <mergeCell ref="BN152:BN158"/>
    <mergeCell ref="BO152:BO158"/>
    <mergeCell ref="BP152:BP158"/>
    <mergeCell ref="BQ152:BQ158"/>
    <mergeCell ref="BF152:BF158"/>
    <mergeCell ref="BG152:BG158"/>
    <mergeCell ref="BH152:BH158"/>
    <mergeCell ref="BI152:BI158"/>
    <mergeCell ref="BJ152:BJ158"/>
    <mergeCell ref="BK152:BK158"/>
    <mergeCell ref="AZ152:AZ158"/>
    <mergeCell ref="BA152:BA158"/>
    <mergeCell ref="BB152:BB158"/>
    <mergeCell ref="BC152:BC158"/>
    <mergeCell ref="BD152:BD158"/>
    <mergeCell ref="BE152:BE158"/>
    <mergeCell ref="AT152:AT158"/>
    <mergeCell ref="AU152:AU158"/>
    <mergeCell ref="AV152:AV158"/>
    <mergeCell ref="AW152:AW158"/>
    <mergeCell ref="AX152:AX158"/>
    <mergeCell ref="AY152:AY158"/>
    <mergeCell ref="AN152:AN158"/>
    <mergeCell ref="AO152:AO158"/>
    <mergeCell ref="AP152:AP158"/>
    <mergeCell ref="AQ152:AQ158"/>
    <mergeCell ref="AR152:AR158"/>
    <mergeCell ref="AS152:AS158"/>
    <mergeCell ref="AH152:AH158"/>
    <mergeCell ref="AI152:AI158"/>
    <mergeCell ref="AJ152:AJ158"/>
    <mergeCell ref="AK152:AK158"/>
    <mergeCell ref="AL152:AL158"/>
    <mergeCell ref="AM152:AM158"/>
    <mergeCell ref="AB152:AB158"/>
    <mergeCell ref="AC152:AC158"/>
    <mergeCell ref="AD152:AD158"/>
    <mergeCell ref="AE152:AE158"/>
    <mergeCell ref="AF152:AF158"/>
    <mergeCell ref="AG152:AG158"/>
    <mergeCell ref="P152:P158"/>
    <mergeCell ref="Q152:Q158"/>
    <mergeCell ref="R152:R154"/>
    <mergeCell ref="S152:S158"/>
    <mergeCell ref="T152:T158"/>
    <mergeCell ref="U152:U154"/>
    <mergeCell ref="J152:J154"/>
    <mergeCell ref="K152:K154"/>
    <mergeCell ref="L152:L154"/>
    <mergeCell ref="M152:M154"/>
    <mergeCell ref="N152:N154"/>
    <mergeCell ref="O152:O158"/>
    <mergeCell ref="BR128:BR150"/>
    <mergeCell ref="V131:V133"/>
    <mergeCell ref="V135:V137"/>
    <mergeCell ref="U138:U143"/>
    <mergeCell ref="V138:V140"/>
    <mergeCell ref="V141:V143"/>
    <mergeCell ref="U144:U150"/>
    <mergeCell ref="V145:V147"/>
    <mergeCell ref="V148:V150"/>
    <mergeCell ref="BL128:BL150"/>
    <mergeCell ref="BM128:BM150"/>
    <mergeCell ref="BN128:BN150"/>
    <mergeCell ref="BO128:BO150"/>
    <mergeCell ref="BP128:BP150"/>
    <mergeCell ref="BQ128:BQ150"/>
    <mergeCell ref="BF128:BF150"/>
    <mergeCell ref="BG128:BG150"/>
    <mergeCell ref="BH128:BH150"/>
    <mergeCell ref="BI128:BI150"/>
    <mergeCell ref="BJ128:BJ150"/>
    <mergeCell ref="BK128:BK150"/>
    <mergeCell ref="AZ128:AZ150"/>
    <mergeCell ref="BA128:BA150"/>
    <mergeCell ref="BB128:BB150"/>
    <mergeCell ref="BC128:BC150"/>
    <mergeCell ref="BD128:BD150"/>
    <mergeCell ref="BE128:BE150"/>
    <mergeCell ref="AT128:AT150"/>
    <mergeCell ref="AU128:AU150"/>
    <mergeCell ref="AV128:AV150"/>
    <mergeCell ref="AW128:AW150"/>
    <mergeCell ref="AX128:AX150"/>
    <mergeCell ref="AY128:AY150"/>
    <mergeCell ref="AN128:AN150"/>
    <mergeCell ref="AO128:AO150"/>
    <mergeCell ref="AP128:AP150"/>
    <mergeCell ref="AQ128:AQ150"/>
    <mergeCell ref="AR128:AR150"/>
    <mergeCell ref="AS128:AS150"/>
    <mergeCell ref="AH128:AH150"/>
    <mergeCell ref="AI128:AI150"/>
    <mergeCell ref="AJ128:AJ150"/>
    <mergeCell ref="AK128:AK150"/>
    <mergeCell ref="AL128:AL150"/>
    <mergeCell ref="AM128:AM150"/>
    <mergeCell ref="AB128:AB150"/>
    <mergeCell ref="AC128:AC150"/>
    <mergeCell ref="AD128:AD150"/>
    <mergeCell ref="AE128:AE150"/>
    <mergeCell ref="AF128:AF150"/>
    <mergeCell ref="AG128:AG150"/>
    <mergeCell ref="Q128:Q150"/>
    <mergeCell ref="R128:R150"/>
    <mergeCell ref="S128:S150"/>
    <mergeCell ref="T128:T150"/>
    <mergeCell ref="U128:U137"/>
    <mergeCell ref="V128:V130"/>
    <mergeCell ref="J128:J150"/>
    <mergeCell ref="K128:K150"/>
    <mergeCell ref="L128:L150"/>
    <mergeCell ref="M128:M150"/>
    <mergeCell ref="N128:N150"/>
    <mergeCell ref="P128:P150"/>
    <mergeCell ref="BQ106:BQ127"/>
    <mergeCell ref="BR106:BR127"/>
    <mergeCell ref="V109:V110"/>
    <mergeCell ref="V111:V113"/>
    <mergeCell ref="V114:V115"/>
    <mergeCell ref="V116:V117"/>
    <mergeCell ref="V118:V119"/>
    <mergeCell ref="BK106:BK127"/>
    <mergeCell ref="BL106:BL127"/>
    <mergeCell ref="BM106:BM127"/>
    <mergeCell ref="BN106:BN127"/>
    <mergeCell ref="BO106:BO127"/>
    <mergeCell ref="BP106:BP127"/>
    <mergeCell ref="BE106:BE127"/>
    <mergeCell ref="BF106:BF127"/>
    <mergeCell ref="BG106:BG127"/>
    <mergeCell ref="BH106:BH127"/>
    <mergeCell ref="BI106:BI127"/>
    <mergeCell ref="BJ106:BJ127"/>
    <mergeCell ref="AY106:AY127"/>
    <mergeCell ref="AZ106:AZ127"/>
    <mergeCell ref="BA106:BA127"/>
    <mergeCell ref="BB106:BB127"/>
    <mergeCell ref="BC106:BC127"/>
    <mergeCell ref="BD106:BD127"/>
    <mergeCell ref="AS106:AS127"/>
    <mergeCell ref="AT106:AT127"/>
    <mergeCell ref="AU106:AU127"/>
    <mergeCell ref="AV106:AV127"/>
    <mergeCell ref="AW106:AW127"/>
    <mergeCell ref="AX106:AX127"/>
    <mergeCell ref="AM106:AM127"/>
    <mergeCell ref="AN106:AN127"/>
    <mergeCell ref="AO106:AO127"/>
    <mergeCell ref="AP106:AP127"/>
    <mergeCell ref="AQ106:AQ127"/>
    <mergeCell ref="AR106:AR127"/>
    <mergeCell ref="AG106:AG127"/>
    <mergeCell ref="AH106:AH127"/>
    <mergeCell ref="AI106:AI127"/>
    <mergeCell ref="AJ106:AJ127"/>
    <mergeCell ref="AK106:AK127"/>
    <mergeCell ref="AL106:AL127"/>
    <mergeCell ref="V106:V108"/>
    <mergeCell ref="AB106:AB127"/>
    <mergeCell ref="AC106:AC127"/>
    <mergeCell ref="AD106:AD127"/>
    <mergeCell ref="AE106:AE127"/>
    <mergeCell ref="AF106:AF127"/>
    <mergeCell ref="V120:V121"/>
    <mergeCell ref="V122:V123"/>
    <mergeCell ref="V124:V125"/>
    <mergeCell ref="V126:V127"/>
    <mergeCell ref="P106:P127"/>
    <mergeCell ref="Q106:Q126"/>
    <mergeCell ref="R106:R119"/>
    <mergeCell ref="S106:S127"/>
    <mergeCell ref="T106:T126"/>
    <mergeCell ref="U106:U119"/>
    <mergeCell ref="J106:J119"/>
    <mergeCell ref="K106:K119"/>
    <mergeCell ref="L106:L119"/>
    <mergeCell ref="M106:M119"/>
    <mergeCell ref="N106:N119"/>
    <mergeCell ref="O106:O127"/>
    <mergeCell ref="J120:J127"/>
    <mergeCell ref="K120:K127"/>
    <mergeCell ref="L120:L127"/>
    <mergeCell ref="M120:M127"/>
    <mergeCell ref="N120:N127"/>
    <mergeCell ref="R120:R127"/>
    <mergeCell ref="U120:U127"/>
    <mergeCell ref="BR98:BR105"/>
    <mergeCell ref="J102:J105"/>
    <mergeCell ref="K102:K105"/>
    <mergeCell ref="L102:L105"/>
    <mergeCell ref="M102:M105"/>
    <mergeCell ref="N102:N105"/>
    <mergeCell ref="R102:R105"/>
    <mergeCell ref="U102:U105"/>
    <mergeCell ref="BL98:BL105"/>
    <mergeCell ref="BM98:BM105"/>
    <mergeCell ref="BN98:BN105"/>
    <mergeCell ref="BO98:BO105"/>
    <mergeCell ref="BP98:BP105"/>
    <mergeCell ref="BQ98:BQ105"/>
    <mergeCell ref="BF98:BF105"/>
    <mergeCell ref="BG98:BG105"/>
    <mergeCell ref="BH98:BH105"/>
    <mergeCell ref="BI98:BI105"/>
    <mergeCell ref="BJ98:BJ105"/>
    <mergeCell ref="BK98:BK105"/>
    <mergeCell ref="AZ98:AZ105"/>
    <mergeCell ref="BA98:BA105"/>
    <mergeCell ref="BB98:BB105"/>
    <mergeCell ref="BC98:BC105"/>
    <mergeCell ref="BD98:BD105"/>
    <mergeCell ref="BE98:BE105"/>
    <mergeCell ref="AT98:AT105"/>
    <mergeCell ref="AU98:AU105"/>
    <mergeCell ref="AV98:AV105"/>
    <mergeCell ref="AW98:AW105"/>
    <mergeCell ref="AX98:AX105"/>
    <mergeCell ref="AY98:AY105"/>
    <mergeCell ref="AN98:AN105"/>
    <mergeCell ref="AO98:AO105"/>
    <mergeCell ref="AP98:AP105"/>
    <mergeCell ref="AQ98:AQ105"/>
    <mergeCell ref="AR98:AR105"/>
    <mergeCell ref="AS98:AS105"/>
    <mergeCell ref="AH98:AH105"/>
    <mergeCell ref="AI98:AI105"/>
    <mergeCell ref="AJ98:AJ105"/>
    <mergeCell ref="AK98:AK105"/>
    <mergeCell ref="AL98:AL105"/>
    <mergeCell ref="AM98:AM105"/>
    <mergeCell ref="AB98:AB105"/>
    <mergeCell ref="AC98:AC105"/>
    <mergeCell ref="AD98:AD105"/>
    <mergeCell ref="AE98:AE105"/>
    <mergeCell ref="AF98:AF105"/>
    <mergeCell ref="AG98:AG105"/>
    <mergeCell ref="P98:P105"/>
    <mergeCell ref="Q98:Q105"/>
    <mergeCell ref="R98:R101"/>
    <mergeCell ref="S98:S105"/>
    <mergeCell ref="T98:T105"/>
    <mergeCell ref="U98:U101"/>
    <mergeCell ref="J98:J101"/>
    <mergeCell ref="K98:K101"/>
    <mergeCell ref="L98:L101"/>
    <mergeCell ref="M98:M101"/>
    <mergeCell ref="N98:N101"/>
    <mergeCell ref="O98:O105"/>
    <mergeCell ref="K94:K96"/>
    <mergeCell ref="L94:L96"/>
    <mergeCell ref="M94:M96"/>
    <mergeCell ref="N94:N96"/>
    <mergeCell ref="R94:R96"/>
    <mergeCell ref="U94:U96"/>
    <mergeCell ref="O86:O96"/>
    <mergeCell ref="P86:P96"/>
    <mergeCell ref="Q86:Q96"/>
    <mergeCell ref="R86:R89"/>
    <mergeCell ref="S86:S96"/>
    <mergeCell ref="T86:T96"/>
    <mergeCell ref="BQ86:BQ96"/>
    <mergeCell ref="BR86:BR96"/>
    <mergeCell ref="J90:J93"/>
    <mergeCell ref="K90:K93"/>
    <mergeCell ref="L90:L93"/>
    <mergeCell ref="M90:M93"/>
    <mergeCell ref="N90:N93"/>
    <mergeCell ref="R90:R93"/>
    <mergeCell ref="U90:U93"/>
    <mergeCell ref="J94:J96"/>
    <mergeCell ref="BK86:BK96"/>
    <mergeCell ref="BL86:BL96"/>
    <mergeCell ref="BM86:BM96"/>
    <mergeCell ref="BN86:BN96"/>
    <mergeCell ref="BO86:BO96"/>
    <mergeCell ref="BP86:BP96"/>
    <mergeCell ref="BE86:BE96"/>
    <mergeCell ref="BF86:BF96"/>
    <mergeCell ref="BG86:BG96"/>
    <mergeCell ref="BH86:BH96"/>
    <mergeCell ref="BI86:BI96"/>
    <mergeCell ref="BJ86:BJ96"/>
    <mergeCell ref="AY86:AY96"/>
    <mergeCell ref="AZ86:AZ96"/>
    <mergeCell ref="BA86:BA96"/>
    <mergeCell ref="BB86:BB96"/>
    <mergeCell ref="BC86:BC96"/>
    <mergeCell ref="BD86:BD96"/>
    <mergeCell ref="AS86:AS96"/>
    <mergeCell ref="AT86:AT96"/>
    <mergeCell ref="AU86:AU96"/>
    <mergeCell ref="AV86:AV96"/>
    <mergeCell ref="AW86:AW96"/>
    <mergeCell ref="AX86:AX96"/>
    <mergeCell ref="AM86:AM96"/>
    <mergeCell ref="AN86:AN96"/>
    <mergeCell ref="AO86:AO96"/>
    <mergeCell ref="AP86:AP96"/>
    <mergeCell ref="AQ86:AQ96"/>
    <mergeCell ref="AR86:AR96"/>
    <mergeCell ref="AG86:AG96"/>
    <mergeCell ref="AH86:AH96"/>
    <mergeCell ref="AI86:AI96"/>
    <mergeCell ref="AJ86:AJ96"/>
    <mergeCell ref="AK86:AK96"/>
    <mergeCell ref="AL86:AL96"/>
    <mergeCell ref="U86:U89"/>
    <mergeCell ref="AB86:AB96"/>
    <mergeCell ref="AC86:AC96"/>
    <mergeCell ref="AD86:AD96"/>
    <mergeCell ref="AE86:AE96"/>
    <mergeCell ref="AF86:AF96"/>
    <mergeCell ref="L80:L84"/>
    <mergeCell ref="M80:M84"/>
    <mergeCell ref="N80:N84"/>
    <mergeCell ref="R80:R84"/>
    <mergeCell ref="U80:U84"/>
    <mergeCell ref="J86:J89"/>
    <mergeCell ref="K86:K89"/>
    <mergeCell ref="L86:L89"/>
    <mergeCell ref="M86:M89"/>
    <mergeCell ref="N86:N89"/>
    <mergeCell ref="BR66:BR84"/>
    <mergeCell ref="J75:J79"/>
    <mergeCell ref="K75:K79"/>
    <mergeCell ref="L75:L79"/>
    <mergeCell ref="M75:M79"/>
    <mergeCell ref="N75:N79"/>
    <mergeCell ref="R75:R79"/>
    <mergeCell ref="U75:U79"/>
    <mergeCell ref="J80:J84"/>
    <mergeCell ref="K80:K84"/>
    <mergeCell ref="BL66:BL84"/>
    <mergeCell ref="BM66:BM84"/>
    <mergeCell ref="BN66:BN84"/>
    <mergeCell ref="BO66:BO84"/>
    <mergeCell ref="BP66:BP84"/>
    <mergeCell ref="BQ66:BQ84"/>
    <mergeCell ref="BF66:BF84"/>
    <mergeCell ref="BG66:BG84"/>
    <mergeCell ref="BH66:BH84"/>
    <mergeCell ref="BI66:BI84"/>
    <mergeCell ref="BJ66:BJ84"/>
    <mergeCell ref="BK66:BK84"/>
    <mergeCell ref="AZ66:AZ84"/>
    <mergeCell ref="BA66:BA84"/>
    <mergeCell ref="BB66:BB84"/>
    <mergeCell ref="BC66:BC84"/>
    <mergeCell ref="BD66:BD84"/>
    <mergeCell ref="BE66:BE84"/>
    <mergeCell ref="AT66:AT84"/>
    <mergeCell ref="AU66:AU84"/>
    <mergeCell ref="AV66:AV84"/>
    <mergeCell ref="AW66:AW84"/>
    <mergeCell ref="AX66:AX84"/>
    <mergeCell ref="AY66:AY84"/>
    <mergeCell ref="AN66:AN84"/>
    <mergeCell ref="AO66:AO84"/>
    <mergeCell ref="AP66:AP84"/>
    <mergeCell ref="AQ66:AQ84"/>
    <mergeCell ref="AR66:AR84"/>
    <mergeCell ref="AS66:AS84"/>
    <mergeCell ref="AH66:AH84"/>
    <mergeCell ref="AI66:AI84"/>
    <mergeCell ref="AJ66:AJ84"/>
    <mergeCell ref="AK66:AK84"/>
    <mergeCell ref="AL66:AL84"/>
    <mergeCell ref="AM66:AM84"/>
    <mergeCell ref="AB66:AB84"/>
    <mergeCell ref="AC66:AC84"/>
    <mergeCell ref="AD66:AD84"/>
    <mergeCell ref="AE66:AE84"/>
    <mergeCell ref="AF66:AF84"/>
    <mergeCell ref="AG66:AG84"/>
    <mergeCell ref="P66:P84"/>
    <mergeCell ref="Q66:Q84"/>
    <mergeCell ref="R66:R74"/>
    <mergeCell ref="S66:S84"/>
    <mergeCell ref="T66:T84"/>
    <mergeCell ref="U66:U74"/>
    <mergeCell ref="L60:L64"/>
    <mergeCell ref="M60:M64"/>
    <mergeCell ref="N60:N64"/>
    <mergeCell ref="R60:R64"/>
    <mergeCell ref="J66:J74"/>
    <mergeCell ref="K66:K74"/>
    <mergeCell ref="L66:L74"/>
    <mergeCell ref="M66:M74"/>
    <mergeCell ref="N66:N74"/>
    <mergeCell ref="O66:O84"/>
    <mergeCell ref="BR39:BR64"/>
    <mergeCell ref="J43:J47"/>
    <mergeCell ref="K43:K47"/>
    <mergeCell ref="L43:L47"/>
    <mergeCell ref="M43:M47"/>
    <mergeCell ref="N43:N47"/>
    <mergeCell ref="R43:R47"/>
    <mergeCell ref="J48:J59"/>
    <mergeCell ref="K48:K59"/>
    <mergeCell ref="L48:L59"/>
    <mergeCell ref="BL39:BL64"/>
    <mergeCell ref="BM39:BM64"/>
    <mergeCell ref="BN39:BN64"/>
    <mergeCell ref="BO39:BO64"/>
    <mergeCell ref="BP39:BP64"/>
    <mergeCell ref="BQ39:BQ64"/>
    <mergeCell ref="BF39:BF64"/>
    <mergeCell ref="BG39:BG64"/>
    <mergeCell ref="BH39:BH64"/>
    <mergeCell ref="BI39:BI64"/>
    <mergeCell ref="BJ39:BJ64"/>
    <mergeCell ref="BK39:BK64"/>
    <mergeCell ref="AZ39:AZ64"/>
    <mergeCell ref="BA39:BA64"/>
    <mergeCell ref="BB39:BB64"/>
    <mergeCell ref="BC39:BC64"/>
    <mergeCell ref="BD39:BD64"/>
    <mergeCell ref="BE39:BE64"/>
    <mergeCell ref="AT39:AT64"/>
    <mergeCell ref="AU39:AU64"/>
    <mergeCell ref="AV39:AV64"/>
    <mergeCell ref="AW39:AW64"/>
    <mergeCell ref="AX39:AX64"/>
    <mergeCell ref="AY39:AY64"/>
    <mergeCell ref="AN39:AN64"/>
    <mergeCell ref="AO39:AO64"/>
    <mergeCell ref="AP39:AP64"/>
    <mergeCell ref="AQ39:AQ64"/>
    <mergeCell ref="AR39:AR64"/>
    <mergeCell ref="AS39:AS64"/>
    <mergeCell ref="AH39:AH64"/>
    <mergeCell ref="AI39:AI64"/>
    <mergeCell ref="AJ39:AJ64"/>
    <mergeCell ref="AK39:AK64"/>
    <mergeCell ref="AL39:AL64"/>
    <mergeCell ref="AM39:AM64"/>
    <mergeCell ref="AB39:AB64"/>
    <mergeCell ref="AC39:AC64"/>
    <mergeCell ref="AD39:AD64"/>
    <mergeCell ref="AE39:AE64"/>
    <mergeCell ref="AF39:AF64"/>
    <mergeCell ref="AG39:AG64"/>
    <mergeCell ref="P39:P64"/>
    <mergeCell ref="Q39:Q64"/>
    <mergeCell ref="R39:R42"/>
    <mergeCell ref="S39:S64"/>
    <mergeCell ref="T39:T64"/>
    <mergeCell ref="U39:U47"/>
    <mergeCell ref="R48:R59"/>
    <mergeCell ref="U48:U64"/>
    <mergeCell ref="J39:J42"/>
    <mergeCell ref="K39:K42"/>
    <mergeCell ref="L39:L42"/>
    <mergeCell ref="M39:M42"/>
    <mergeCell ref="N39:N42"/>
    <mergeCell ref="O39:O64"/>
    <mergeCell ref="M48:M59"/>
    <mergeCell ref="N48:N59"/>
    <mergeCell ref="J60:J64"/>
    <mergeCell ref="K60:K64"/>
    <mergeCell ref="J35:J37"/>
    <mergeCell ref="K35:K37"/>
    <mergeCell ref="L35:L37"/>
    <mergeCell ref="M35:M37"/>
    <mergeCell ref="N35:N37"/>
    <mergeCell ref="R35:R37"/>
    <mergeCell ref="BM34:BM37"/>
    <mergeCell ref="AU34:AU37"/>
    <mergeCell ref="AV34:AV37"/>
    <mergeCell ref="AW34:AW37"/>
    <mergeCell ref="AX34:AX37"/>
    <mergeCell ref="AY34:AY37"/>
    <mergeCell ref="AZ34:AZ37"/>
    <mergeCell ref="AO34:AO37"/>
    <mergeCell ref="AP34:AP37"/>
    <mergeCell ref="AQ34:AQ37"/>
    <mergeCell ref="AR34:AR37"/>
    <mergeCell ref="AS34:AS37"/>
    <mergeCell ref="AT34:AT37"/>
    <mergeCell ref="AI34:AI37"/>
    <mergeCell ref="AJ34:AJ37"/>
    <mergeCell ref="AK34:AK37"/>
    <mergeCell ref="BN34:BN37"/>
    <mergeCell ref="BO34:BO37"/>
    <mergeCell ref="BP34:BP37"/>
    <mergeCell ref="BQ34:BQ37"/>
    <mergeCell ref="BR34:BR37"/>
    <mergeCell ref="BG34:BG37"/>
    <mergeCell ref="BH34:BH37"/>
    <mergeCell ref="BI34:BI37"/>
    <mergeCell ref="BJ34:BJ37"/>
    <mergeCell ref="BK34:BK37"/>
    <mergeCell ref="BL34:BL37"/>
    <mergeCell ref="BA34:BA37"/>
    <mergeCell ref="BB34:BB37"/>
    <mergeCell ref="BC34:BC37"/>
    <mergeCell ref="BD34:BD37"/>
    <mergeCell ref="BE34:BE37"/>
    <mergeCell ref="BF34:BF37"/>
    <mergeCell ref="AL34:AL37"/>
    <mergeCell ref="AM34:AM37"/>
    <mergeCell ref="AN34:AN37"/>
    <mergeCell ref="AC34:AC37"/>
    <mergeCell ref="AD34:AD37"/>
    <mergeCell ref="AE34:AE37"/>
    <mergeCell ref="AF34:AF37"/>
    <mergeCell ref="AG34:AG37"/>
    <mergeCell ref="AH34:AH37"/>
    <mergeCell ref="O34:O37"/>
    <mergeCell ref="P34:P37"/>
    <mergeCell ref="Q34:Q37"/>
    <mergeCell ref="S34:S37"/>
    <mergeCell ref="T34:T37"/>
    <mergeCell ref="AB34:AB37"/>
    <mergeCell ref="U35:U37"/>
    <mergeCell ref="J25:J31"/>
    <mergeCell ref="K25:K31"/>
    <mergeCell ref="L25:L31"/>
    <mergeCell ref="M25:M31"/>
    <mergeCell ref="N25:N31"/>
    <mergeCell ref="R25:R31"/>
    <mergeCell ref="J20:J24"/>
    <mergeCell ref="K20:K24"/>
    <mergeCell ref="L20:L24"/>
    <mergeCell ref="M20:M24"/>
    <mergeCell ref="N20:N24"/>
    <mergeCell ref="R20:R24"/>
    <mergeCell ref="BM13:BM31"/>
    <mergeCell ref="BN13:BN31"/>
    <mergeCell ref="BO13:BO31"/>
    <mergeCell ref="BP13:BP31"/>
    <mergeCell ref="BQ13:BQ31"/>
    <mergeCell ref="BR13:BR31"/>
    <mergeCell ref="BG13:BG31"/>
    <mergeCell ref="BH13:BH31"/>
    <mergeCell ref="BI13:BI31"/>
    <mergeCell ref="BJ13:BJ31"/>
    <mergeCell ref="BK13:BK31"/>
    <mergeCell ref="BL13:BL31"/>
    <mergeCell ref="BA13:BA31"/>
    <mergeCell ref="BB13:BB31"/>
    <mergeCell ref="BC13:BC31"/>
    <mergeCell ref="BD13:BD31"/>
    <mergeCell ref="BE13:BE31"/>
    <mergeCell ref="BF13:BF31"/>
    <mergeCell ref="AU13:AU31"/>
    <mergeCell ref="AV13:AV31"/>
    <mergeCell ref="AW13:AW31"/>
    <mergeCell ref="AX13:AX31"/>
    <mergeCell ref="AY13:AY31"/>
    <mergeCell ref="AZ13:AZ31"/>
    <mergeCell ref="AO13:AO31"/>
    <mergeCell ref="AP13:AP31"/>
    <mergeCell ref="AQ13:AQ31"/>
    <mergeCell ref="AR13:AR31"/>
    <mergeCell ref="AS13:AS31"/>
    <mergeCell ref="AT13:AT31"/>
    <mergeCell ref="AI13:AI31"/>
    <mergeCell ref="AJ13:AJ31"/>
    <mergeCell ref="AK13:AK31"/>
    <mergeCell ref="AL13:AL31"/>
    <mergeCell ref="AM13:AM31"/>
    <mergeCell ref="AN13:AN31"/>
    <mergeCell ref="AC13:AC31"/>
    <mergeCell ref="AD13:AD31"/>
    <mergeCell ref="AE13:AE31"/>
    <mergeCell ref="AF13:AF31"/>
    <mergeCell ref="AG13:AG31"/>
    <mergeCell ref="AH13:AH31"/>
    <mergeCell ref="Q13:Q31"/>
    <mergeCell ref="R13:R19"/>
    <mergeCell ref="S13:S31"/>
    <mergeCell ref="T13:T31"/>
    <mergeCell ref="U13:U19"/>
    <mergeCell ref="AB13:AB31"/>
    <mergeCell ref="U20:U24"/>
    <mergeCell ref="U25:U31"/>
    <mergeCell ref="BK8:BK9"/>
    <mergeCell ref="BL8:BL9"/>
    <mergeCell ref="BM8:BM9"/>
    <mergeCell ref="J13:J19"/>
    <mergeCell ref="K13:K19"/>
    <mergeCell ref="L13:L19"/>
    <mergeCell ref="M13:M19"/>
    <mergeCell ref="N13:N19"/>
    <mergeCell ref="O13:O31"/>
    <mergeCell ref="P13:P31"/>
    <mergeCell ref="BB8:BC8"/>
    <mergeCell ref="BD8:BE8"/>
    <mergeCell ref="BF8:BG8"/>
    <mergeCell ref="BH8:BH9"/>
    <mergeCell ref="BI8:BI9"/>
    <mergeCell ref="BJ8:BJ9"/>
    <mergeCell ref="BR7:BR9"/>
    <mergeCell ref="AB8:AC8"/>
    <mergeCell ref="AD8:AE8"/>
    <mergeCell ref="AF8:AG8"/>
    <mergeCell ref="AH8:AI8"/>
    <mergeCell ref="AJ8:AK8"/>
    <mergeCell ref="AL8:AM8"/>
    <mergeCell ref="AN8:AO8"/>
    <mergeCell ref="AP8:AQ8"/>
    <mergeCell ref="AR8:AS8"/>
    <mergeCell ref="AN7:AY7"/>
    <mergeCell ref="AZ7:BE7"/>
    <mergeCell ref="BF7:BG7"/>
    <mergeCell ref="BH7:BM7"/>
    <mergeCell ref="BN7:BO8"/>
    <mergeCell ref="BP7:BQ8"/>
    <mergeCell ref="A1:BP4"/>
    <mergeCell ref="A5:M6"/>
    <mergeCell ref="Q5:BR5"/>
    <mergeCell ref="Q6:AA6"/>
    <mergeCell ref="BN6:BR6"/>
    <mergeCell ref="A7:A9"/>
    <mergeCell ref="B7:C9"/>
    <mergeCell ref="D7:D9"/>
    <mergeCell ref="E7:F9"/>
    <mergeCell ref="G7:G9"/>
    <mergeCell ref="AT8:AU8"/>
    <mergeCell ref="AV8:AW8"/>
    <mergeCell ref="AX8:AY8"/>
    <mergeCell ref="AZ8:BA8"/>
    <mergeCell ref="V7:V9"/>
    <mergeCell ref="W7:Y8"/>
    <mergeCell ref="Z7:Z9"/>
    <mergeCell ref="AA7:AA9"/>
    <mergeCell ref="AB7:AE7"/>
    <mergeCell ref="AF7:AM7"/>
    <mergeCell ref="P7:P9"/>
    <mergeCell ref="Q7:Q9"/>
    <mergeCell ref="R7:R9"/>
    <mergeCell ref="S7:S9"/>
    <mergeCell ref="T7:T9"/>
    <mergeCell ref="U7:U9"/>
    <mergeCell ref="H7:I9"/>
    <mergeCell ref="J7:J9"/>
    <mergeCell ref="K7:K9"/>
    <mergeCell ref="L7:L9"/>
    <mergeCell ref="M7:N8"/>
    <mergeCell ref="O7:O9"/>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55"/>
  <sheetViews>
    <sheetView showGridLines="0" topLeftCell="P1" zoomScale="70" zoomScaleNormal="70" workbookViewId="0">
      <selection activeCell="W17" sqref="W17"/>
    </sheetView>
  </sheetViews>
  <sheetFormatPr baseColWidth="10" defaultColWidth="11.42578125" defaultRowHeight="14.25" x14ac:dyDescent="0.2"/>
  <cols>
    <col min="1" max="1" width="12.85546875" style="1378" customWidth="1"/>
    <col min="2" max="2" width="4" style="2" customWidth="1"/>
    <col min="3" max="3" width="22" style="2" customWidth="1"/>
    <col min="4" max="4" width="17.28515625" style="2" customWidth="1"/>
    <col min="5" max="5" width="6.42578125" style="2" customWidth="1"/>
    <col min="6" max="6" width="13.7109375" style="2" customWidth="1"/>
    <col min="7" max="7" width="12.7109375" style="2" customWidth="1"/>
    <col min="8" max="8" width="4.5703125" style="2" customWidth="1"/>
    <col min="9" max="9" width="15.140625" style="2" customWidth="1"/>
    <col min="10" max="10" width="15.85546875" style="2" customWidth="1"/>
    <col min="11" max="11" width="25.7109375" style="1379" customWidth="1"/>
    <col min="12" max="12" width="18.7109375" style="1283" customWidth="1"/>
    <col min="13" max="14" width="18.5703125" style="1283" customWidth="1"/>
    <col min="15" max="15" width="27.7109375" style="1283" customWidth="1"/>
    <col min="16" max="16" width="20.140625" style="1380" customWidth="1"/>
    <col min="17" max="17" width="17" style="1379" customWidth="1"/>
    <col min="18" max="18" width="12.7109375" style="1381" customWidth="1"/>
    <col min="19" max="19" width="24.5703125" style="1382" customWidth="1"/>
    <col min="20" max="20" width="29" style="1379" customWidth="1"/>
    <col min="21" max="21" width="21.28515625" style="1379" customWidth="1"/>
    <col min="22" max="22" width="36.42578125" style="1379" customWidth="1"/>
    <col min="23" max="23" width="27.42578125" style="1383" customWidth="1"/>
    <col min="24" max="24" width="29.28515625" style="1383" customWidth="1"/>
    <col min="25" max="25" width="29.5703125" style="1383" customWidth="1"/>
    <col min="26" max="26" width="17.42578125" style="1377" customWidth="1"/>
    <col min="27" max="27" width="26.28515625" style="1384" customWidth="1"/>
    <col min="28" max="28" width="9.28515625" style="2" bestFit="1" customWidth="1"/>
    <col min="29" max="29" width="8.7109375" style="2" bestFit="1" customWidth="1"/>
    <col min="30" max="30" width="9.42578125" style="2" bestFit="1" customWidth="1"/>
    <col min="31" max="31" width="8.7109375" style="2" bestFit="1" customWidth="1"/>
    <col min="32" max="32" width="7.7109375" style="2" bestFit="1" customWidth="1"/>
    <col min="33" max="33" width="6.5703125" style="2" bestFit="1" customWidth="1"/>
    <col min="34" max="34" width="7.7109375" style="2" bestFit="1" customWidth="1"/>
    <col min="35" max="35" width="6.85546875" style="2" customWidth="1"/>
    <col min="36" max="36" width="8.42578125" style="2" bestFit="1" customWidth="1"/>
    <col min="37" max="37" width="8.28515625" style="2" bestFit="1" customWidth="1"/>
    <col min="38" max="38" width="7.7109375" style="2" bestFit="1" customWidth="1"/>
    <col min="39" max="39" width="7" style="2" bestFit="1" customWidth="1"/>
    <col min="40" max="41" width="5.5703125" style="2" bestFit="1" customWidth="1"/>
    <col min="42" max="42" width="7.7109375" style="2" bestFit="1" customWidth="1"/>
    <col min="43" max="43" width="7" style="2" bestFit="1" customWidth="1"/>
    <col min="44" max="51" width="4.5703125" style="2" bestFit="1" customWidth="1"/>
    <col min="52" max="52" width="6.28515625" style="2" bestFit="1" customWidth="1"/>
    <col min="53" max="55" width="4.5703125" style="2" bestFit="1" customWidth="1"/>
    <col min="56" max="56" width="8.7109375" style="2" bestFit="1" customWidth="1"/>
    <col min="57" max="57" width="7.42578125" style="2" customWidth="1"/>
    <col min="58" max="58" width="10.28515625" style="2" customWidth="1"/>
    <col min="59" max="59" width="13" style="16" customWidth="1"/>
    <col min="60" max="60" width="23" style="16" customWidth="1"/>
    <col min="61" max="61" width="22.85546875" style="16" customWidth="1"/>
    <col min="62" max="62" width="25" style="16" customWidth="1"/>
    <col min="63" max="63" width="23" style="1385" customWidth="1"/>
    <col min="64" max="64" width="19" style="16" customWidth="1"/>
    <col min="65" max="66" width="19.85546875" style="1386" customWidth="1"/>
    <col min="67" max="68" width="20.140625" style="1387" customWidth="1"/>
    <col min="69" max="69" width="23.7109375" style="98" customWidth="1"/>
    <col min="70" max="70" width="23.7109375" style="2" bestFit="1" customWidth="1"/>
    <col min="71" max="282" width="11.42578125" style="2"/>
    <col min="283" max="283" width="13.140625" style="2" customWidth="1"/>
    <col min="284" max="284" width="4" style="2" customWidth="1"/>
    <col min="285" max="285" width="12.85546875" style="2" customWidth="1"/>
    <col min="286" max="286" width="14.7109375" style="2" customWidth="1"/>
    <col min="287" max="287" width="10" style="2" customWidth="1"/>
    <col min="288" max="288" width="6.28515625" style="2" customWidth="1"/>
    <col min="289" max="289" width="12.28515625" style="2" customWidth="1"/>
    <col min="290" max="290" width="8.5703125" style="2" customWidth="1"/>
    <col min="291" max="291" width="13.7109375" style="2" customWidth="1"/>
    <col min="292" max="292" width="11.5703125" style="2" customWidth="1"/>
    <col min="293" max="293" width="34.28515625" style="2" customWidth="1"/>
    <col min="294" max="294" width="24.28515625" style="2" customWidth="1"/>
    <col min="295" max="295" width="21.140625" style="2" customWidth="1"/>
    <col min="296" max="296" width="22.140625" style="2" customWidth="1"/>
    <col min="297" max="297" width="8" style="2" customWidth="1"/>
    <col min="298" max="298" width="17" style="2" customWidth="1"/>
    <col min="299" max="299" width="12.7109375" style="2" customWidth="1"/>
    <col min="300" max="300" width="24.5703125" style="2" customWidth="1"/>
    <col min="301" max="301" width="29" style="2" customWidth="1"/>
    <col min="302" max="302" width="17.7109375" style="2" customWidth="1"/>
    <col min="303" max="303" width="36.42578125" style="2" customWidth="1"/>
    <col min="304" max="304" width="21.85546875" style="2" customWidth="1"/>
    <col min="305" max="305" width="11.7109375" style="2" customWidth="1"/>
    <col min="306" max="306" width="26.28515625" style="2" customWidth="1"/>
    <col min="307" max="307" width="9" style="2" customWidth="1"/>
    <col min="308" max="308" width="6.28515625" style="2" customWidth="1"/>
    <col min="309" max="310" width="7.28515625" style="2" customWidth="1"/>
    <col min="311" max="311" width="8.42578125" style="2" customWidth="1"/>
    <col min="312" max="312" width="9.5703125" style="2" customWidth="1"/>
    <col min="313" max="313" width="6.28515625" style="2" customWidth="1"/>
    <col min="314" max="314" width="5.85546875" style="2" customWidth="1"/>
    <col min="315" max="316" width="4.42578125" style="2" customWidth="1"/>
    <col min="317" max="317" width="5" style="2" customWidth="1"/>
    <col min="318" max="318" width="5.85546875" style="2" customWidth="1"/>
    <col min="319" max="319" width="6.140625" style="2" customWidth="1"/>
    <col min="320" max="320" width="6.28515625" style="2" customWidth="1"/>
    <col min="321" max="321" width="11.140625" style="2" customWidth="1"/>
    <col min="322" max="322" width="14.140625" style="2" customWidth="1"/>
    <col min="323" max="323" width="19.85546875" style="2" customWidth="1"/>
    <col min="324" max="324" width="17" style="2" customWidth="1"/>
    <col min="325" max="325" width="20.85546875" style="2" customWidth="1"/>
    <col min="326" max="538" width="11.42578125" style="2"/>
    <col min="539" max="539" width="13.140625" style="2" customWidth="1"/>
    <col min="540" max="540" width="4" style="2" customWidth="1"/>
    <col min="541" max="541" width="12.85546875" style="2" customWidth="1"/>
    <col min="542" max="542" width="14.7109375" style="2" customWidth="1"/>
    <col min="543" max="543" width="10" style="2" customWidth="1"/>
    <col min="544" max="544" width="6.28515625" style="2" customWidth="1"/>
    <col min="545" max="545" width="12.28515625" style="2" customWidth="1"/>
    <col min="546" max="546" width="8.5703125" style="2" customWidth="1"/>
    <col min="547" max="547" width="13.7109375" style="2" customWidth="1"/>
    <col min="548" max="548" width="11.5703125" style="2" customWidth="1"/>
    <col min="549" max="549" width="34.28515625" style="2" customWidth="1"/>
    <col min="550" max="550" width="24.28515625" style="2" customWidth="1"/>
    <col min="551" max="551" width="21.140625" style="2" customWidth="1"/>
    <col min="552" max="552" width="22.140625" style="2" customWidth="1"/>
    <col min="553" max="553" width="8" style="2" customWidth="1"/>
    <col min="554" max="554" width="17" style="2" customWidth="1"/>
    <col min="555" max="555" width="12.7109375" style="2" customWidth="1"/>
    <col min="556" max="556" width="24.5703125" style="2" customWidth="1"/>
    <col min="557" max="557" width="29" style="2" customWidth="1"/>
    <col min="558" max="558" width="17.7109375" style="2" customWidth="1"/>
    <col min="559" max="559" width="36.42578125" style="2" customWidth="1"/>
    <col min="560" max="560" width="21.85546875" style="2" customWidth="1"/>
    <col min="561" max="561" width="11.7109375" style="2" customWidth="1"/>
    <col min="562" max="562" width="26.28515625" style="2" customWidth="1"/>
    <col min="563" max="563" width="9" style="2" customWidth="1"/>
    <col min="564" max="564" width="6.28515625" style="2" customWidth="1"/>
    <col min="565" max="566" width="7.28515625" style="2" customWidth="1"/>
    <col min="567" max="567" width="8.42578125" style="2" customWidth="1"/>
    <col min="568" max="568" width="9.5703125" style="2" customWidth="1"/>
    <col min="569" max="569" width="6.28515625" style="2" customWidth="1"/>
    <col min="570" max="570" width="5.85546875" style="2" customWidth="1"/>
    <col min="571" max="572" width="4.42578125" style="2" customWidth="1"/>
    <col min="573" max="573" width="5" style="2" customWidth="1"/>
    <col min="574" max="574" width="5.85546875" style="2" customWidth="1"/>
    <col min="575" max="575" width="6.140625" style="2" customWidth="1"/>
    <col min="576" max="576" width="6.28515625" style="2" customWidth="1"/>
    <col min="577" max="577" width="11.140625" style="2" customWidth="1"/>
    <col min="578" max="578" width="14.140625" style="2" customWidth="1"/>
    <col min="579" max="579" width="19.85546875" style="2" customWidth="1"/>
    <col min="580" max="580" width="17" style="2" customWidth="1"/>
    <col min="581" max="581" width="20.85546875" style="2" customWidth="1"/>
    <col min="582" max="794" width="11.42578125" style="2"/>
    <col min="795" max="795" width="13.140625" style="2" customWidth="1"/>
    <col min="796" max="796" width="4" style="2" customWidth="1"/>
    <col min="797" max="797" width="12.85546875" style="2" customWidth="1"/>
    <col min="798" max="798" width="14.7109375" style="2" customWidth="1"/>
    <col min="799" max="799" width="10" style="2" customWidth="1"/>
    <col min="800" max="800" width="6.28515625" style="2" customWidth="1"/>
    <col min="801" max="801" width="12.28515625" style="2" customWidth="1"/>
    <col min="802" max="802" width="8.5703125" style="2" customWidth="1"/>
    <col min="803" max="803" width="13.7109375" style="2" customWidth="1"/>
    <col min="804" max="804" width="11.5703125" style="2" customWidth="1"/>
    <col min="805" max="805" width="34.28515625" style="2" customWidth="1"/>
    <col min="806" max="806" width="24.28515625" style="2" customWidth="1"/>
    <col min="807" max="807" width="21.140625" style="2" customWidth="1"/>
    <col min="808" max="808" width="22.140625" style="2" customWidth="1"/>
    <col min="809" max="809" width="8" style="2" customWidth="1"/>
    <col min="810" max="810" width="17" style="2" customWidth="1"/>
    <col min="811" max="811" width="12.7109375" style="2" customWidth="1"/>
    <col min="812" max="812" width="24.5703125" style="2" customWidth="1"/>
    <col min="813" max="813" width="29" style="2" customWidth="1"/>
    <col min="814" max="814" width="17.7109375" style="2" customWidth="1"/>
    <col min="815" max="815" width="36.42578125" style="2" customWidth="1"/>
    <col min="816" max="816" width="21.85546875" style="2" customWidth="1"/>
    <col min="817" max="817" width="11.7109375" style="2" customWidth="1"/>
    <col min="818" max="818" width="26.28515625" style="2" customWidth="1"/>
    <col min="819" max="819" width="9" style="2" customWidth="1"/>
    <col min="820" max="820" width="6.28515625" style="2" customWidth="1"/>
    <col min="821" max="822" width="7.28515625" style="2" customWidth="1"/>
    <col min="823" max="823" width="8.42578125" style="2" customWidth="1"/>
    <col min="824" max="824" width="9.5703125" style="2" customWidth="1"/>
    <col min="825" max="825" width="6.28515625" style="2" customWidth="1"/>
    <col min="826" max="826" width="5.85546875" style="2" customWidth="1"/>
    <col min="827" max="828" width="4.42578125" style="2" customWidth="1"/>
    <col min="829" max="829" width="5" style="2" customWidth="1"/>
    <col min="830" max="830" width="5.85546875" style="2" customWidth="1"/>
    <col min="831" max="831" width="6.140625" style="2" customWidth="1"/>
    <col min="832" max="832" width="6.28515625" style="2" customWidth="1"/>
    <col min="833" max="833" width="11.140625" style="2" customWidth="1"/>
    <col min="834" max="834" width="14.140625" style="2" customWidth="1"/>
    <col min="835" max="835" width="19.85546875" style="2" customWidth="1"/>
    <col min="836" max="836" width="17" style="2" customWidth="1"/>
    <col min="837" max="837" width="20.85546875" style="2" customWidth="1"/>
    <col min="838" max="1050" width="11.42578125" style="2"/>
    <col min="1051" max="1051" width="13.140625" style="2" customWidth="1"/>
    <col min="1052" max="1052" width="4" style="2" customWidth="1"/>
    <col min="1053" max="1053" width="12.85546875" style="2" customWidth="1"/>
    <col min="1054" max="1054" width="14.7109375" style="2" customWidth="1"/>
    <col min="1055" max="1055" width="10" style="2" customWidth="1"/>
    <col min="1056" max="1056" width="6.28515625" style="2" customWidth="1"/>
    <col min="1057" max="1057" width="12.28515625" style="2" customWidth="1"/>
    <col min="1058" max="1058" width="8.5703125" style="2" customWidth="1"/>
    <col min="1059" max="1059" width="13.7109375" style="2" customWidth="1"/>
    <col min="1060" max="1060" width="11.5703125" style="2" customWidth="1"/>
    <col min="1061" max="1061" width="34.28515625" style="2" customWidth="1"/>
    <col min="1062" max="1062" width="24.28515625" style="2" customWidth="1"/>
    <col min="1063" max="1063" width="21.140625" style="2" customWidth="1"/>
    <col min="1064" max="1064" width="22.140625" style="2" customWidth="1"/>
    <col min="1065" max="1065" width="8" style="2" customWidth="1"/>
    <col min="1066" max="1066" width="17" style="2" customWidth="1"/>
    <col min="1067" max="1067" width="12.7109375" style="2" customWidth="1"/>
    <col min="1068" max="1068" width="24.5703125" style="2" customWidth="1"/>
    <col min="1069" max="1069" width="29" style="2" customWidth="1"/>
    <col min="1070" max="1070" width="17.7109375" style="2" customWidth="1"/>
    <col min="1071" max="1071" width="36.42578125" style="2" customWidth="1"/>
    <col min="1072" max="1072" width="21.85546875" style="2" customWidth="1"/>
    <col min="1073" max="1073" width="11.7109375" style="2" customWidth="1"/>
    <col min="1074" max="1074" width="26.28515625" style="2" customWidth="1"/>
    <col min="1075" max="1075" width="9" style="2" customWidth="1"/>
    <col min="1076" max="1076" width="6.28515625" style="2" customWidth="1"/>
    <col min="1077" max="1078" width="7.28515625" style="2" customWidth="1"/>
    <col min="1079" max="1079" width="8.42578125" style="2" customWidth="1"/>
    <col min="1080" max="1080" width="9.5703125" style="2" customWidth="1"/>
    <col min="1081" max="1081" width="6.28515625" style="2" customWidth="1"/>
    <col min="1082" max="1082" width="5.85546875" style="2" customWidth="1"/>
    <col min="1083" max="1084" width="4.42578125" style="2" customWidth="1"/>
    <col min="1085" max="1085" width="5" style="2" customWidth="1"/>
    <col min="1086" max="1086" width="5.85546875" style="2" customWidth="1"/>
    <col min="1087" max="1087" width="6.140625" style="2" customWidth="1"/>
    <col min="1088" max="1088" width="6.28515625" style="2" customWidth="1"/>
    <col min="1089" max="1089" width="11.140625" style="2" customWidth="1"/>
    <col min="1090" max="1090" width="14.140625" style="2" customWidth="1"/>
    <col min="1091" max="1091" width="19.85546875" style="2" customWidth="1"/>
    <col min="1092" max="1092" width="17" style="2" customWidth="1"/>
    <col min="1093" max="1093" width="20.85546875" style="2" customWidth="1"/>
    <col min="1094" max="1306" width="11.42578125" style="2"/>
    <col min="1307" max="1307" width="13.140625" style="2" customWidth="1"/>
    <col min="1308" max="1308" width="4" style="2" customWidth="1"/>
    <col min="1309" max="1309" width="12.85546875" style="2" customWidth="1"/>
    <col min="1310" max="1310" width="14.7109375" style="2" customWidth="1"/>
    <col min="1311" max="1311" width="10" style="2" customWidth="1"/>
    <col min="1312" max="1312" width="6.28515625" style="2" customWidth="1"/>
    <col min="1313" max="1313" width="12.28515625" style="2" customWidth="1"/>
    <col min="1314" max="1314" width="8.5703125" style="2" customWidth="1"/>
    <col min="1315" max="1315" width="13.7109375" style="2" customWidth="1"/>
    <col min="1316" max="1316" width="11.5703125" style="2" customWidth="1"/>
    <col min="1317" max="1317" width="34.28515625" style="2" customWidth="1"/>
    <col min="1318" max="1318" width="24.28515625" style="2" customWidth="1"/>
    <col min="1319" max="1319" width="21.140625" style="2" customWidth="1"/>
    <col min="1320" max="1320" width="22.140625" style="2" customWidth="1"/>
    <col min="1321" max="1321" width="8" style="2" customWidth="1"/>
    <col min="1322" max="1322" width="17" style="2" customWidth="1"/>
    <col min="1323" max="1323" width="12.7109375" style="2" customWidth="1"/>
    <col min="1324" max="1324" width="24.5703125" style="2" customWidth="1"/>
    <col min="1325" max="1325" width="29" style="2" customWidth="1"/>
    <col min="1326" max="1326" width="17.7109375" style="2" customWidth="1"/>
    <col min="1327" max="1327" width="36.42578125" style="2" customWidth="1"/>
    <col min="1328" max="1328" width="21.85546875" style="2" customWidth="1"/>
    <col min="1329" max="1329" width="11.7109375" style="2" customWidth="1"/>
    <col min="1330" max="1330" width="26.28515625" style="2" customWidth="1"/>
    <col min="1331" max="1331" width="9" style="2" customWidth="1"/>
    <col min="1332" max="1332" width="6.28515625" style="2" customWidth="1"/>
    <col min="1333" max="1334" width="7.28515625" style="2" customWidth="1"/>
    <col min="1335" max="1335" width="8.42578125" style="2" customWidth="1"/>
    <col min="1336" max="1336" width="9.5703125" style="2" customWidth="1"/>
    <col min="1337" max="1337" width="6.28515625" style="2" customWidth="1"/>
    <col min="1338" max="1338" width="5.85546875" style="2" customWidth="1"/>
    <col min="1339" max="1340" width="4.42578125" style="2" customWidth="1"/>
    <col min="1341" max="1341" width="5" style="2" customWidth="1"/>
    <col min="1342" max="1342" width="5.85546875" style="2" customWidth="1"/>
    <col min="1343" max="1343" width="6.140625" style="2" customWidth="1"/>
    <col min="1344" max="1344" width="6.28515625" style="2" customWidth="1"/>
    <col min="1345" max="1345" width="11.140625" style="2" customWidth="1"/>
    <col min="1346" max="1346" width="14.140625" style="2" customWidth="1"/>
    <col min="1347" max="1347" width="19.85546875" style="2" customWidth="1"/>
    <col min="1348" max="1348" width="17" style="2" customWidth="1"/>
    <col min="1349" max="1349" width="20.85546875" style="2" customWidth="1"/>
    <col min="1350" max="1562" width="11.42578125" style="2"/>
    <col min="1563" max="1563" width="13.140625" style="2" customWidth="1"/>
    <col min="1564" max="1564" width="4" style="2" customWidth="1"/>
    <col min="1565" max="1565" width="12.85546875" style="2" customWidth="1"/>
    <col min="1566" max="1566" width="14.7109375" style="2" customWidth="1"/>
    <col min="1567" max="1567" width="10" style="2" customWidth="1"/>
    <col min="1568" max="1568" width="6.28515625" style="2" customWidth="1"/>
    <col min="1569" max="1569" width="12.28515625" style="2" customWidth="1"/>
    <col min="1570" max="1570" width="8.5703125" style="2" customWidth="1"/>
    <col min="1571" max="1571" width="13.7109375" style="2" customWidth="1"/>
    <col min="1572" max="1572" width="11.5703125" style="2" customWidth="1"/>
    <col min="1573" max="1573" width="34.28515625" style="2" customWidth="1"/>
    <col min="1574" max="1574" width="24.28515625" style="2" customWidth="1"/>
    <col min="1575" max="1575" width="21.140625" style="2" customWidth="1"/>
    <col min="1576" max="1576" width="22.140625" style="2" customWidth="1"/>
    <col min="1577" max="1577" width="8" style="2" customWidth="1"/>
    <col min="1578" max="1578" width="17" style="2" customWidth="1"/>
    <col min="1579" max="1579" width="12.7109375" style="2" customWidth="1"/>
    <col min="1580" max="1580" width="24.5703125" style="2" customWidth="1"/>
    <col min="1581" max="1581" width="29" style="2" customWidth="1"/>
    <col min="1582" max="1582" width="17.7109375" style="2" customWidth="1"/>
    <col min="1583" max="1583" width="36.42578125" style="2" customWidth="1"/>
    <col min="1584" max="1584" width="21.85546875" style="2" customWidth="1"/>
    <col min="1585" max="1585" width="11.7109375" style="2" customWidth="1"/>
    <col min="1586" max="1586" width="26.28515625" style="2" customWidth="1"/>
    <col min="1587" max="1587" width="9" style="2" customWidth="1"/>
    <col min="1588" max="1588" width="6.28515625" style="2" customWidth="1"/>
    <col min="1589" max="1590" width="7.28515625" style="2" customWidth="1"/>
    <col min="1591" max="1591" width="8.42578125" style="2" customWidth="1"/>
    <col min="1592" max="1592" width="9.5703125" style="2" customWidth="1"/>
    <col min="1593" max="1593" width="6.28515625" style="2" customWidth="1"/>
    <col min="1594" max="1594" width="5.85546875" style="2" customWidth="1"/>
    <col min="1595" max="1596" width="4.42578125" style="2" customWidth="1"/>
    <col min="1597" max="1597" width="5" style="2" customWidth="1"/>
    <col min="1598" max="1598" width="5.85546875" style="2" customWidth="1"/>
    <col min="1599" max="1599" width="6.140625" style="2" customWidth="1"/>
    <col min="1600" max="1600" width="6.28515625" style="2" customWidth="1"/>
    <col min="1601" max="1601" width="11.140625" style="2" customWidth="1"/>
    <col min="1602" max="1602" width="14.140625" style="2" customWidth="1"/>
    <col min="1603" max="1603" width="19.85546875" style="2" customWidth="1"/>
    <col min="1604" max="1604" width="17" style="2" customWidth="1"/>
    <col min="1605" max="1605" width="20.85546875" style="2" customWidth="1"/>
    <col min="1606" max="1818" width="11.42578125" style="2"/>
    <col min="1819" max="1819" width="13.140625" style="2" customWidth="1"/>
    <col min="1820" max="1820" width="4" style="2" customWidth="1"/>
    <col min="1821" max="1821" width="12.85546875" style="2" customWidth="1"/>
    <col min="1822" max="1822" width="14.7109375" style="2" customWidth="1"/>
    <col min="1823" max="1823" width="10" style="2" customWidth="1"/>
    <col min="1824" max="1824" width="6.28515625" style="2" customWidth="1"/>
    <col min="1825" max="1825" width="12.28515625" style="2" customWidth="1"/>
    <col min="1826" max="1826" width="8.5703125" style="2" customWidth="1"/>
    <col min="1827" max="1827" width="13.7109375" style="2" customWidth="1"/>
    <col min="1828" max="1828" width="11.5703125" style="2" customWidth="1"/>
    <col min="1829" max="1829" width="34.28515625" style="2" customWidth="1"/>
    <col min="1830" max="1830" width="24.28515625" style="2" customWidth="1"/>
    <col min="1831" max="1831" width="21.140625" style="2" customWidth="1"/>
    <col min="1832" max="1832" width="22.140625" style="2" customWidth="1"/>
    <col min="1833" max="1833" width="8" style="2" customWidth="1"/>
    <col min="1834" max="1834" width="17" style="2" customWidth="1"/>
    <col min="1835" max="1835" width="12.7109375" style="2" customWidth="1"/>
    <col min="1836" max="1836" width="24.5703125" style="2" customWidth="1"/>
    <col min="1837" max="1837" width="29" style="2" customWidth="1"/>
    <col min="1838" max="1838" width="17.7109375" style="2" customWidth="1"/>
    <col min="1839" max="1839" width="36.42578125" style="2" customWidth="1"/>
    <col min="1840" max="1840" width="21.85546875" style="2" customWidth="1"/>
    <col min="1841" max="1841" width="11.7109375" style="2" customWidth="1"/>
    <col min="1842" max="1842" width="26.28515625" style="2" customWidth="1"/>
    <col min="1843" max="1843" width="9" style="2" customWidth="1"/>
    <col min="1844" max="1844" width="6.28515625" style="2" customWidth="1"/>
    <col min="1845" max="1846" width="7.28515625" style="2" customWidth="1"/>
    <col min="1847" max="1847" width="8.42578125" style="2" customWidth="1"/>
    <col min="1848" max="1848" width="9.5703125" style="2" customWidth="1"/>
    <col min="1849" max="1849" width="6.28515625" style="2" customWidth="1"/>
    <col min="1850" max="1850" width="5.85546875" style="2" customWidth="1"/>
    <col min="1851" max="1852" width="4.42578125" style="2" customWidth="1"/>
    <col min="1853" max="1853" width="5" style="2" customWidth="1"/>
    <col min="1854" max="1854" width="5.85546875" style="2" customWidth="1"/>
    <col min="1855" max="1855" width="6.140625" style="2" customWidth="1"/>
    <col min="1856" max="1856" width="6.28515625" style="2" customWidth="1"/>
    <col min="1857" max="1857" width="11.140625" style="2" customWidth="1"/>
    <col min="1858" max="1858" width="14.140625" style="2" customWidth="1"/>
    <col min="1859" max="1859" width="19.85546875" style="2" customWidth="1"/>
    <col min="1860" max="1860" width="17" style="2" customWidth="1"/>
    <col min="1861" max="1861" width="20.85546875" style="2" customWidth="1"/>
    <col min="1862" max="2074" width="11.42578125" style="2"/>
    <col min="2075" max="2075" width="13.140625" style="2" customWidth="1"/>
    <col min="2076" max="2076" width="4" style="2" customWidth="1"/>
    <col min="2077" max="2077" width="12.85546875" style="2" customWidth="1"/>
    <col min="2078" max="2078" width="14.7109375" style="2" customWidth="1"/>
    <col min="2079" max="2079" width="10" style="2" customWidth="1"/>
    <col min="2080" max="2080" width="6.28515625" style="2" customWidth="1"/>
    <col min="2081" max="2081" width="12.28515625" style="2" customWidth="1"/>
    <col min="2082" max="2082" width="8.5703125" style="2" customWidth="1"/>
    <col min="2083" max="2083" width="13.7109375" style="2" customWidth="1"/>
    <col min="2084" max="2084" width="11.5703125" style="2" customWidth="1"/>
    <col min="2085" max="2085" width="34.28515625" style="2" customWidth="1"/>
    <col min="2086" max="2086" width="24.28515625" style="2" customWidth="1"/>
    <col min="2087" max="2087" width="21.140625" style="2" customWidth="1"/>
    <col min="2088" max="2088" width="22.140625" style="2" customWidth="1"/>
    <col min="2089" max="2089" width="8" style="2" customWidth="1"/>
    <col min="2090" max="2090" width="17" style="2" customWidth="1"/>
    <col min="2091" max="2091" width="12.7109375" style="2" customWidth="1"/>
    <col min="2092" max="2092" width="24.5703125" style="2" customWidth="1"/>
    <col min="2093" max="2093" width="29" style="2" customWidth="1"/>
    <col min="2094" max="2094" width="17.7109375" style="2" customWidth="1"/>
    <col min="2095" max="2095" width="36.42578125" style="2" customWidth="1"/>
    <col min="2096" max="2096" width="21.85546875" style="2" customWidth="1"/>
    <col min="2097" max="2097" width="11.7109375" style="2" customWidth="1"/>
    <col min="2098" max="2098" width="26.28515625" style="2" customWidth="1"/>
    <col min="2099" max="2099" width="9" style="2" customWidth="1"/>
    <col min="2100" max="2100" width="6.28515625" style="2" customWidth="1"/>
    <col min="2101" max="2102" width="7.28515625" style="2" customWidth="1"/>
    <col min="2103" max="2103" width="8.42578125" style="2" customWidth="1"/>
    <col min="2104" max="2104" width="9.5703125" style="2" customWidth="1"/>
    <col min="2105" max="2105" width="6.28515625" style="2" customWidth="1"/>
    <col min="2106" max="2106" width="5.85546875" style="2" customWidth="1"/>
    <col min="2107" max="2108" width="4.42578125" style="2" customWidth="1"/>
    <col min="2109" max="2109" width="5" style="2" customWidth="1"/>
    <col min="2110" max="2110" width="5.85546875" style="2" customWidth="1"/>
    <col min="2111" max="2111" width="6.140625" style="2" customWidth="1"/>
    <col min="2112" max="2112" width="6.28515625" style="2" customWidth="1"/>
    <col min="2113" max="2113" width="11.140625" style="2" customWidth="1"/>
    <col min="2114" max="2114" width="14.140625" style="2" customWidth="1"/>
    <col min="2115" max="2115" width="19.85546875" style="2" customWidth="1"/>
    <col min="2116" max="2116" width="17" style="2" customWidth="1"/>
    <col min="2117" max="2117" width="20.85546875" style="2" customWidth="1"/>
    <col min="2118" max="2330" width="11.42578125" style="2"/>
    <col min="2331" max="2331" width="13.140625" style="2" customWidth="1"/>
    <col min="2332" max="2332" width="4" style="2" customWidth="1"/>
    <col min="2333" max="2333" width="12.85546875" style="2" customWidth="1"/>
    <col min="2334" max="2334" width="14.7109375" style="2" customWidth="1"/>
    <col min="2335" max="2335" width="10" style="2" customWidth="1"/>
    <col min="2336" max="2336" width="6.28515625" style="2" customWidth="1"/>
    <col min="2337" max="2337" width="12.28515625" style="2" customWidth="1"/>
    <col min="2338" max="2338" width="8.5703125" style="2" customWidth="1"/>
    <col min="2339" max="2339" width="13.7109375" style="2" customWidth="1"/>
    <col min="2340" max="2340" width="11.5703125" style="2" customWidth="1"/>
    <col min="2341" max="2341" width="34.28515625" style="2" customWidth="1"/>
    <col min="2342" max="2342" width="24.28515625" style="2" customWidth="1"/>
    <col min="2343" max="2343" width="21.140625" style="2" customWidth="1"/>
    <col min="2344" max="2344" width="22.140625" style="2" customWidth="1"/>
    <col min="2345" max="2345" width="8" style="2" customWidth="1"/>
    <col min="2346" max="2346" width="17" style="2" customWidth="1"/>
    <col min="2347" max="2347" width="12.7109375" style="2" customWidth="1"/>
    <col min="2348" max="2348" width="24.5703125" style="2" customWidth="1"/>
    <col min="2349" max="2349" width="29" style="2" customWidth="1"/>
    <col min="2350" max="2350" width="17.7109375" style="2" customWidth="1"/>
    <col min="2351" max="2351" width="36.42578125" style="2" customWidth="1"/>
    <col min="2352" max="2352" width="21.85546875" style="2" customWidth="1"/>
    <col min="2353" max="2353" width="11.7109375" style="2" customWidth="1"/>
    <col min="2354" max="2354" width="26.28515625" style="2" customWidth="1"/>
    <col min="2355" max="2355" width="9" style="2" customWidth="1"/>
    <col min="2356" max="2356" width="6.28515625" style="2" customWidth="1"/>
    <col min="2357" max="2358" width="7.28515625" style="2" customWidth="1"/>
    <col min="2359" max="2359" width="8.42578125" style="2" customWidth="1"/>
    <col min="2360" max="2360" width="9.5703125" style="2" customWidth="1"/>
    <col min="2361" max="2361" width="6.28515625" style="2" customWidth="1"/>
    <col min="2362" max="2362" width="5.85546875" style="2" customWidth="1"/>
    <col min="2363" max="2364" width="4.42578125" style="2" customWidth="1"/>
    <col min="2365" max="2365" width="5" style="2" customWidth="1"/>
    <col min="2366" max="2366" width="5.85546875" style="2" customWidth="1"/>
    <col min="2367" max="2367" width="6.140625" style="2" customWidth="1"/>
    <col min="2368" max="2368" width="6.28515625" style="2" customWidth="1"/>
    <col min="2369" max="2369" width="11.140625" style="2" customWidth="1"/>
    <col min="2370" max="2370" width="14.140625" style="2" customWidth="1"/>
    <col min="2371" max="2371" width="19.85546875" style="2" customWidth="1"/>
    <col min="2372" max="2372" width="17" style="2" customWidth="1"/>
    <col min="2373" max="2373" width="20.85546875" style="2" customWidth="1"/>
    <col min="2374" max="2586" width="11.42578125" style="2"/>
    <col min="2587" max="2587" width="13.140625" style="2" customWidth="1"/>
    <col min="2588" max="2588" width="4" style="2" customWidth="1"/>
    <col min="2589" max="2589" width="12.85546875" style="2" customWidth="1"/>
    <col min="2590" max="2590" width="14.7109375" style="2" customWidth="1"/>
    <col min="2591" max="2591" width="10" style="2" customWidth="1"/>
    <col min="2592" max="2592" width="6.28515625" style="2" customWidth="1"/>
    <col min="2593" max="2593" width="12.28515625" style="2" customWidth="1"/>
    <col min="2594" max="2594" width="8.5703125" style="2" customWidth="1"/>
    <col min="2595" max="2595" width="13.7109375" style="2" customWidth="1"/>
    <col min="2596" max="2596" width="11.5703125" style="2" customWidth="1"/>
    <col min="2597" max="2597" width="34.28515625" style="2" customWidth="1"/>
    <col min="2598" max="2598" width="24.28515625" style="2" customWidth="1"/>
    <col min="2599" max="2599" width="21.140625" style="2" customWidth="1"/>
    <col min="2600" max="2600" width="22.140625" style="2" customWidth="1"/>
    <col min="2601" max="2601" width="8" style="2" customWidth="1"/>
    <col min="2602" max="2602" width="17" style="2" customWidth="1"/>
    <col min="2603" max="2603" width="12.7109375" style="2" customWidth="1"/>
    <col min="2604" max="2604" width="24.5703125" style="2" customWidth="1"/>
    <col min="2605" max="2605" width="29" style="2" customWidth="1"/>
    <col min="2606" max="2606" width="17.7109375" style="2" customWidth="1"/>
    <col min="2607" max="2607" width="36.42578125" style="2" customWidth="1"/>
    <col min="2608" max="2608" width="21.85546875" style="2" customWidth="1"/>
    <col min="2609" max="2609" width="11.7109375" style="2" customWidth="1"/>
    <col min="2610" max="2610" width="26.28515625" style="2" customWidth="1"/>
    <col min="2611" max="2611" width="9" style="2" customWidth="1"/>
    <col min="2612" max="2612" width="6.28515625" style="2" customWidth="1"/>
    <col min="2613" max="2614" width="7.28515625" style="2" customWidth="1"/>
    <col min="2615" max="2615" width="8.42578125" style="2" customWidth="1"/>
    <col min="2616" max="2616" width="9.5703125" style="2" customWidth="1"/>
    <col min="2617" max="2617" width="6.28515625" style="2" customWidth="1"/>
    <col min="2618" max="2618" width="5.85546875" style="2" customWidth="1"/>
    <col min="2619" max="2620" width="4.42578125" style="2" customWidth="1"/>
    <col min="2621" max="2621" width="5" style="2" customWidth="1"/>
    <col min="2622" max="2622" width="5.85546875" style="2" customWidth="1"/>
    <col min="2623" max="2623" width="6.140625" style="2" customWidth="1"/>
    <col min="2624" max="2624" width="6.28515625" style="2" customWidth="1"/>
    <col min="2625" max="2625" width="11.140625" style="2" customWidth="1"/>
    <col min="2626" max="2626" width="14.140625" style="2" customWidth="1"/>
    <col min="2627" max="2627" width="19.85546875" style="2" customWidth="1"/>
    <col min="2628" max="2628" width="17" style="2" customWidth="1"/>
    <col min="2629" max="2629" width="20.85546875" style="2" customWidth="1"/>
    <col min="2630" max="2842" width="11.42578125" style="2"/>
    <col min="2843" max="2843" width="13.140625" style="2" customWidth="1"/>
    <col min="2844" max="2844" width="4" style="2" customWidth="1"/>
    <col min="2845" max="2845" width="12.85546875" style="2" customWidth="1"/>
    <col min="2846" max="2846" width="14.7109375" style="2" customWidth="1"/>
    <col min="2847" max="2847" width="10" style="2" customWidth="1"/>
    <col min="2848" max="2848" width="6.28515625" style="2" customWidth="1"/>
    <col min="2849" max="2849" width="12.28515625" style="2" customWidth="1"/>
    <col min="2850" max="2850" width="8.5703125" style="2" customWidth="1"/>
    <col min="2851" max="2851" width="13.7109375" style="2" customWidth="1"/>
    <col min="2852" max="2852" width="11.5703125" style="2" customWidth="1"/>
    <col min="2853" max="2853" width="34.28515625" style="2" customWidth="1"/>
    <col min="2854" max="2854" width="24.28515625" style="2" customWidth="1"/>
    <col min="2855" max="2855" width="21.140625" style="2" customWidth="1"/>
    <col min="2856" max="2856" width="22.140625" style="2" customWidth="1"/>
    <col min="2857" max="2857" width="8" style="2" customWidth="1"/>
    <col min="2858" max="2858" width="17" style="2" customWidth="1"/>
    <col min="2859" max="2859" width="12.7109375" style="2" customWidth="1"/>
    <col min="2860" max="2860" width="24.5703125" style="2" customWidth="1"/>
    <col min="2861" max="2861" width="29" style="2" customWidth="1"/>
    <col min="2862" max="2862" width="17.7109375" style="2" customWidth="1"/>
    <col min="2863" max="2863" width="36.42578125" style="2" customWidth="1"/>
    <col min="2864" max="2864" width="21.85546875" style="2" customWidth="1"/>
    <col min="2865" max="2865" width="11.7109375" style="2" customWidth="1"/>
    <col min="2866" max="2866" width="26.28515625" style="2" customWidth="1"/>
    <col min="2867" max="2867" width="9" style="2" customWidth="1"/>
    <col min="2868" max="2868" width="6.28515625" style="2" customWidth="1"/>
    <col min="2869" max="2870" width="7.28515625" style="2" customWidth="1"/>
    <col min="2871" max="2871" width="8.42578125" style="2" customWidth="1"/>
    <col min="2872" max="2872" width="9.5703125" style="2" customWidth="1"/>
    <col min="2873" max="2873" width="6.28515625" style="2" customWidth="1"/>
    <col min="2874" max="2874" width="5.85546875" style="2" customWidth="1"/>
    <col min="2875" max="2876" width="4.42578125" style="2" customWidth="1"/>
    <col min="2877" max="2877" width="5" style="2" customWidth="1"/>
    <col min="2878" max="2878" width="5.85546875" style="2" customWidth="1"/>
    <col min="2879" max="2879" width="6.140625" style="2" customWidth="1"/>
    <col min="2880" max="2880" width="6.28515625" style="2" customWidth="1"/>
    <col min="2881" max="2881" width="11.140625" style="2" customWidth="1"/>
    <col min="2882" max="2882" width="14.140625" style="2" customWidth="1"/>
    <col min="2883" max="2883" width="19.85546875" style="2" customWidth="1"/>
    <col min="2884" max="2884" width="17" style="2" customWidth="1"/>
    <col min="2885" max="2885" width="20.85546875" style="2" customWidth="1"/>
    <col min="2886" max="3098" width="11.42578125" style="2"/>
    <col min="3099" max="3099" width="13.140625" style="2" customWidth="1"/>
    <col min="3100" max="3100" width="4" style="2" customWidth="1"/>
    <col min="3101" max="3101" width="12.85546875" style="2" customWidth="1"/>
    <col min="3102" max="3102" width="14.7109375" style="2" customWidth="1"/>
    <col min="3103" max="3103" width="10" style="2" customWidth="1"/>
    <col min="3104" max="3104" width="6.28515625" style="2" customWidth="1"/>
    <col min="3105" max="3105" width="12.28515625" style="2" customWidth="1"/>
    <col min="3106" max="3106" width="8.5703125" style="2" customWidth="1"/>
    <col min="3107" max="3107" width="13.7109375" style="2" customWidth="1"/>
    <col min="3108" max="3108" width="11.5703125" style="2" customWidth="1"/>
    <col min="3109" max="3109" width="34.28515625" style="2" customWidth="1"/>
    <col min="3110" max="3110" width="24.28515625" style="2" customWidth="1"/>
    <col min="3111" max="3111" width="21.140625" style="2" customWidth="1"/>
    <col min="3112" max="3112" width="22.140625" style="2" customWidth="1"/>
    <col min="3113" max="3113" width="8" style="2" customWidth="1"/>
    <col min="3114" max="3114" width="17" style="2" customWidth="1"/>
    <col min="3115" max="3115" width="12.7109375" style="2" customWidth="1"/>
    <col min="3116" max="3116" width="24.5703125" style="2" customWidth="1"/>
    <col min="3117" max="3117" width="29" style="2" customWidth="1"/>
    <col min="3118" max="3118" width="17.7109375" style="2" customWidth="1"/>
    <col min="3119" max="3119" width="36.42578125" style="2" customWidth="1"/>
    <col min="3120" max="3120" width="21.85546875" style="2" customWidth="1"/>
    <col min="3121" max="3121" width="11.7109375" style="2" customWidth="1"/>
    <col min="3122" max="3122" width="26.28515625" style="2" customWidth="1"/>
    <col min="3123" max="3123" width="9" style="2" customWidth="1"/>
    <col min="3124" max="3124" width="6.28515625" style="2" customWidth="1"/>
    <col min="3125" max="3126" width="7.28515625" style="2" customWidth="1"/>
    <col min="3127" max="3127" width="8.42578125" style="2" customWidth="1"/>
    <col min="3128" max="3128" width="9.5703125" style="2" customWidth="1"/>
    <col min="3129" max="3129" width="6.28515625" style="2" customWidth="1"/>
    <col min="3130" max="3130" width="5.85546875" style="2" customWidth="1"/>
    <col min="3131" max="3132" width="4.42578125" style="2" customWidth="1"/>
    <col min="3133" max="3133" width="5" style="2" customWidth="1"/>
    <col min="3134" max="3134" width="5.85546875" style="2" customWidth="1"/>
    <col min="3135" max="3135" width="6.140625" style="2" customWidth="1"/>
    <col min="3136" max="3136" width="6.28515625" style="2" customWidth="1"/>
    <col min="3137" max="3137" width="11.140625" style="2" customWidth="1"/>
    <col min="3138" max="3138" width="14.140625" style="2" customWidth="1"/>
    <col min="3139" max="3139" width="19.85546875" style="2" customWidth="1"/>
    <col min="3140" max="3140" width="17" style="2" customWidth="1"/>
    <col min="3141" max="3141" width="20.85546875" style="2" customWidth="1"/>
    <col min="3142" max="3354" width="11.42578125" style="2"/>
    <col min="3355" max="3355" width="13.140625" style="2" customWidth="1"/>
    <col min="3356" max="3356" width="4" style="2" customWidth="1"/>
    <col min="3357" max="3357" width="12.85546875" style="2" customWidth="1"/>
    <col min="3358" max="3358" width="14.7109375" style="2" customWidth="1"/>
    <col min="3359" max="3359" width="10" style="2" customWidth="1"/>
    <col min="3360" max="3360" width="6.28515625" style="2" customWidth="1"/>
    <col min="3361" max="3361" width="12.28515625" style="2" customWidth="1"/>
    <col min="3362" max="3362" width="8.5703125" style="2" customWidth="1"/>
    <col min="3363" max="3363" width="13.7109375" style="2" customWidth="1"/>
    <col min="3364" max="3364" width="11.5703125" style="2" customWidth="1"/>
    <col min="3365" max="3365" width="34.28515625" style="2" customWidth="1"/>
    <col min="3366" max="3366" width="24.28515625" style="2" customWidth="1"/>
    <col min="3367" max="3367" width="21.140625" style="2" customWidth="1"/>
    <col min="3368" max="3368" width="22.140625" style="2" customWidth="1"/>
    <col min="3369" max="3369" width="8" style="2" customWidth="1"/>
    <col min="3370" max="3370" width="17" style="2" customWidth="1"/>
    <col min="3371" max="3371" width="12.7109375" style="2" customWidth="1"/>
    <col min="3372" max="3372" width="24.5703125" style="2" customWidth="1"/>
    <col min="3373" max="3373" width="29" style="2" customWidth="1"/>
    <col min="3374" max="3374" width="17.7109375" style="2" customWidth="1"/>
    <col min="3375" max="3375" width="36.42578125" style="2" customWidth="1"/>
    <col min="3376" max="3376" width="21.85546875" style="2" customWidth="1"/>
    <col min="3377" max="3377" width="11.7109375" style="2" customWidth="1"/>
    <col min="3378" max="3378" width="26.28515625" style="2" customWidth="1"/>
    <col min="3379" max="3379" width="9" style="2" customWidth="1"/>
    <col min="3380" max="3380" width="6.28515625" style="2" customWidth="1"/>
    <col min="3381" max="3382" width="7.28515625" style="2" customWidth="1"/>
    <col min="3383" max="3383" width="8.42578125" style="2" customWidth="1"/>
    <col min="3384" max="3384" width="9.5703125" style="2" customWidth="1"/>
    <col min="3385" max="3385" width="6.28515625" style="2" customWidth="1"/>
    <col min="3386" max="3386" width="5.85546875" style="2" customWidth="1"/>
    <col min="3387" max="3388" width="4.42578125" style="2" customWidth="1"/>
    <col min="3389" max="3389" width="5" style="2" customWidth="1"/>
    <col min="3390" max="3390" width="5.85546875" style="2" customWidth="1"/>
    <col min="3391" max="3391" width="6.140625" style="2" customWidth="1"/>
    <col min="3392" max="3392" width="6.28515625" style="2" customWidth="1"/>
    <col min="3393" max="3393" width="11.140625" style="2" customWidth="1"/>
    <col min="3394" max="3394" width="14.140625" style="2" customWidth="1"/>
    <col min="3395" max="3395" width="19.85546875" style="2" customWidth="1"/>
    <col min="3396" max="3396" width="17" style="2" customWidth="1"/>
    <col min="3397" max="3397" width="20.85546875" style="2" customWidth="1"/>
    <col min="3398" max="3610" width="11.42578125" style="2"/>
    <col min="3611" max="3611" width="13.140625" style="2" customWidth="1"/>
    <col min="3612" max="3612" width="4" style="2" customWidth="1"/>
    <col min="3613" max="3613" width="12.85546875" style="2" customWidth="1"/>
    <col min="3614" max="3614" width="14.7109375" style="2" customWidth="1"/>
    <col min="3615" max="3615" width="10" style="2" customWidth="1"/>
    <col min="3616" max="3616" width="6.28515625" style="2" customWidth="1"/>
    <col min="3617" max="3617" width="12.28515625" style="2" customWidth="1"/>
    <col min="3618" max="3618" width="8.5703125" style="2" customWidth="1"/>
    <col min="3619" max="3619" width="13.7109375" style="2" customWidth="1"/>
    <col min="3620" max="3620" width="11.5703125" style="2" customWidth="1"/>
    <col min="3621" max="3621" width="34.28515625" style="2" customWidth="1"/>
    <col min="3622" max="3622" width="24.28515625" style="2" customWidth="1"/>
    <col min="3623" max="3623" width="21.140625" style="2" customWidth="1"/>
    <col min="3624" max="3624" width="22.140625" style="2" customWidth="1"/>
    <col min="3625" max="3625" width="8" style="2" customWidth="1"/>
    <col min="3626" max="3626" width="17" style="2" customWidth="1"/>
    <col min="3627" max="3627" width="12.7109375" style="2" customWidth="1"/>
    <col min="3628" max="3628" width="24.5703125" style="2" customWidth="1"/>
    <col min="3629" max="3629" width="29" style="2" customWidth="1"/>
    <col min="3630" max="3630" width="17.7109375" style="2" customWidth="1"/>
    <col min="3631" max="3631" width="36.42578125" style="2" customWidth="1"/>
    <col min="3632" max="3632" width="21.85546875" style="2" customWidth="1"/>
    <col min="3633" max="3633" width="11.7109375" style="2" customWidth="1"/>
    <col min="3634" max="3634" width="26.28515625" style="2" customWidth="1"/>
    <col min="3635" max="3635" width="9" style="2" customWidth="1"/>
    <col min="3636" max="3636" width="6.28515625" style="2" customWidth="1"/>
    <col min="3637" max="3638" width="7.28515625" style="2" customWidth="1"/>
    <col min="3639" max="3639" width="8.42578125" style="2" customWidth="1"/>
    <col min="3640" max="3640" width="9.5703125" style="2" customWidth="1"/>
    <col min="3641" max="3641" width="6.28515625" style="2" customWidth="1"/>
    <col min="3642" max="3642" width="5.85546875" style="2" customWidth="1"/>
    <col min="3643" max="3644" width="4.42578125" style="2" customWidth="1"/>
    <col min="3645" max="3645" width="5" style="2" customWidth="1"/>
    <col min="3646" max="3646" width="5.85546875" style="2" customWidth="1"/>
    <col min="3647" max="3647" width="6.140625" style="2" customWidth="1"/>
    <col min="3648" max="3648" width="6.28515625" style="2" customWidth="1"/>
    <col min="3649" max="3649" width="11.140625" style="2" customWidth="1"/>
    <col min="3650" max="3650" width="14.140625" style="2" customWidth="1"/>
    <col min="3651" max="3651" width="19.85546875" style="2" customWidth="1"/>
    <col min="3652" max="3652" width="17" style="2" customWidth="1"/>
    <col min="3653" max="3653" width="20.85546875" style="2" customWidth="1"/>
    <col min="3654" max="3866" width="11.42578125" style="2"/>
    <col min="3867" max="3867" width="13.140625" style="2" customWidth="1"/>
    <col min="3868" max="3868" width="4" style="2" customWidth="1"/>
    <col min="3869" max="3869" width="12.85546875" style="2" customWidth="1"/>
    <col min="3870" max="3870" width="14.7109375" style="2" customWidth="1"/>
    <col min="3871" max="3871" width="10" style="2" customWidth="1"/>
    <col min="3872" max="3872" width="6.28515625" style="2" customWidth="1"/>
    <col min="3873" max="3873" width="12.28515625" style="2" customWidth="1"/>
    <col min="3874" max="3874" width="8.5703125" style="2" customWidth="1"/>
    <col min="3875" max="3875" width="13.7109375" style="2" customWidth="1"/>
    <col min="3876" max="3876" width="11.5703125" style="2" customWidth="1"/>
    <col min="3877" max="3877" width="34.28515625" style="2" customWidth="1"/>
    <col min="3878" max="3878" width="24.28515625" style="2" customWidth="1"/>
    <col min="3879" max="3879" width="21.140625" style="2" customWidth="1"/>
    <col min="3880" max="3880" width="22.140625" style="2" customWidth="1"/>
    <col min="3881" max="3881" width="8" style="2" customWidth="1"/>
    <col min="3882" max="3882" width="17" style="2" customWidth="1"/>
    <col min="3883" max="3883" width="12.7109375" style="2" customWidth="1"/>
    <col min="3884" max="3884" width="24.5703125" style="2" customWidth="1"/>
    <col min="3885" max="3885" width="29" style="2" customWidth="1"/>
    <col min="3886" max="3886" width="17.7109375" style="2" customWidth="1"/>
    <col min="3887" max="3887" width="36.42578125" style="2" customWidth="1"/>
    <col min="3888" max="3888" width="21.85546875" style="2" customWidth="1"/>
    <col min="3889" max="3889" width="11.7109375" style="2" customWidth="1"/>
    <col min="3890" max="3890" width="26.28515625" style="2" customWidth="1"/>
    <col min="3891" max="3891" width="9" style="2" customWidth="1"/>
    <col min="3892" max="3892" width="6.28515625" style="2" customWidth="1"/>
    <col min="3893" max="3894" width="7.28515625" style="2" customWidth="1"/>
    <col min="3895" max="3895" width="8.42578125" style="2" customWidth="1"/>
    <col min="3896" max="3896" width="9.5703125" style="2" customWidth="1"/>
    <col min="3897" max="3897" width="6.28515625" style="2" customWidth="1"/>
    <col min="3898" max="3898" width="5.85546875" style="2" customWidth="1"/>
    <col min="3899" max="3900" width="4.42578125" style="2" customWidth="1"/>
    <col min="3901" max="3901" width="5" style="2" customWidth="1"/>
    <col min="3902" max="3902" width="5.85546875" style="2" customWidth="1"/>
    <col min="3903" max="3903" width="6.140625" style="2" customWidth="1"/>
    <col min="3904" max="3904" width="6.28515625" style="2" customWidth="1"/>
    <col min="3905" max="3905" width="11.140625" style="2" customWidth="1"/>
    <col min="3906" max="3906" width="14.140625" style="2" customWidth="1"/>
    <col min="3907" max="3907" width="19.85546875" style="2" customWidth="1"/>
    <col min="3908" max="3908" width="17" style="2" customWidth="1"/>
    <col min="3909" max="3909" width="20.85546875" style="2" customWidth="1"/>
    <col min="3910" max="4122" width="11.42578125" style="2"/>
    <col min="4123" max="4123" width="13.140625" style="2" customWidth="1"/>
    <col min="4124" max="4124" width="4" style="2" customWidth="1"/>
    <col min="4125" max="4125" width="12.85546875" style="2" customWidth="1"/>
    <col min="4126" max="4126" width="14.7109375" style="2" customWidth="1"/>
    <col min="4127" max="4127" width="10" style="2" customWidth="1"/>
    <col min="4128" max="4128" width="6.28515625" style="2" customWidth="1"/>
    <col min="4129" max="4129" width="12.28515625" style="2" customWidth="1"/>
    <col min="4130" max="4130" width="8.5703125" style="2" customWidth="1"/>
    <col min="4131" max="4131" width="13.7109375" style="2" customWidth="1"/>
    <col min="4132" max="4132" width="11.5703125" style="2" customWidth="1"/>
    <col min="4133" max="4133" width="34.28515625" style="2" customWidth="1"/>
    <col min="4134" max="4134" width="24.28515625" style="2" customWidth="1"/>
    <col min="4135" max="4135" width="21.140625" style="2" customWidth="1"/>
    <col min="4136" max="4136" width="22.140625" style="2" customWidth="1"/>
    <col min="4137" max="4137" width="8" style="2" customWidth="1"/>
    <col min="4138" max="4138" width="17" style="2" customWidth="1"/>
    <col min="4139" max="4139" width="12.7109375" style="2" customWidth="1"/>
    <col min="4140" max="4140" width="24.5703125" style="2" customWidth="1"/>
    <col min="4141" max="4141" width="29" style="2" customWidth="1"/>
    <col min="4142" max="4142" width="17.7109375" style="2" customWidth="1"/>
    <col min="4143" max="4143" width="36.42578125" style="2" customWidth="1"/>
    <col min="4144" max="4144" width="21.85546875" style="2" customWidth="1"/>
    <col min="4145" max="4145" width="11.7109375" style="2" customWidth="1"/>
    <col min="4146" max="4146" width="26.28515625" style="2" customWidth="1"/>
    <col min="4147" max="4147" width="9" style="2" customWidth="1"/>
    <col min="4148" max="4148" width="6.28515625" style="2" customWidth="1"/>
    <col min="4149" max="4150" width="7.28515625" style="2" customWidth="1"/>
    <col min="4151" max="4151" width="8.42578125" style="2" customWidth="1"/>
    <col min="4152" max="4152" width="9.5703125" style="2" customWidth="1"/>
    <col min="4153" max="4153" width="6.28515625" style="2" customWidth="1"/>
    <col min="4154" max="4154" width="5.85546875" style="2" customWidth="1"/>
    <col min="4155" max="4156" width="4.42578125" style="2" customWidth="1"/>
    <col min="4157" max="4157" width="5" style="2" customWidth="1"/>
    <col min="4158" max="4158" width="5.85546875" style="2" customWidth="1"/>
    <col min="4159" max="4159" width="6.140625" style="2" customWidth="1"/>
    <col min="4160" max="4160" width="6.28515625" style="2" customWidth="1"/>
    <col min="4161" max="4161" width="11.140625" style="2" customWidth="1"/>
    <col min="4162" max="4162" width="14.140625" style="2" customWidth="1"/>
    <col min="4163" max="4163" width="19.85546875" style="2" customWidth="1"/>
    <col min="4164" max="4164" width="17" style="2" customWidth="1"/>
    <col min="4165" max="4165" width="20.85546875" style="2" customWidth="1"/>
    <col min="4166" max="4378" width="11.42578125" style="2"/>
    <col min="4379" max="4379" width="13.140625" style="2" customWidth="1"/>
    <col min="4380" max="4380" width="4" style="2" customWidth="1"/>
    <col min="4381" max="4381" width="12.85546875" style="2" customWidth="1"/>
    <col min="4382" max="4382" width="14.7109375" style="2" customWidth="1"/>
    <col min="4383" max="4383" width="10" style="2" customWidth="1"/>
    <col min="4384" max="4384" width="6.28515625" style="2" customWidth="1"/>
    <col min="4385" max="4385" width="12.28515625" style="2" customWidth="1"/>
    <col min="4386" max="4386" width="8.5703125" style="2" customWidth="1"/>
    <col min="4387" max="4387" width="13.7109375" style="2" customWidth="1"/>
    <col min="4388" max="4388" width="11.5703125" style="2" customWidth="1"/>
    <col min="4389" max="4389" width="34.28515625" style="2" customWidth="1"/>
    <col min="4390" max="4390" width="24.28515625" style="2" customWidth="1"/>
    <col min="4391" max="4391" width="21.140625" style="2" customWidth="1"/>
    <col min="4392" max="4392" width="22.140625" style="2" customWidth="1"/>
    <col min="4393" max="4393" width="8" style="2" customWidth="1"/>
    <col min="4394" max="4394" width="17" style="2" customWidth="1"/>
    <col min="4395" max="4395" width="12.7109375" style="2" customWidth="1"/>
    <col min="4396" max="4396" width="24.5703125" style="2" customWidth="1"/>
    <col min="4397" max="4397" width="29" style="2" customWidth="1"/>
    <col min="4398" max="4398" width="17.7109375" style="2" customWidth="1"/>
    <col min="4399" max="4399" width="36.42578125" style="2" customWidth="1"/>
    <col min="4400" max="4400" width="21.85546875" style="2" customWidth="1"/>
    <col min="4401" max="4401" width="11.7109375" style="2" customWidth="1"/>
    <col min="4402" max="4402" width="26.28515625" style="2" customWidth="1"/>
    <col min="4403" max="4403" width="9" style="2" customWidth="1"/>
    <col min="4404" max="4404" width="6.28515625" style="2" customWidth="1"/>
    <col min="4405" max="4406" width="7.28515625" style="2" customWidth="1"/>
    <col min="4407" max="4407" width="8.42578125" style="2" customWidth="1"/>
    <col min="4408" max="4408" width="9.5703125" style="2" customWidth="1"/>
    <col min="4409" max="4409" width="6.28515625" style="2" customWidth="1"/>
    <col min="4410" max="4410" width="5.85546875" style="2" customWidth="1"/>
    <col min="4411" max="4412" width="4.42578125" style="2" customWidth="1"/>
    <col min="4413" max="4413" width="5" style="2" customWidth="1"/>
    <col min="4414" max="4414" width="5.85546875" style="2" customWidth="1"/>
    <col min="4415" max="4415" width="6.140625" style="2" customWidth="1"/>
    <col min="4416" max="4416" width="6.28515625" style="2" customWidth="1"/>
    <col min="4417" max="4417" width="11.140625" style="2" customWidth="1"/>
    <col min="4418" max="4418" width="14.140625" style="2" customWidth="1"/>
    <col min="4419" max="4419" width="19.85546875" style="2" customWidth="1"/>
    <col min="4420" max="4420" width="17" style="2" customWidth="1"/>
    <col min="4421" max="4421" width="20.85546875" style="2" customWidth="1"/>
    <col min="4422" max="4634" width="11.42578125" style="2"/>
    <col min="4635" max="4635" width="13.140625" style="2" customWidth="1"/>
    <col min="4636" max="4636" width="4" style="2" customWidth="1"/>
    <col min="4637" max="4637" width="12.85546875" style="2" customWidth="1"/>
    <col min="4638" max="4638" width="14.7109375" style="2" customWidth="1"/>
    <col min="4639" max="4639" width="10" style="2" customWidth="1"/>
    <col min="4640" max="4640" width="6.28515625" style="2" customWidth="1"/>
    <col min="4641" max="4641" width="12.28515625" style="2" customWidth="1"/>
    <col min="4642" max="4642" width="8.5703125" style="2" customWidth="1"/>
    <col min="4643" max="4643" width="13.7109375" style="2" customWidth="1"/>
    <col min="4644" max="4644" width="11.5703125" style="2" customWidth="1"/>
    <col min="4645" max="4645" width="34.28515625" style="2" customWidth="1"/>
    <col min="4646" max="4646" width="24.28515625" style="2" customWidth="1"/>
    <col min="4647" max="4647" width="21.140625" style="2" customWidth="1"/>
    <col min="4648" max="4648" width="22.140625" style="2" customWidth="1"/>
    <col min="4649" max="4649" width="8" style="2" customWidth="1"/>
    <col min="4650" max="4650" width="17" style="2" customWidth="1"/>
    <col min="4651" max="4651" width="12.7109375" style="2" customWidth="1"/>
    <col min="4652" max="4652" width="24.5703125" style="2" customWidth="1"/>
    <col min="4653" max="4653" width="29" style="2" customWidth="1"/>
    <col min="4654" max="4654" width="17.7109375" style="2" customWidth="1"/>
    <col min="4655" max="4655" width="36.42578125" style="2" customWidth="1"/>
    <col min="4656" max="4656" width="21.85546875" style="2" customWidth="1"/>
    <col min="4657" max="4657" width="11.7109375" style="2" customWidth="1"/>
    <col min="4658" max="4658" width="26.28515625" style="2" customWidth="1"/>
    <col min="4659" max="4659" width="9" style="2" customWidth="1"/>
    <col min="4660" max="4660" width="6.28515625" style="2" customWidth="1"/>
    <col min="4661" max="4662" width="7.28515625" style="2" customWidth="1"/>
    <col min="4663" max="4663" width="8.42578125" style="2" customWidth="1"/>
    <col min="4664" max="4664" width="9.5703125" style="2" customWidth="1"/>
    <col min="4665" max="4665" width="6.28515625" style="2" customWidth="1"/>
    <col min="4666" max="4666" width="5.85546875" style="2" customWidth="1"/>
    <col min="4667" max="4668" width="4.42578125" style="2" customWidth="1"/>
    <col min="4669" max="4669" width="5" style="2" customWidth="1"/>
    <col min="4670" max="4670" width="5.85546875" style="2" customWidth="1"/>
    <col min="4671" max="4671" width="6.140625" style="2" customWidth="1"/>
    <col min="4672" max="4672" width="6.28515625" style="2" customWidth="1"/>
    <col min="4673" max="4673" width="11.140625" style="2" customWidth="1"/>
    <col min="4674" max="4674" width="14.140625" style="2" customWidth="1"/>
    <col min="4675" max="4675" width="19.85546875" style="2" customWidth="1"/>
    <col min="4676" max="4676" width="17" style="2" customWidth="1"/>
    <col min="4677" max="4677" width="20.85546875" style="2" customWidth="1"/>
    <col min="4678" max="4890" width="11.42578125" style="2"/>
    <col min="4891" max="4891" width="13.140625" style="2" customWidth="1"/>
    <col min="4892" max="4892" width="4" style="2" customWidth="1"/>
    <col min="4893" max="4893" width="12.85546875" style="2" customWidth="1"/>
    <col min="4894" max="4894" width="14.7109375" style="2" customWidth="1"/>
    <col min="4895" max="4895" width="10" style="2" customWidth="1"/>
    <col min="4896" max="4896" width="6.28515625" style="2" customWidth="1"/>
    <col min="4897" max="4897" width="12.28515625" style="2" customWidth="1"/>
    <col min="4898" max="4898" width="8.5703125" style="2" customWidth="1"/>
    <col min="4899" max="4899" width="13.7109375" style="2" customWidth="1"/>
    <col min="4900" max="4900" width="11.5703125" style="2" customWidth="1"/>
    <col min="4901" max="4901" width="34.28515625" style="2" customWidth="1"/>
    <col min="4902" max="4902" width="24.28515625" style="2" customWidth="1"/>
    <col min="4903" max="4903" width="21.140625" style="2" customWidth="1"/>
    <col min="4904" max="4904" width="22.140625" style="2" customWidth="1"/>
    <col min="4905" max="4905" width="8" style="2" customWidth="1"/>
    <col min="4906" max="4906" width="17" style="2" customWidth="1"/>
    <col min="4907" max="4907" width="12.7109375" style="2" customWidth="1"/>
    <col min="4908" max="4908" width="24.5703125" style="2" customWidth="1"/>
    <col min="4909" max="4909" width="29" style="2" customWidth="1"/>
    <col min="4910" max="4910" width="17.7109375" style="2" customWidth="1"/>
    <col min="4911" max="4911" width="36.42578125" style="2" customWidth="1"/>
    <col min="4912" max="4912" width="21.85546875" style="2" customWidth="1"/>
    <col min="4913" max="4913" width="11.7109375" style="2" customWidth="1"/>
    <col min="4914" max="4914" width="26.28515625" style="2" customWidth="1"/>
    <col min="4915" max="4915" width="9" style="2" customWidth="1"/>
    <col min="4916" max="4916" width="6.28515625" style="2" customWidth="1"/>
    <col min="4917" max="4918" width="7.28515625" style="2" customWidth="1"/>
    <col min="4919" max="4919" width="8.42578125" style="2" customWidth="1"/>
    <col min="4920" max="4920" width="9.5703125" style="2" customWidth="1"/>
    <col min="4921" max="4921" width="6.28515625" style="2" customWidth="1"/>
    <col min="4922" max="4922" width="5.85546875" style="2" customWidth="1"/>
    <col min="4923" max="4924" width="4.42578125" style="2" customWidth="1"/>
    <col min="4925" max="4925" width="5" style="2" customWidth="1"/>
    <col min="4926" max="4926" width="5.85546875" style="2" customWidth="1"/>
    <col min="4927" max="4927" width="6.140625" style="2" customWidth="1"/>
    <col min="4928" max="4928" width="6.28515625" style="2" customWidth="1"/>
    <col min="4929" max="4929" width="11.140625" style="2" customWidth="1"/>
    <col min="4930" max="4930" width="14.140625" style="2" customWidth="1"/>
    <col min="4931" max="4931" width="19.85546875" style="2" customWidth="1"/>
    <col min="4932" max="4932" width="17" style="2" customWidth="1"/>
    <col min="4933" max="4933" width="20.85546875" style="2" customWidth="1"/>
    <col min="4934" max="5146" width="11.42578125" style="2"/>
    <col min="5147" max="5147" width="13.140625" style="2" customWidth="1"/>
    <col min="5148" max="5148" width="4" style="2" customWidth="1"/>
    <col min="5149" max="5149" width="12.85546875" style="2" customWidth="1"/>
    <col min="5150" max="5150" width="14.7109375" style="2" customWidth="1"/>
    <col min="5151" max="5151" width="10" style="2" customWidth="1"/>
    <col min="5152" max="5152" width="6.28515625" style="2" customWidth="1"/>
    <col min="5153" max="5153" width="12.28515625" style="2" customWidth="1"/>
    <col min="5154" max="5154" width="8.5703125" style="2" customWidth="1"/>
    <col min="5155" max="5155" width="13.7109375" style="2" customWidth="1"/>
    <col min="5156" max="5156" width="11.5703125" style="2" customWidth="1"/>
    <col min="5157" max="5157" width="34.28515625" style="2" customWidth="1"/>
    <col min="5158" max="5158" width="24.28515625" style="2" customWidth="1"/>
    <col min="5159" max="5159" width="21.140625" style="2" customWidth="1"/>
    <col min="5160" max="5160" width="22.140625" style="2" customWidth="1"/>
    <col min="5161" max="5161" width="8" style="2" customWidth="1"/>
    <col min="5162" max="5162" width="17" style="2" customWidth="1"/>
    <col min="5163" max="5163" width="12.7109375" style="2" customWidth="1"/>
    <col min="5164" max="5164" width="24.5703125" style="2" customWidth="1"/>
    <col min="5165" max="5165" width="29" style="2" customWidth="1"/>
    <col min="5166" max="5166" width="17.7109375" style="2" customWidth="1"/>
    <col min="5167" max="5167" width="36.42578125" style="2" customWidth="1"/>
    <col min="5168" max="5168" width="21.85546875" style="2" customWidth="1"/>
    <col min="5169" max="5169" width="11.7109375" style="2" customWidth="1"/>
    <col min="5170" max="5170" width="26.28515625" style="2" customWidth="1"/>
    <col min="5171" max="5171" width="9" style="2" customWidth="1"/>
    <col min="5172" max="5172" width="6.28515625" style="2" customWidth="1"/>
    <col min="5173" max="5174" width="7.28515625" style="2" customWidth="1"/>
    <col min="5175" max="5175" width="8.42578125" style="2" customWidth="1"/>
    <col min="5176" max="5176" width="9.5703125" style="2" customWidth="1"/>
    <col min="5177" max="5177" width="6.28515625" style="2" customWidth="1"/>
    <col min="5178" max="5178" width="5.85546875" style="2" customWidth="1"/>
    <col min="5179" max="5180" width="4.42578125" style="2" customWidth="1"/>
    <col min="5181" max="5181" width="5" style="2" customWidth="1"/>
    <col min="5182" max="5182" width="5.85546875" style="2" customWidth="1"/>
    <col min="5183" max="5183" width="6.140625" style="2" customWidth="1"/>
    <col min="5184" max="5184" width="6.28515625" style="2" customWidth="1"/>
    <col min="5185" max="5185" width="11.140625" style="2" customWidth="1"/>
    <col min="5186" max="5186" width="14.140625" style="2" customWidth="1"/>
    <col min="5187" max="5187" width="19.85546875" style="2" customWidth="1"/>
    <col min="5188" max="5188" width="17" style="2" customWidth="1"/>
    <col min="5189" max="5189" width="20.85546875" style="2" customWidth="1"/>
    <col min="5190" max="5402" width="11.42578125" style="2"/>
    <col min="5403" max="5403" width="13.140625" style="2" customWidth="1"/>
    <col min="5404" max="5404" width="4" style="2" customWidth="1"/>
    <col min="5405" max="5405" width="12.85546875" style="2" customWidth="1"/>
    <col min="5406" max="5406" width="14.7109375" style="2" customWidth="1"/>
    <col min="5407" max="5407" width="10" style="2" customWidth="1"/>
    <col min="5408" max="5408" width="6.28515625" style="2" customWidth="1"/>
    <col min="5409" max="5409" width="12.28515625" style="2" customWidth="1"/>
    <col min="5410" max="5410" width="8.5703125" style="2" customWidth="1"/>
    <col min="5411" max="5411" width="13.7109375" style="2" customWidth="1"/>
    <col min="5412" max="5412" width="11.5703125" style="2" customWidth="1"/>
    <col min="5413" max="5413" width="34.28515625" style="2" customWidth="1"/>
    <col min="5414" max="5414" width="24.28515625" style="2" customWidth="1"/>
    <col min="5415" max="5415" width="21.140625" style="2" customWidth="1"/>
    <col min="5416" max="5416" width="22.140625" style="2" customWidth="1"/>
    <col min="5417" max="5417" width="8" style="2" customWidth="1"/>
    <col min="5418" max="5418" width="17" style="2" customWidth="1"/>
    <col min="5419" max="5419" width="12.7109375" style="2" customWidth="1"/>
    <col min="5420" max="5420" width="24.5703125" style="2" customWidth="1"/>
    <col min="5421" max="5421" width="29" style="2" customWidth="1"/>
    <col min="5422" max="5422" width="17.7109375" style="2" customWidth="1"/>
    <col min="5423" max="5423" width="36.42578125" style="2" customWidth="1"/>
    <col min="5424" max="5424" width="21.85546875" style="2" customWidth="1"/>
    <col min="5425" max="5425" width="11.7109375" style="2" customWidth="1"/>
    <col min="5426" max="5426" width="26.28515625" style="2" customWidth="1"/>
    <col min="5427" max="5427" width="9" style="2" customWidth="1"/>
    <col min="5428" max="5428" width="6.28515625" style="2" customWidth="1"/>
    <col min="5429" max="5430" width="7.28515625" style="2" customWidth="1"/>
    <col min="5431" max="5431" width="8.42578125" style="2" customWidth="1"/>
    <col min="5432" max="5432" width="9.5703125" style="2" customWidth="1"/>
    <col min="5433" max="5433" width="6.28515625" style="2" customWidth="1"/>
    <col min="5434" max="5434" width="5.85546875" style="2" customWidth="1"/>
    <col min="5435" max="5436" width="4.42578125" style="2" customWidth="1"/>
    <col min="5437" max="5437" width="5" style="2" customWidth="1"/>
    <col min="5438" max="5438" width="5.85546875" style="2" customWidth="1"/>
    <col min="5439" max="5439" width="6.140625" style="2" customWidth="1"/>
    <col min="5440" max="5440" width="6.28515625" style="2" customWidth="1"/>
    <col min="5441" max="5441" width="11.140625" style="2" customWidth="1"/>
    <col min="5442" max="5442" width="14.140625" style="2" customWidth="1"/>
    <col min="5443" max="5443" width="19.85546875" style="2" customWidth="1"/>
    <col min="5444" max="5444" width="17" style="2" customWidth="1"/>
    <col min="5445" max="5445" width="20.85546875" style="2" customWidth="1"/>
    <col min="5446" max="5658" width="11.42578125" style="2"/>
    <col min="5659" max="5659" width="13.140625" style="2" customWidth="1"/>
    <col min="5660" max="5660" width="4" style="2" customWidth="1"/>
    <col min="5661" max="5661" width="12.85546875" style="2" customWidth="1"/>
    <col min="5662" max="5662" width="14.7109375" style="2" customWidth="1"/>
    <col min="5663" max="5663" width="10" style="2" customWidth="1"/>
    <col min="5664" max="5664" width="6.28515625" style="2" customWidth="1"/>
    <col min="5665" max="5665" width="12.28515625" style="2" customWidth="1"/>
    <col min="5666" max="5666" width="8.5703125" style="2" customWidth="1"/>
    <col min="5667" max="5667" width="13.7109375" style="2" customWidth="1"/>
    <col min="5668" max="5668" width="11.5703125" style="2" customWidth="1"/>
    <col min="5669" max="5669" width="34.28515625" style="2" customWidth="1"/>
    <col min="5670" max="5670" width="24.28515625" style="2" customWidth="1"/>
    <col min="5671" max="5671" width="21.140625" style="2" customWidth="1"/>
    <col min="5672" max="5672" width="22.140625" style="2" customWidth="1"/>
    <col min="5673" max="5673" width="8" style="2" customWidth="1"/>
    <col min="5674" max="5674" width="17" style="2" customWidth="1"/>
    <col min="5675" max="5675" width="12.7109375" style="2" customWidth="1"/>
    <col min="5676" max="5676" width="24.5703125" style="2" customWidth="1"/>
    <col min="5677" max="5677" width="29" style="2" customWidth="1"/>
    <col min="5678" max="5678" width="17.7109375" style="2" customWidth="1"/>
    <col min="5679" max="5679" width="36.42578125" style="2" customWidth="1"/>
    <col min="5680" max="5680" width="21.85546875" style="2" customWidth="1"/>
    <col min="5681" max="5681" width="11.7109375" style="2" customWidth="1"/>
    <col min="5682" max="5682" width="26.28515625" style="2" customWidth="1"/>
    <col min="5683" max="5683" width="9" style="2" customWidth="1"/>
    <col min="5684" max="5684" width="6.28515625" style="2" customWidth="1"/>
    <col min="5685" max="5686" width="7.28515625" style="2" customWidth="1"/>
    <col min="5687" max="5687" width="8.42578125" style="2" customWidth="1"/>
    <col min="5688" max="5688" width="9.5703125" style="2" customWidth="1"/>
    <col min="5689" max="5689" width="6.28515625" style="2" customWidth="1"/>
    <col min="5690" max="5690" width="5.85546875" style="2" customWidth="1"/>
    <col min="5691" max="5692" width="4.42578125" style="2" customWidth="1"/>
    <col min="5693" max="5693" width="5" style="2" customWidth="1"/>
    <col min="5694" max="5694" width="5.85546875" style="2" customWidth="1"/>
    <col min="5695" max="5695" width="6.140625" style="2" customWidth="1"/>
    <col min="5696" max="5696" width="6.28515625" style="2" customWidth="1"/>
    <col min="5697" max="5697" width="11.140625" style="2" customWidth="1"/>
    <col min="5698" max="5698" width="14.140625" style="2" customWidth="1"/>
    <col min="5699" max="5699" width="19.85546875" style="2" customWidth="1"/>
    <col min="5700" max="5700" width="17" style="2" customWidth="1"/>
    <col min="5701" max="5701" width="20.85546875" style="2" customWidth="1"/>
    <col min="5702" max="5914" width="11.42578125" style="2"/>
    <col min="5915" max="5915" width="13.140625" style="2" customWidth="1"/>
    <col min="5916" max="5916" width="4" style="2" customWidth="1"/>
    <col min="5917" max="5917" width="12.85546875" style="2" customWidth="1"/>
    <col min="5918" max="5918" width="14.7109375" style="2" customWidth="1"/>
    <col min="5919" max="5919" width="10" style="2" customWidth="1"/>
    <col min="5920" max="5920" width="6.28515625" style="2" customWidth="1"/>
    <col min="5921" max="5921" width="12.28515625" style="2" customWidth="1"/>
    <col min="5922" max="5922" width="8.5703125" style="2" customWidth="1"/>
    <col min="5923" max="5923" width="13.7109375" style="2" customWidth="1"/>
    <col min="5924" max="5924" width="11.5703125" style="2" customWidth="1"/>
    <col min="5925" max="5925" width="34.28515625" style="2" customWidth="1"/>
    <col min="5926" max="5926" width="24.28515625" style="2" customWidth="1"/>
    <col min="5927" max="5927" width="21.140625" style="2" customWidth="1"/>
    <col min="5928" max="5928" width="22.140625" style="2" customWidth="1"/>
    <col min="5929" max="5929" width="8" style="2" customWidth="1"/>
    <col min="5930" max="5930" width="17" style="2" customWidth="1"/>
    <col min="5931" max="5931" width="12.7109375" style="2" customWidth="1"/>
    <col min="5932" max="5932" width="24.5703125" style="2" customWidth="1"/>
    <col min="5933" max="5933" width="29" style="2" customWidth="1"/>
    <col min="5934" max="5934" width="17.7109375" style="2" customWidth="1"/>
    <col min="5935" max="5935" width="36.42578125" style="2" customWidth="1"/>
    <col min="5936" max="5936" width="21.85546875" style="2" customWidth="1"/>
    <col min="5937" max="5937" width="11.7109375" style="2" customWidth="1"/>
    <col min="5938" max="5938" width="26.28515625" style="2" customWidth="1"/>
    <col min="5939" max="5939" width="9" style="2" customWidth="1"/>
    <col min="5940" max="5940" width="6.28515625" style="2" customWidth="1"/>
    <col min="5941" max="5942" width="7.28515625" style="2" customWidth="1"/>
    <col min="5943" max="5943" width="8.42578125" style="2" customWidth="1"/>
    <col min="5944" max="5944" width="9.5703125" style="2" customWidth="1"/>
    <col min="5945" max="5945" width="6.28515625" style="2" customWidth="1"/>
    <col min="5946" max="5946" width="5.85546875" style="2" customWidth="1"/>
    <col min="5947" max="5948" width="4.42578125" style="2" customWidth="1"/>
    <col min="5949" max="5949" width="5" style="2" customWidth="1"/>
    <col min="5950" max="5950" width="5.85546875" style="2" customWidth="1"/>
    <col min="5951" max="5951" width="6.140625" style="2" customWidth="1"/>
    <col min="5952" max="5952" width="6.28515625" style="2" customWidth="1"/>
    <col min="5953" max="5953" width="11.140625" style="2" customWidth="1"/>
    <col min="5954" max="5954" width="14.140625" style="2" customWidth="1"/>
    <col min="5955" max="5955" width="19.85546875" style="2" customWidth="1"/>
    <col min="5956" max="5956" width="17" style="2" customWidth="1"/>
    <col min="5957" max="5957" width="20.85546875" style="2" customWidth="1"/>
    <col min="5958" max="6170" width="11.42578125" style="2"/>
    <col min="6171" max="6171" width="13.140625" style="2" customWidth="1"/>
    <col min="6172" max="6172" width="4" style="2" customWidth="1"/>
    <col min="6173" max="6173" width="12.85546875" style="2" customWidth="1"/>
    <col min="6174" max="6174" width="14.7109375" style="2" customWidth="1"/>
    <col min="6175" max="6175" width="10" style="2" customWidth="1"/>
    <col min="6176" max="6176" width="6.28515625" style="2" customWidth="1"/>
    <col min="6177" max="6177" width="12.28515625" style="2" customWidth="1"/>
    <col min="6178" max="6178" width="8.5703125" style="2" customWidth="1"/>
    <col min="6179" max="6179" width="13.7109375" style="2" customWidth="1"/>
    <col min="6180" max="6180" width="11.5703125" style="2" customWidth="1"/>
    <col min="6181" max="6181" width="34.28515625" style="2" customWidth="1"/>
    <col min="6182" max="6182" width="24.28515625" style="2" customWidth="1"/>
    <col min="6183" max="6183" width="21.140625" style="2" customWidth="1"/>
    <col min="6184" max="6184" width="22.140625" style="2" customWidth="1"/>
    <col min="6185" max="6185" width="8" style="2" customWidth="1"/>
    <col min="6186" max="6186" width="17" style="2" customWidth="1"/>
    <col min="6187" max="6187" width="12.7109375" style="2" customWidth="1"/>
    <col min="6188" max="6188" width="24.5703125" style="2" customWidth="1"/>
    <col min="6189" max="6189" width="29" style="2" customWidth="1"/>
    <col min="6190" max="6190" width="17.7109375" style="2" customWidth="1"/>
    <col min="6191" max="6191" width="36.42578125" style="2" customWidth="1"/>
    <col min="6192" max="6192" width="21.85546875" style="2" customWidth="1"/>
    <col min="6193" max="6193" width="11.7109375" style="2" customWidth="1"/>
    <col min="6194" max="6194" width="26.28515625" style="2" customWidth="1"/>
    <col min="6195" max="6195" width="9" style="2" customWidth="1"/>
    <col min="6196" max="6196" width="6.28515625" style="2" customWidth="1"/>
    <col min="6197" max="6198" width="7.28515625" style="2" customWidth="1"/>
    <col min="6199" max="6199" width="8.42578125" style="2" customWidth="1"/>
    <col min="6200" max="6200" width="9.5703125" style="2" customWidth="1"/>
    <col min="6201" max="6201" width="6.28515625" style="2" customWidth="1"/>
    <col min="6202" max="6202" width="5.85546875" style="2" customWidth="1"/>
    <col min="6203" max="6204" width="4.42578125" style="2" customWidth="1"/>
    <col min="6205" max="6205" width="5" style="2" customWidth="1"/>
    <col min="6206" max="6206" width="5.85546875" style="2" customWidth="1"/>
    <col min="6207" max="6207" width="6.140625" style="2" customWidth="1"/>
    <col min="6208" max="6208" width="6.28515625" style="2" customWidth="1"/>
    <col min="6209" max="6209" width="11.140625" style="2" customWidth="1"/>
    <col min="6210" max="6210" width="14.140625" style="2" customWidth="1"/>
    <col min="6211" max="6211" width="19.85546875" style="2" customWidth="1"/>
    <col min="6212" max="6212" width="17" style="2" customWidth="1"/>
    <col min="6213" max="6213" width="20.85546875" style="2" customWidth="1"/>
    <col min="6214" max="6426" width="11.42578125" style="2"/>
    <col min="6427" max="6427" width="13.140625" style="2" customWidth="1"/>
    <col min="6428" max="6428" width="4" style="2" customWidth="1"/>
    <col min="6429" max="6429" width="12.85546875" style="2" customWidth="1"/>
    <col min="6430" max="6430" width="14.7109375" style="2" customWidth="1"/>
    <col min="6431" max="6431" width="10" style="2" customWidth="1"/>
    <col min="6432" max="6432" width="6.28515625" style="2" customWidth="1"/>
    <col min="6433" max="6433" width="12.28515625" style="2" customWidth="1"/>
    <col min="6434" max="6434" width="8.5703125" style="2" customWidth="1"/>
    <col min="6435" max="6435" width="13.7109375" style="2" customWidth="1"/>
    <col min="6436" max="6436" width="11.5703125" style="2" customWidth="1"/>
    <col min="6437" max="6437" width="34.28515625" style="2" customWidth="1"/>
    <col min="6438" max="6438" width="24.28515625" style="2" customWidth="1"/>
    <col min="6439" max="6439" width="21.140625" style="2" customWidth="1"/>
    <col min="6440" max="6440" width="22.140625" style="2" customWidth="1"/>
    <col min="6441" max="6441" width="8" style="2" customWidth="1"/>
    <col min="6442" max="6442" width="17" style="2" customWidth="1"/>
    <col min="6443" max="6443" width="12.7109375" style="2" customWidth="1"/>
    <col min="6444" max="6444" width="24.5703125" style="2" customWidth="1"/>
    <col min="6445" max="6445" width="29" style="2" customWidth="1"/>
    <col min="6446" max="6446" width="17.7109375" style="2" customWidth="1"/>
    <col min="6447" max="6447" width="36.42578125" style="2" customWidth="1"/>
    <col min="6448" max="6448" width="21.85546875" style="2" customWidth="1"/>
    <col min="6449" max="6449" width="11.7109375" style="2" customWidth="1"/>
    <col min="6450" max="6450" width="26.28515625" style="2" customWidth="1"/>
    <col min="6451" max="6451" width="9" style="2" customWidth="1"/>
    <col min="6452" max="6452" width="6.28515625" style="2" customWidth="1"/>
    <col min="6453" max="6454" width="7.28515625" style="2" customWidth="1"/>
    <col min="6455" max="6455" width="8.42578125" style="2" customWidth="1"/>
    <col min="6456" max="6456" width="9.5703125" style="2" customWidth="1"/>
    <col min="6457" max="6457" width="6.28515625" style="2" customWidth="1"/>
    <col min="6458" max="6458" width="5.85546875" style="2" customWidth="1"/>
    <col min="6459" max="6460" width="4.42578125" style="2" customWidth="1"/>
    <col min="6461" max="6461" width="5" style="2" customWidth="1"/>
    <col min="6462" max="6462" width="5.85546875" style="2" customWidth="1"/>
    <col min="6463" max="6463" width="6.140625" style="2" customWidth="1"/>
    <col min="6464" max="6464" width="6.28515625" style="2" customWidth="1"/>
    <col min="6465" max="6465" width="11.140625" style="2" customWidth="1"/>
    <col min="6466" max="6466" width="14.140625" style="2" customWidth="1"/>
    <col min="6467" max="6467" width="19.85546875" style="2" customWidth="1"/>
    <col min="6468" max="6468" width="17" style="2" customWidth="1"/>
    <col min="6469" max="6469" width="20.85546875" style="2" customWidth="1"/>
    <col min="6470" max="6682" width="11.42578125" style="2"/>
    <col min="6683" max="6683" width="13.140625" style="2" customWidth="1"/>
    <col min="6684" max="6684" width="4" style="2" customWidth="1"/>
    <col min="6685" max="6685" width="12.85546875" style="2" customWidth="1"/>
    <col min="6686" max="6686" width="14.7109375" style="2" customWidth="1"/>
    <col min="6687" max="6687" width="10" style="2" customWidth="1"/>
    <col min="6688" max="6688" width="6.28515625" style="2" customWidth="1"/>
    <col min="6689" max="6689" width="12.28515625" style="2" customWidth="1"/>
    <col min="6690" max="6690" width="8.5703125" style="2" customWidth="1"/>
    <col min="6691" max="6691" width="13.7109375" style="2" customWidth="1"/>
    <col min="6692" max="6692" width="11.5703125" style="2" customWidth="1"/>
    <col min="6693" max="6693" width="34.28515625" style="2" customWidth="1"/>
    <col min="6694" max="6694" width="24.28515625" style="2" customWidth="1"/>
    <col min="6695" max="6695" width="21.140625" style="2" customWidth="1"/>
    <col min="6696" max="6696" width="22.140625" style="2" customWidth="1"/>
    <col min="6697" max="6697" width="8" style="2" customWidth="1"/>
    <col min="6698" max="6698" width="17" style="2" customWidth="1"/>
    <col min="6699" max="6699" width="12.7109375" style="2" customWidth="1"/>
    <col min="6700" max="6700" width="24.5703125" style="2" customWidth="1"/>
    <col min="6701" max="6701" width="29" style="2" customWidth="1"/>
    <col min="6702" max="6702" width="17.7109375" style="2" customWidth="1"/>
    <col min="6703" max="6703" width="36.42578125" style="2" customWidth="1"/>
    <col min="6704" max="6704" width="21.85546875" style="2" customWidth="1"/>
    <col min="6705" max="6705" width="11.7109375" style="2" customWidth="1"/>
    <col min="6706" max="6706" width="26.28515625" style="2" customWidth="1"/>
    <col min="6707" max="6707" width="9" style="2" customWidth="1"/>
    <col min="6708" max="6708" width="6.28515625" style="2" customWidth="1"/>
    <col min="6709" max="6710" width="7.28515625" style="2" customWidth="1"/>
    <col min="6711" max="6711" width="8.42578125" style="2" customWidth="1"/>
    <col min="6712" max="6712" width="9.5703125" style="2" customWidth="1"/>
    <col min="6713" max="6713" width="6.28515625" style="2" customWidth="1"/>
    <col min="6714" max="6714" width="5.85546875" style="2" customWidth="1"/>
    <col min="6715" max="6716" width="4.42578125" style="2" customWidth="1"/>
    <col min="6717" max="6717" width="5" style="2" customWidth="1"/>
    <col min="6718" max="6718" width="5.85546875" style="2" customWidth="1"/>
    <col min="6719" max="6719" width="6.140625" style="2" customWidth="1"/>
    <col min="6720" max="6720" width="6.28515625" style="2" customWidth="1"/>
    <col min="6721" max="6721" width="11.140625" style="2" customWidth="1"/>
    <col min="6722" max="6722" width="14.140625" style="2" customWidth="1"/>
    <col min="6723" max="6723" width="19.85546875" style="2" customWidth="1"/>
    <col min="6724" max="6724" width="17" style="2" customWidth="1"/>
    <col min="6725" max="6725" width="20.85546875" style="2" customWidth="1"/>
    <col min="6726" max="6938" width="11.42578125" style="2"/>
    <col min="6939" max="6939" width="13.140625" style="2" customWidth="1"/>
    <col min="6940" max="6940" width="4" style="2" customWidth="1"/>
    <col min="6941" max="6941" width="12.85546875" style="2" customWidth="1"/>
    <col min="6942" max="6942" width="14.7109375" style="2" customWidth="1"/>
    <col min="6943" max="6943" width="10" style="2" customWidth="1"/>
    <col min="6944" max="6944" width="6.28515625" style="2" customWidth="1"/>
    <col min="6945" max="6945" width="12.28515625" style="2" customWidth="1"/>
    <col min="6946" max="6946" width="8.5703125" style="2" customWidth="1"/>
    <col min="6947" max="6947" width="13.7109375" style="2" customWidth="1"/>
    <col min="6948" max="6948" width="11.5703125" style="2" customWidth="1"/>
    <col min="6949" max="6949" width="34.28515625" style="2" customWidth="1"/>
    <col min="6950" max="6950" width="24.28515625" style="2" customWidth="1"/>
    <col min="6951" max="6951" width="21.140625" style="2" customWidth="1"/>
    <col min="6952" max="6952" width="22.140625" style="2" customWidth="1"/>
    <col min="6953" max="6953" width="8" style="2" customWidth="1"/>
    <col min="6954" max="6954" width="17" style="2" customWidth="1"/>
    <col min="6955" max="6955" width="12.7109375" style="2" customWidth="1"/>
    <col min="6956" max="6956" width="24.5703125" style="2" customWidth="1"/>
    <col min="6957" max="6957" width="29" style="2" customWidth="1"/>
    <col min="6958" max="6958" width="17.7109375" style="2" customWidth="1"/>
    <col min="6959" max="6959" width="36.42578125" style="2" customWidth="1"/>
    <col min="6960" max="6960" width="21.85546875" style="2" customWidth="1"/>
    <col min="6961" max="6961" width="11.7109375" style="2" customWidth="1"/>
    <col min="6962" max="6962" width="26.28515625" style="2" customWidth="1"/>
    <col min="6963" max="6963" width="9" style="2" customWidth="1"/>
    <col min="6964" max="6964" width="6.28515625" style="2" customWidth="1"/>
    <col min="6965" max="6966" width="7.28515625" style="2" customWidth="1"/>
    <col min="6967" max="6967" width="8.42578125" style="2" customWidth="1"/>
    <col min="6968" max="6968" width="9.5703125" style="2" customWidth="1"/>
    <col min="6969" max="6969" width="6.28515625" style="2" customWidth="1"/>
    <col min="6970" max="6970" width="5.85546875" style="2" customWidth="1"/>
    <col min="6971" max="6972" width="4.42578125" style="2" customWidth="1"/>
    <col min="6973" max="6973" width="5" style="2" customWidth="1"/>
    <col min="6974" max="6974" width="5.85546875" style="2" customWidth="1"/>
    <col min="6975" max="6975" width="6.140625" style="2" customWidth="1"/>
    <col min="6976" max="6976" width="6.28515625" style="2" customWidth="1"/>
    <col min="6977" max="6977" width="11.140625" style="2" customWidth="1"/>
    <col min="6978" max="6978" width="14.140625" style="2" customWidth="1"/>
    <col min="6979" max="6979" width="19.85546875" style="2" customWidth="1"/>
    <col min="6980" max="6980" width="17" style="2" customWidth="1"/>
    <col min="6981" max="6981" width="20.85546875" style="2" customWidth="1"/>
    <col min="6982" max="7194" width="11.42578125" style="2"/>
    <col min="7195" max="7195" width="13.140625" style="2" customWidth="1"/>
    <col min="7196" max="7196" width="4" style="2" customWidth="1"/>
    <col min="7197" max="7197" width="12.85546875" style="2" customWidth="1"/>
    <col min="7198" max="7198" width="14.7109375" style="2" customWidth="1"/>
    <col min="7199" max="7199" width="10" style="2" customWidth="1"/>
    <col min="7200" max="7200" width="6.28515625" style="2" customWidth="1"/>
    <col min="7201" max="7201" width="12.28515625" style="2" customWidth="1"/>
    <col min="7202" max="7202" width="8.5703125" style="2" customWidth="1"/>
    <col min="7203" max="7203" width="13.7109375" style="2" customWidth="1"/>
    <col min="7204" max="7204" width="11.5703125" style="2" customWidth="1"/>
    <col min="7205" max="7205" width="34.28515625" style="2" customWidth="1"/>
    <col min="7206" max="7206" width="24.28515625" style="2" customWidth="1"/>
    <col min="7207" max="7207" width="21.140625" style="2" customWidth="1"/>
    <col min="7208" max="7208" width="22.140625" style="2" customWidth="1"/>
    <col min="7209" max="7209" width="8" style="2" customWidth="1"/>
    <col min="7210" max="7210" width="17" style="2" customWidth="1"/>
    <col min="7211" max="7211" width="12.7109375" style="2" customWidth="1"/>
    <col min="7212" max="7212" width="24.5703125" style="2" customWidth="1"/>
    <col min="7213" max="7213" width="29" style="2" customWidth="1"/>
    <col min="7214" max="7214" width="17.7109375" style="2" customWidth="1"/>
    <col min="7215" max="7215" width="36.42578125" style="2" customWidth="1"/>
    <col min="7216" max="7216" width="21.85546875" style="2" customWidth="1"/>
    <col min="7217" max="7217" width="11.7109375" style="2" customWidth="1"/>
    <col min="7218" max="7218" width="26.28515625" style="2" customWidth="1"/>
    <col min="7219" max="7219" width="9" style="2" customWidth="1"/>
    <col min="7220" max="7220" width="6.28515625" style="2" customWidth="1"/>
    <col min="7221" max="7222" width="7.28515625" style="2" customWidth="1"/>
    <col min="7223" max="7223" width="8.42578125" style="2" customWidth="1"/>
    <col min="7224" max="7224" width="9.5703125" style="2" customWidth="1"/>
    <col min="7225" max="7225" width="6.28515625" style="2" customWidth="1"/>
    <col min="7226" max="7226" width="5.85546875" style="2" customWidth="1"/>
    <col min="7227" max="7228" width="4.42578125" style="2" customWidth="1"/>
    <col min="7229" max="7229" width="5" style="2" customWidth="1"/>
    <col min="7230" max="7230" width="5.85546875" style="2" customWidth="1"/>
    <col min="7231" max="7231" width="6.140625" style="2" customWidth="1"/>
    <col min="7232" max="7232" width="6.28515625" style="2" customWidth="1"/>
    <col min="7233" max="7233" width="11.140625" style="2" customWidth="1"/>
    <col min="7234" max="7234" width="14.140625" style="2" customWidth="1"/>
    <col min="7235" max="7235" width="19.85546875" style="2" customWidth="1"/>
    <col min="7236" max="7236" width="17" style="2" customWidth="1"/>
    <col min="7237" max="7237" width="20.85546875" style="2" customWidth="1"/>
    <col min="7238" max="7450" width="11.42578125" style="2"/>
    <col min="7451" max="7451" width="13.140625" style="2" customWidth="1"/>
    <col min="7452" max="7452" width="4" style="2" customWidth="1"/>
    <col min="7453" max="7453" width="12.85546875" style="2" customWidth="1"/>
    <col min="7454" max="7454" width="14.7109375" style="2" customWidth="1"/>
    <col min="7455" max="7455" width="10" style="2" customWidth="1"/>
    <col min="7456" max="7456" width="6.28515625" style="2" customWidth="1"/>
    <col min="7457" max="7457" width="12.28515625" style="2" customWidth="1"/>
    <col min="7458" max="7458" width="8.5703125" style="2" customWidth="1"/>
    <col min="7459" max="7459" width="13.7109375" style="2" customWidth="1"/>
    <col min="7460" max="7460" width="11.5703125" style="2" customWidth="1"/>
    <col min="7461" max="7461" width="34.28515625" style="2" customWidth="1"/>
    <col min="7462" max="7462" width="24.28515625" style="2" customWidth="1"/>
    <col min="7463" max="7463" width="21.140625" style="2" customWidth="1"/>
    <col min="7464" max="7464" width="22.140625" style="2" customWidth="1"/>
    <col min="7465" max="7465" width="8" style="2" customWidth="1"/>
    <col min="7466" max="7466" width="17" style="2" customWidth="1"/>
    <col min="7467" max="7467" width="12.7109375" style="2" customWidth="1"/>
    <col min="7468" max="7468" width="24.5703125" style="2" customWidth="1"/>
    <col min="7469" max="7469" width="29" style="2" customWidth="1"/>
    <col min="7470" max="7470" width="17.7109375" style="2" customWidth="1"/>
    <col min="7471" max="7471" width="36.42578125" style="2" customWidth="1"/>
    <col min="7472" max="7472" width="21.85546875" style="2" customWidth="1"/>
    <col min="7473" max="7473" width="11.7109375" style="2" customWidth="1"/>
    <col min="7474" max="7474" width="26.28515625" style="2" customWidth="1"/>
    <col min="7475" max="7475" width="9" style="2" customWidth="1"/>
    <col min="7476" max="7476" width="6.28515625" style="2" customWidth="1"/>
    <col min="7477" max="7478" width="7.28515625" style="2" customWidth="1"/>
    <col min="7479" max="7479" width="8.42578125" style="2" customWidth="1"/>
    <col min="7480" max="7480" width="9.5703125" style="2" customWidth="1"/>
    <col min="7481" max="7481" width="6.28515625" style="2" customWidth="1"/>
    <col min="7482" max="7482" width="5.85546875" style="2" customWidth="1"/>
    <col min="7483" max="7484" width="4.42578125" style="2" customWidth="1"/>
    <col min="7485" max="7485" width="5" style="2" customWidth="1"/>
    <col min="7486" max="7486" width="5.85546875" style="2" customWidth="1"/>
    <col min="7487" max="7487" width="6.140625" style="2" customWidth="1"/>
    <col min="7488" max="7488" width="6.28515625" style="2" customWidth="1"/>
    <col min="7489" max="7489" width="11.140625" style="2" customWidth="1"/>
    <col min="7490" max="7490" width="14.140625" style="2" customWidth="1"/>
    <col min="7491" max="7491" width="19.85546875" style="2" customWidth="1"/>
    <col min="7492" max="7492" width="17" style="2" customWidth="1"/>
    <col min="7493" max="7493" width="20.85546875" style="2" customWidth="1"/>
    <col min="7494" max="7706" width="11.42578125" style="2"/>
    <col min="7707" max="7707" width="13.140625" style="2" customWidth="1"/>
    <col min="7708" max="7708" width="4" style="2" customWidth="1"/>
    <col min="7709" max="7709" width="12.85546875" style="2" customWidth="1"/>
    <col min="7710" max="7710" width="14.7109375" style="2" customWidth="1"/>
    <col min="7711" max="7711" width="10" style="2" customWidth="1"/>
    <col min="7712" max="7712" width="6.28515625" style="2" customWidth="1"/>
    <col min="7713" max="7713" width="12.28515625" style="2" customWidth="1"/>
    <col min="7714" max="7714" width="8.5703125" style="2" customWidth="1"/>
    <col min="7715" max="7715" width="13.7109375" style="2" customWidth="1"/>
    <col min="7716" max="7716" width="11.5703125" style="2" customWidth="1"/>
    <col min="7717" max="7717" width="34.28515625" style="2" customWidth="1"/>
    <col min="7718" max="7718" width="24.28515625" style="2" customWidth="1"/>
    <col min="7719" max="7719" width="21.140625" style="2" customWidth="1"/>
    <col min="7720" max="7720" width="22.140625" style="2" customWidth="1"/>
    <col min="7721" max="7721" width="8" style="2" customWidth="1"/>
    <col min="7722" max="7722" width="17" style="2" customWidth="1"/>
    <col min="7723" max="7723" width="12.7109375" style="2" customWidth="1"/>
    <col min="7724" max="7724" width="24.5703125" style="2" customWidth="1"/>
    <col min="7725" max="7725" width="29" style="2" customWidth="1"/>
    <col min="7726" max="7726" width="17.7109375" style="2" customWidth="1"/>
    <col min="7727" max="7727" width="36.42578125" style="2" customWidth="1"/>
    <col min="7728" max="7728" width="21.85546875" style="2" customWidth="1"/>
    <col min="7729" max="7729" width="11.7109375" style="2" customWidth="1"/>
    <col min="7730" max="7730" width="26.28515625" style="2" customWidth="1"/>
    <col min="7731" max="7731" width="9" style="2" customWidth="1"/>
    <col min="7732" max="7732" width="6.28515625" style="2" customWidth="1"/>
    <col min="7733" max="7734" width="7.28515625" style="2" customWidth="1"/>
    <col min="7735" max="7735" width="8.42578125" style="2" customWidth="1"/>
    <col min="7736" max="7736" width="9.5703125" style="2" customWidth="1"/>
    <col min="7737" max="7737" width="6.28515625" style="2" customWidth="1"/>
    <col min="7738" max="7738" width="5.85546875" style="2" customWidth="1"/>
    <col min="7739" max="7740" width="4.42578125" style="2" customWidth="1"/>
    <col min="7741" max="7741" width="5" style="2" customWidth="1"/>
    <col min="7742" max="7742" width="5.85546875" style="2" customWidth="1"/>
    <col min="7743" max="7743" width="6.140625" style="2" customWidth="1"/>
    <col min="7744" max="7744" width="6.28515625" style="2" customWidth="1"/>
    <col min="7745" max="7745" width="11.140625" style="2" customWidth="1"/>
    <col min="7746" max="7746" width="14.140625" style="2" customWidth="1"/>
    <col min="7747" max="7747" width="19.85546875" style="2" customWidth="1"/>
    <col min="7748" max="7748" width="17" style="2" customWidth="1"/>
    <col min="7749" max="7749" width="20.85546875" style="2" customWidth="1"/>
    <col min="7750" max="7962" width="11.42578125" style="2"/>
    <col min="7963" max="7963" width="13.140625" style="2" customWidth="1"/>
    <col min="7964" max="7964" width="4" style="2" customWidth="1"/>
    <col min="7965" max="7965" width="12.85546875" style="2" customWidth="1"/>
    <col min="7966" max="7966" width="14.7109375" style="2" customWidth="1"/>
    <col min="7967" max="7967" width="10" style="2" customWidth="1"/>
    <col min="7968" max="7968" width="6.28515625" style="2" customWidth="1"/>
    <col min="7969" max="7969" width="12.28515625" style="2" customWidth="1"/>
    <col min="7970" max="7970" width="8.5703125" style="2" customWidth="1"/>
    <col min="7971" max="7971" width="13.7109375" style="2" customWidth="1"/>
    <col min="7972" max="7972" width="11.5703125" style="2" customWidth="1"/>
    <col min="7973" max="7973" width="34.28515625" style="2" customWidth="1"/>
    <col min="7974" max="7974" width="24.28515625" style="2" customWidth="1"/>
    <col min="7975" max="7975" width="21.140625" style="2" customWidth="1"/>
    <col min="7976" max="7976" width="22.140625" style="2" customWidth="1"/>
    <col min="7977" max="7977" width="8" style="2" customWidth="1"/>
    <col min="7978" max="7978" width="17" style="2" customWidth="1"/>
    <col min="7979" max="7979" width="12.7109375" style="2" customWidth="1"/>
    <col min="7980" max="7980" width="24.5703125" style="2" customWidth="1"/>
    <col min="7981" max="7981" width="29" style="2" customWidth="1"/>
    <col min="7982" max="7982" width="17.7109375" style="2" customWidth="1"/>
    <col min="7983" max="7983" width="36.42578125" style="2" customWidth="1"/>
    <col min="7984" max="7984" width="21.85546875" style="2" customWidth="1"/>
    <col min="7985" max="7985" width="11.7109375" style="2" customWidth="1"/>
    <col min="7986" max="7986" width="26.28515625" style="2" customWidth="1"/>
    <col min="7987" max="7987" width="9" style="2" customWidth="1"/>
    <col min="7988" max="7988" width="6.28515625" style="2" customWidth="1"/>
    <col min="7989" max="7990" width="7.28515625" style="2" customWidth="1"/>
    <col min="7991" max="7991" width="8.42578125" style="2" customWidth="1"/>
    <col min="7992" max="7992" width="9.5703125" style="2" customWidth="1"/>
    <col min="7993" max="7993" width="6.28515625" style="2" customWidth="1"/>
    <col min="7994" max="7994" width="5.85546875" style="2" customWidth="1"/>
    <col min="7995" max="7996" width="4.42578125" style="2" customWidth="1"/>
    <col min="7997" max="7997" width="5" style="2" customWidth="1"/>
    <col min="7998" max="7998" width="5.85546875" style="2" customWidth="1"/>
    <col min="7999" max="7999" width="6.140625" style="2" customWidth="1"/>
    <col min="8000" max="8000" width="6.28515625" style="2" customWidth="1"/>
    <col min="8001" max="8001" width="11.140625" style="2" customWidth="1"/>
    <col min="8002" max="8002" width="14.140625" style="2" customWidth="1"/>
    <col min="8003" max="8003" width="19.85546875" style="2" customWidth="1"/>
    <col min="8004" max="8004" width="17" style="2" customWidth="1"/>
    <col min="8005" max="8005" width="20.85546875" style="2" customWidth="1"/>
    <col min="8006" max="8218" width="11.42578125" style="2"/>
    <col min="8219" max="8219" width="13.140625" style="2" customWidth="1"/>
    <col min="8220" max="8220" width="4" style="2" customWidth="1"/>
    <col min="8221" max="8221" width="12.85546875" style="2" customWidth="1"/>
    <col min="8222" max="8222" width="14.7109375" style="2" customWidth="1"/>
    <col min="8223" max="8223" width="10" style="2" customWidth="1"/>
    <col min="8224" max="8224" width="6.28515625" style="2" customWidth="1"/>
    <col min="8225" max="8225" width="12.28515625" style="2" customWidth="1"/>
    <col min="8226" max="8226" width="8.5703125" style="2" customWidth="1"/>
    <col min="8227" max="8227" width="13.7109375" style="2" customWidth="1"/>
    <col min="8228" max="8228" width="11.5703125" style="2" customWidth="1"/>
    <col min="8229" max="8229" width="34.28515625" style="2" customWidth="1"/>
    <col min="8230" max="8230" width="24.28515625" style="2" customWidth="1"/>
    <col min="8231" max="8231" width="21.140625" style="2" customWidth="1"/>
    <col min="8232" max="8232" width="22.140625" style="2" customWidth="1"/>
    <col min="8233" max="8233" width="8" style="2" customWidth="1"/>
    <col min="8234" max="8234" width="17" style="2" customWidth="1"/>
    <col min="8235" max="8235" width="12.7109375" style="2" customWidth="1"/>
    <col min="8236" max="8236" width="24.5703125" style="2" customWidth="1"/>
    <col min="8237" max="8237" width="29" style="2" customWidth="1"/>
    <col min="8238" max="8238" width="17.7109375" style="2" customWidth="1"/>
    <col min="8239" max="8239" width="36.42578125" style="2" customWidth="1"/>
    <col min="8240" max="8240" width="21.85546875" style="2" customWidth="1"/>
    <col min="8241" max="8241" width="11.7109375" style="2" customWidth="1"/>
    <col min="8242" max="8242" width="26.28515625" style="2" customWidth="1"/>
    <col min="8243" max="8243" width="9" style="2" customWidth="1"/>
    <col min="8244" max="8244" width="6.28515625" style="2" customWidth="1"/>
    <col min="8245" max="8246" width="7.28515625" style="2" customWidth="1"/>
    <col min="8247" max="8247" width="8.42578125" style="2" customWidth="1"/>
    <col min="8248" max="8248" width="9.5703125" style="2" customWidth="1"/>
    <col min="8249" max="8249" width="6.28515625" style="2" customWidth="1"/>
    <col min="8250" max="8250" width="5.85546875" style="2" customWidth="1"/>
    <col min="8251" max="8252" width="4.42578125" style="2" customWidth="1"/>
    <col min="8253" max="8253" width="5" style="2" customWidth="1"/>
    <col min="8254" max="8254" width="5.85546875" style="2" customWidth="1"/>
    <col min="8255" max="8255" width="6.140625" style="2" customWidth="1"/>
    <col min="8256" max="8256" width="6.28515625" style="2" customWidth="1"/>
    <col min="8257" max="8257" width="11.140625" style="2" customWidth="1"/>
    <col min="8258" max="8258" width="14.140625" style="2" customWidth="1"/>
    <col min="8259" max="8259" width="19.85546875" style="2" customWidth="1"/>
    <col min="8260" max="8260" width="17" style="2" customWidth="1"/>
    <col min="8261" max="8261" width="20.85546875" style="2" customWidth="1"/>
    <col min="8262" max="8474" width="11.42578125" style="2"/>
    <col min="8475" max="8475" width="13.140625" style="2" customWidth="1"/>
    <col min="8476" max="8476" width="4" style="2" customWidth="1"/>
    <col min="8477" max="8477" width="12.85546875" style="2" customWidth="1"/>
    <col min="8478" max="8478" width="14.7109375" style="2" customWidth="1"/>
    <col min="8479" max="8479" width="10" style="2" customWidth="1"/>
    <col min="8480" max="8480" width="6.28515625" style="2" customWidth="1"/>
    <col min="8481" max="8481" width="12.28515625" style="2" customWidth="1"/>
    <col min="8482" max="8482" width="8.5703125" style="2" customWidth="1"/>
    <col min="8483" max="8483" width="13.7109375" style="2" customWidth="1"/>
    <col min="8484" max="8484" width="11.5703125" style="2" customWidth="1"/>
    <col min="8485" max="8485" width="34.28515625" style="2" customWidth="1"/>
    <col min="8486" max="8486" width="24.28515625" style="2" customWidth="1"/>
    <col min="8487" max="8487" width="21.140625" style="2" customWidth="1"/>
    <col min="8488" max="8488" width="22.140625" style="2" customWidth="1"/>
    <col min="8489" max="8489" width="8" style="2" customWidth="1"/>
    <col min="8490" max="8490" width="17" style="2" customWidth="1"/>
    <col min="8491" max="8491" width="12.7109375" style="2" customWidth="1"/>
    <col min="8492" max="8492" width="24.5703125" style="2" customWidth="1"/>
    <col min="8493" max="8493" width="29" style="2" customWidth="1"/>
    <col min="8494" max="8494" width="17.7109375" style="2" customWidth="1"/>
    <col min="8495" max="8495" width="36.42578125" style="2" customWidth="1"/>
    <col min="8496" max="8496" width="21.85546875" style="2" customWidth="1"/>
    <col min="8497" max="8497" width="11.7109375" style="2" customWidth="1"/>
    <col min="8498" max="8498" width="26.28515625" style="2" customWidth="1"/>
    <col min="8499" max="8499" width="9" style="2" customWidth="1"/>
    <col min="8500" max="8500" width="6.28515625" style="2" customWidth="1"/>
    <col min="8501" max="8502" width="7.28515625" style="2" customWidth="1"/>
    <col min="8503" max="8503" width="8.42578125" style="2" customWidth="1"/>
    <col min="8504" max="8504" width="9.5703125" style="2" customWidth="1"/>
    <col min="8505" max="8505" width="6.28515625" style="2" customWidth="1"/>
    <col min="8506" max="8506" width="5.85546875" style="2" customWidth="1"/>
    <col min="8507" max="8508" width="4.42578125" style="2" customWidth="1"/>
    <col min="8509" max="8509" width="5" style="2" customWidth="1"/>
    <col min="8510" max="8510" width="5.85546875" style="2" customWidth="1"/>
    <col min="8511" max="8511" width="6.140625" style="2" customWidth="1"/>
    <col min="8512" max="8512" width="6.28515625" style="2" customWidth="1"/>
    <col min="8513" max="8513" width="11.140625" style="2" customWidth="1"/>
    <col min="8514" max="8514" width="14.140625" style="2" customWidth="1"/>
    <col min="8515" max="8515" width="19.85546875" style="2" customWidth="1"/>
    <col min="8516" max="8516" width="17" style="2" customWidth="1"/>
    <col min="8517" max="8517" width="20.85546875" style="2" customWidth="1"/>
    <col min="8518" max="8730" width="11.42578125" style="2"/>
    <col min="8731" max="8731" width="13.140625" style="2" customWidth="1"/>
    <col min="8732" max="8732" width="4" style="2" customWidth="1"/>
    <col min="8733" max="8733" width="12.85546875" style="2" customWidth="1"/>
    <col min="8734" max="8734" width="14.7109375" style="2" customWidth="1"/>
    <col min="8735" max="8735" width="10" style="2" customWidth="1"/>
    <col min="8736" max="8736" width="6.28515625" style="2" customWidth="1"/>
    <col min="8737" max="8737" width="12.28515625" style="2" customWidth="1"/>
    <col min="8738" max="8738" width="8.5703125" style="2" customWidth="1"/>
    <col min="8739" max="8739" width="13.7109375" style="2" customWidth="1"/>
    <col min="8740" max="8740" width="11.5703125" style="2" customWidth="1"/>
    <col min="8741" max="8741" width="34.28515625" style="2" customWidth="1"/>
    <col min="8742" max="8742" width="24.28515625" style="2" customWidth="1"/>
    <col min="8743" max="8743" width="21.140625" style="2" customWidth="1"/>
    <col min="8744" max="8744" width="22.140625" style="2" customWidth="1"/>
    <col min="8745" max="8745" width="8" style="2" customWidth="1"/>
    <col min="8746" max="8746" width="17" style="2" customWidth="1"/>
    <col min="8747" max="8747" width="12.7109375" style="2" customWidth="1"/>
    <col min="8748" max="8748" width="24.5703125" style="2" customWidth="1"/>
    <col min="8749" max="8749" width="29" style="2" customWidth="1"/>
    <col min="8750" max="8750" width="17.7109375" style="2" customWidth="1"/>
    <col min="8751" max="8751" width="36.42578125" style="2" customWidth="1"/>
    <col min="8752" max="8752" width="21.85546875" style="2" customWidth="1"/>
    <col min="8753" max="8753" width="11.7109375" style="2" customWidth="1"/>
    <col min="8754" max="8754" width="26.28515625" style="2" customWidth="1"/>
    <col min="8755" max="8755" width="9" style="2" customWidth="1"/>
    <col min="8756" max="8756" width="6.28515625" style="2" customWidth="1"/>
    <col min="8757" max="8758" width="7.28515625" style="2" customWidth="1"/>
    <col min="8759" max="8759" width="8.42578125" style="2" customWidth="1"/>
    <col min="8760" max="8760" width="9.5703125" style="2" customWidth="1"/>
    <col min="8761" max="8761" width="6.28515625" style="2" customWidth="1"/>
    <col min="8762" max="8762" width="5.85546875" style="2" customWidth="1"/>
    <col min="8763" max="8764" width="4.42578125" style="2" customWidth="1"/>
    <col min="8765" max="8765" width="5" style="2" customWidth="1"/>
    <col min="8766" max="8766" width="5.85546875" style="2" customWidth="1"/>
    <col min="8767" max="8767" width="6.140625" style="2" customWidth="1"/>
    <col min="8768" max="8768" width="6.28515625" style="2" customWidth="1"/>
    <col min="8769" max="8769" width="11.140625" style="2" customWidth="1"/>
    <col min="8770" max="8770" width="14.140625" style="2" customWidth="1"/>
    <col min="8771" max="8771" width="19.85546875" style="2" customWidth="1"/>
    <col min="8772" max="8772" width="17" style="2" customWidth="1"/>
    <col min="8773" max="8773" width="20.85546875" style="2" customWidth="1"/>
    <col min="8774" max="8986" width="11.42578125" style="2"/>
    <col min="8987" max="8987" width="13.140625" style="2" customWidth="1"/>
    <col min="8988" max="8988" width="4" style="2" customWidth="1"/>
    <col min="8989" max="8989" width="12.85546875" style="2" customWidth="1"/>
    <col min="8990" max="8990" width="14.7109375" style="2" customWidth="1"/>
    <col min="8991" max="8991" width="10" style="2" customWidth="1"/>
    <col min="8992" max="8992" width="6.28515625" style="2" customWidth="1"/>
    <col min="8993" max="8993" width="12.28515625" style="2" customWidth="1"/>
    <col min="8994" max="8994" width="8.5703125" style="2" customWidth="1"/>
    <col min="8995" max="8995" width="13.7109375" style="2" customWidth="1"/>
    <col min="8996" max="8996" width="11.5703125" style="2" customWidth="1"/>
    <col min="8997" max="8997" width="34.28515625" style="2" customWidth="1"/>
    <col min="8998" max="8998" width="24.28515625" style="2" customWidth="1"/>
    <col min="8999" max="8999" width="21.140625" style="2" customWidth="1"/>
    <col min="9000" max="9000" width="22.140625" style="2" customWidth="1"/>
    <col min="9001" max="9001" width="8" style="2" customWidth="1"/>
    <col min="9002" max="9002" width="17" style="2" customWidth="1"/>
    <col min="9003" max="9003" width="12.7109375" style="2" customWidth="1"/>
    <col min="9004" max="9004" width="24.5703125" style="2" customWidth="1"/>
    <col min="9005" max="9005" width="29" style="2" customWidth="1"/>
    <col min="9006" max="9006" width="17.7109375" style="2" customWidth="1"/>
    <col min="9007" max="9007" width="36.42578125" style="2" customWidth="1"/>
    <col min="9008" max="9008" width="21.85546875" style="2" customWidth="1"/>
    <col min="9009" max="9009" width="11.7109375" style="2" customWidth="1"/>
    <col min="9010" max="9010" width="26.28515625" style="2" customWidth="1"/>
    <col min="9011" max="9011" width="9" style="2" customWidth="1"/>
    <col min="9012" max="9012" width="6.28515625" style="2" customWidth="1"/>
    <col min="9013" max="9014" width="7.28515625" style="2" customWidth="1"/>
    <col min="9015" max="9015" width="8.42578125" style="2" customWidth="1"/>
    <col min="9016" max="9016" width="9.5703125" style="2" customWidth="1"/>
    <col min="9017" max="9017" width="6.28515625" style="2" customWidth="1"/>
    <col min="9018" max="9018" width="5.85546875" style="2" customWidth="1"/>
    <col min="9019" max="9020" width="4.42578125" style="2" customWidth="1"/>
    <col min="9021" max="9021" width="5" style="2" customWidth="1"/>
    <col min="9022" max="9022" width="5.85546875" style="2" customWidth="1"/>
    <col min="9023" max="9023" width="6.140625" style="2" customWidth="1"/>
    <col min="9024" max="9024" width="6.28515625" style="2" customWidth="1"/>
    <col min="9025" max="9025" width="11.140625" style="2" customWidth="1"/>
    <col min="9026" max="9026" width="14.140625" style="2" customWidth="1"/>
    <col min="9027" max="9027" width="19.85546875" style="2" customWidth="1"/>
    <col min="9028" max="9028" width="17" style="2" customWidth="1"/>
    <col min="9029" max="9029" width="20.85546875" style="2" customWidth="1"/>
    <col min="9030" max="9242" width="11.42578125" style="2"/>
    <col min="9243" max="9243" width="13.140625" style="2" customWidth="1"/>
    <col min="9244" max="9244" width="4" style="2" customWidth="1"/>
    <col min="9245" max="9245" width="12.85546875" style="2" customWidth="1"/>
    <col min="9246" max="9246" width="14.7109375" style="2" customWidth="1"/>
    <col min="9247" max="9247" width="10" style="2" customWidth="1"/>
    <col min="9248" max="9248" width="6.28515625" style="2" customWidth="1"/>
    <col min="9249" max="9249" width="12.28515625" style="2" customWidth="1"/>
    <col min="9250" max="9250" width="8.5703125" style="2" customWidth="1"/>
    <col min="9251" max="9251" width="13.7109375" style="2" customWidth="1"/>
    <col min="9252" max="9252" width="11.5703125" style="2" customWidth="1"/>
    <col min="9253" max="9253" width="34.28515625" style="2" customWidth="1"/>
    <col min="9254" max="9254" width="24.28515625" style="2" customWidth="1"/>
    <col min="9255" max="9255" width="21.140625" style="2" customWidth="1"/>
    <col min="9256" max="9256" width="22.140625" style="2" customWidth="1"/>
    <col min="9257" max="9257" width="8" style="2" customWidth="1"/>
    <col min="9258" max="9258" width="17" style="2" customWidth="1"/>
    <col min="9259" max="9259" width="12.7109375" style="2" customWidth="1"/>
    <col min="9260" max="9260" width="24.5703125" style="2" customWidth="1"/>
    <col min="9261" max="9261" width="29" style="2" customWidth="1"/>
    <col min="9262" max="9262" width="17.7109375" style="2" customWidth="1"/>
    <col min="9263" max="9263" width="36.42578125" style="2" customWidth="1"/>
    <col min="9264" max="9264" width="21.85546875" style="2" customWidth="1"/>
    <col min="9265" max="9265" width="11.7109375" style="2" customWidth="1"/>
    <col min="9266" max="9266" width="26.28515625" style="2" customWidth="1"/>
    <col min="9267" max="9267" width="9" style="2" customWidth="1"/>
    <col min="9268" max="9268" width="6.28515625" style="2" customWidth="1"/>
    <col min="9269" max="9270" width="7.28515625" style="2" customWidth="1"/>
    <col min="9271" max="9271" width="8.42578125" style="2" customWidth="1"/>
    <col min="9272" max="9272" width="9.5703125" style="2" customWidth="1"/>
    <col min="9273" max="9273" width="6.28515625" style="2" customWidth="1"/>
    <col min="9274" max="9274" width="5.85546875" style="2" customWidth="1"/>
    <col min="9275" max="9276" width="4.42578125" style="2" customWidth="1"/>
    <col min="9277" max="9277" width="5" style="2" customWidth="1"/>
    <col min="9278" max="9278" width="5.85546875" style="2" customWidth="1"/>
    <col min="9279" max="9279" width="6.140625" style="2" customWidth="1"/>
    <col min="9280" max="9280" width="6.28515625" style="2" customWidth="1"/>
    <col min="9281" max="9281" width="11.140625" style="2" customWidth="1"/>
    <col min="9282" max="9282" width="14.140625" style="2" customWidth="1"/>
    <col min="9283" max="9283" width="19.85546875" style="2" customWidth="1"/>
    <col min="9284" max="9284" width="17" style="2" customWidth="1"/>
    <col min="9285" max="9285" width="20.85546875" style="2" customWidth="1"/>
    <col min="9286" max="9498" width="11.42578125" style="2"/>
    <col min="9499" max="9499" width="13.140625" style="2" customWidth="1"/>
    <col min="9500" max="9500" width="4" style="2" customWidth="1"/>
    <col min="9501" max="9501" width="12.85546875" style="2" customWidth="1"/>
    <col min="9502" max="9502" width="14.7109375" style="2" customWidth="1"/>
    <col min="9503" max="9503" width="10" style="2" customWidth="1"/>
    <col min="9504" max="9504" width="6.28515625" style="2" customWidth="1"/>
    <col min="9505" max="9505" width="12.28515625" style="2" customWidth="1"/>
    <col min="9506" max="9506" width="8.5703125" style="2" customWidth="1"/>
    <col min="9507" max="9507" width="13.7109375" style="2" customWidth="1"/>
    <col min="9508" max="9508" width="11.5703125" style="2" customWidth="1"/>
    <col min="9509" max="9509" width="34.28515625" style="2" customWidth="1"/>
    <col min="9510" max="9510" width="24.28515625" style="2" customWidth="1"/>
    <col min="9511" max="9511" width="21.140625" style="2" customWidth="1"/>
    <col min="9512" max="9512" width="22.140625" style="2" customWidth="1"/>
    <col min="9513" max="9513" width="8" style="2" customWidth="1"/>
    <col min="9514" max="9514" width="17" style="2" customWidth="1"/>
    <col min="9515" max="9515" width="12.7109375" style="2" customWidth="1"/>
    <col min="9516" max="9516" width="24.5703125" style="2" customWidth="1"/>
    <col min="9517" max="9517" width="29" style="2" customWidth="1"/>
    <col min="9518" max="9518" width="17.7109375" style="2" customWidth="1"/>
    <col min="9519" max="9519" width="36.42578125" style="2" customWidth="1"/>
    <col min="9520" max="9520" width="21.85546875" style="2" customWidth="1"/>
    <col min="9521" max="9521" width="11.7109375" style="2" customWidth="1"/>
    <col min="9522" max="9522" width="26.28515625" style="2" customWidth="1"/>
    <col min="9523" max="9523" width="9" style="2" customWidth="1"/>
    <col min="9524" max="9524" width="6.28515625" style="2" customWidth="1"/>
    <col min="9525" max="9526" width="7.28515625" style="2" customWidth="1"/>
    <col min="9527" max="9527" width="8.42578125" style="2" customWidth="1"/>
    <col min="9528" max="9528" width="9.5703125" style="2" customWidth="1"/>
    <col min="9529" max="9529" width="6.28515625" style="2" customWidth="1"/>
    <col min="9530" max="9530" width="5.85546875" style="2" customWidth="1"/>
    <col min="9531" max="9532" width="4.42578125" style="2" customWidth="1"/>
    <col min="9533" max="9533" width="5" style="2" customWidth="1"/>
    <col min="9534" max="9534" width="5.85546875" style="2" customWidth="1"/>
    <col min="9535" max="9535" width="6.140625" style="2" customWidth="1"/>
    <col min="9536" max="9536" width="6.28515625" style="2" customWidth="1"/>
    <col min="9537" max="9537" width="11.140625" style="2" customWidth="1"/>
    <col min="9538" max="9538" width="14.140625" style="2" customWidth="1"/>
    <col min="9539" max="9539" width="19.85546875" style="2" customWidth="1"/>
    <col min="9540" max="9540" width="17" style="2" customWidth="1"/>
    <col min="9541" max="9541" width="20.85546875" style="2" customWidth="1"/>
    <col min="9542" max="9754" width="11.42578125" style="2"/>
    <col min="9755" max="9755" width="13.140625" style="2" customWidth="1"/>
    <col min="9756" max="9756" width="4" style="2" customWidth="1"/>
    <col min="9757" max="9757" width="12.85546875" style="2" customWidth="1"/>
    <col min="9758" max="9758" width="14.7109375" style="2" customWidth="1"/>
    <col min="9759" max="9759" width="10" style="2" customWidth="1"/>
    <col min="9760" max="9760" width="6.28515625" style="2" customWidth="1"/>
    <col min="9761" max="9761" width="12.28515625" style="2" customWidth="1"/>
    <col min="9762" max="9762" width="8.5703125" style="2" customWidth="1"/>
    <col min="9763" max="9763" width="13.7109375" style="2" customWidth="1"/>
    <col min="9764" max="9764" width="11.5703125" style="2" customWidth="1"/>
    <col min="9765" max="9765" width="34.28515625" style="2" customWidth="1"/>
    <col min="9766" max="9766" width="24.28515625" style="2" customWidth="1"/>
    <col min="9767" max="9767" width="21.140625" style="2" customWidth="1"/>
    <col min="9768" max="9768" width="22.140625" style="2" customWidth="1"/>
    <col min="9769" max="9769" width="8" style="2" customWidth="1"/>
    <col min="9770" max="9770" width="17" style="2" customWidth="1"/>
    <col min="9771" max="9771" width="12.7109375" style="2" customWidth="1"/>
    <col min="9772" max="9772" width="24.5703125" style="2" customWidth="1"/>
    <col min="9773" max="9773" width="29" style="2" customWidth="1"/>
    <col min="9774" max="9774" width="17.7109375" style="2" customWidth="1"/>
    <col min="9775" max="9775" width="36.42578125" style="2" customWidth="1"/>
    <col min="9776" max="9776" width="21.85546875" style="2" customWidth="1"/>
    <col min="9777" max="9777" width="11.7109375" style="2" customWidth="1"/>
    <col min="9778" max="9778" width="26.28515625" style="2" customWidth="1"/>
    <col min="9779" max="9779" width="9" style="2" customWidth="1"/>
    <col min="9780" max="9780" width="6.28515625" style="2" customWidth="1"/>
    <col min="9781" max="9782" width="7.28515625" style="2" customWidth="1"/>
    <col min="9783" max="9783" width="8.42578125" style="2" customWidth="1"/>
    <col min="9784" max="9784" width="9.5703125" style="2" customWidth="1"/>
    <col min="9785" max="9785" width="6.28515625" style="2" customWidth="1"/>
    <col min="9786" max="9786" width="5.85546875" style="2" customWidth="1"/>
    <col min="9787" max="9788" width="4.42578125" style="2" customWidth="1"/>
    <col min="9789" max="9789" width="5" style="2" customWidth="1"/>
    <col min="9790" max="9790" width="5.85546875" style="2" customWidth="1"/>
    <col min="9791" max="9791" width="6.140625" style="2" customWidth="1"/>
    <col min="9792" max="9792" width="6.28515625" style="2" customWidth="1"/>
    <col min="9793" max="9793" width="11.140625" style="2" customWidth="1"/>
    <col min="9794" max="9794" width="14.140625" style="2" customWidth="1"/>
    <col min="9795" max="9795" width="19.85546875" style="2" customWidth="1"/>
    <col min="9796" max="9796" width="17" style="2" customWidth="1"/>
    <col min="9797" max="9797" width="20.85546875" style="2" customWidth="1"/>
    <col min="9798" max="10010" width="11.42578125" style="2"/>
    <col min="10011" max="10011" width="13.140625" style="2" customWidth="1"/>
    <col min="10012" max="10012" width="4" style="2" customWidth="1"/>
    <col min="10013" max="10013" width="12.85546875" style="2" customWidth="1"/>
    <col min="10014" max="10014" width="14.7109375" style="2" customWidth="1"/>
    <col min="10015" max="10015" width="10" style="2" customWidth="1"/>
    <col min="10016" max="10016" width="6.28515625" style="2" customWidth="1"/>
    <col min="10017" max="10017" width="12.28515625" style="2" customWidth="1"/>
    <col min="10018" max="10018" width="8.5703125" style="2" customWidth="1"/>
    <col min="10019" max="10019" width="13.7109375" style="2" customWidth="1"/>
    <col min="10020" max="10020" width="11.5703125" style="2" customWidth="1"/>
    <col min="10021" max="10021" width="34.28515625" style="2" customWidth="1"/>
    <col min="10022" max="10022" width="24.28515625" style="2" customWidth="1"/>
    <col min="10023" max="10023" width="21.140625" style="2" customWidth="1"/>
    <col min="10024" max="10024" width="22.140625" style="2" customWidth="1"/>
    <col min="10025" max="10025" width="8" style="2" customWidth="1"/>
    <col min="10026" max="10026" width="17" style="2" customWidth="1"/>
    <col min="10027" max="10027" width="12.7109375" style="2" customWidth="1"/>
    <col min="10028" max="10028" width="24.5703125" style="2" customWidth="1"/>
    <col min="10029" max="10029" width="29" style="2" customWidth="1"/>
    <col min="10030" max="10030" width="17.7109375" style="2" customWidth="1"/>
    <col min="10031" max="10031" width="36.42578125" style="2" customWidth="1"/>
    <col min="10032" max="10032" width="21.85546875" style="2" customWidth="1"/>
    <col min="10033" max="10033" width="11.7109375" style="2" customWidth="1"/>
    <col min="10034" max="10034" width="26.28515625" style="2" customWidth="1"/>
    <col min="10035" max="10035" width="9" style="2" customWidth="1"/>
    <col min="10036" max="10036" width="6.28515625" style="2" customWidth="1"/>
    <col min="10037" max="10038" width="7.28515625" style="2" customWidth="1"/>
    <col min="10039" max="10039" width="8.42578125" style="2" customWidth="1"/>
    <col min="10040" max="10040" width="9.5703125" style="2" customWidth="1"/>
    <col min="10041" max="10041" width="6.28515625" style="2" customWidth="1"/>
    <col min="10042" max="10042" width="5.85546875" style="2" customWidth="1"/>
    <col min="10043" max="10044" width="4.42578125" style="2" customWidth="1"/>
    <col min="10045" max="10045" width="5" style="2" customWidth="1"/>
    <col min="10046" max="10046" width="5.85546875" style="2" customWidth="1"/>
    <col min="10047" max="10047" width="6.140625" style="2" customWidth="1"/>
    <col min="10048" max="10048" width="6.28515625" style="2" customWidth="1"/>
    <col min="10049" max="10049" width="11.140625" style="2" customWidth="1"/>
    <col min="10050" max="10050" width="14.140625" style="2" customWidth="1"/>
    <col min="10051" max="10051" width="19.85546875" style="2" customWidth="1"/>
    <col min="10052" max="10052" width="17" style="2" customWidth="1"/>
    <col min="10053" max="10053" width="20.85546875" style="2" customWidth="1"/>
    <col min="10054" max="10266" width="11.42578125" style="2"/>
    <col min="10267" max="10267" width="13.140625" style="2" customWidth="1"/>
    <col min="10268" max="10268" width="4" style="2" customWidth="1"/>
    <col min="10269" max="10269" width="12.85546875" style="2" customWidth="1"/>
    <col min="10270" max="10270" width="14.7109375" style="2" customWidth="1"/>
    <col min="10271" max="10271" width="10" style="2" customWidth="1"/>
    <col min="10272" max="10272" width="6.28515625" style="2" customWidth="1"/>
    <col min="10273" max="10273" width="12.28515625" style="2" customWidth="1"/>
    <col min="10274" max="10274" width="8.5703125" style="2" customWidth="1"/>
    <col min="10275" max="10275" width="13.7109375" style="2" customWidth="1"/>
    <col min="10276" max="10276" width="11.5703125" style="2" customWidth="1"/>
    <col min="10277" max="10277" width="34.28515625" style="2" customWidth="1"/>
    <col min="10278" max="10278" width="24.28515625" style="2" customWidth="1"/>
    <col min="10279" max="10279" width="21.140625" style="2" customWidth="1"/>
    <col min="10280" max="10280" width="22.140625" style="2" customWidth="1"/>
    <col min="10281" max="10281" width="8" style="2" customWidth="1"/>
    <col min="10282" max="10282" width="17" style="2" customWidth="1"/>
    <col min="10283" max="10283" width="12.7109375" style="2" customWidth="1"/>
    <col min="10284" max="10284" width="24.5703125" style="2" customWidth="1"/>
    <col min="10285" max="10285" width="29" style="2" customWidth="1"/>
    <col min="10286" max="10286" width="17.7109375" style="2" customWidth="1"/>
    <col min="10287" max="10287" width="36.42578125" style="2" customWidth="1"/>
    <col min="10288" max="10288" width="21.85546875" style="2" customWidth="1"/>
    <col min="10289" max="10289" width="11.7109375" style="2" customWidth="1"/>
    <col min="10290" max="10290" width="26.28515625" style="2" customWidth="1"/>
    <col min="10291" max="10291" width="9" style="2" customWidth="1"/>
    <col min="10292" max="10292" width="6.28515625" style="2" customWidth="1"/>
    <col min="10293" max="10294" width="7.28515625" style="2" customWidth="1"/>
    <col min="10295" max="10295" width="8.42578125" style="2" customWidth="1"/>
    <col min="10296" max="10296" width="9.5703125" style="2" customWidth="1"/>
    <col min="10297" max="10297" width="6.28515625" style="2" customWidth="1"/>
    <col min="10298" max="10298" width="5.85546875" style="2" customWidth="1"/>
    <col min="10299" max="10300" width="4.42578125" style="2" customWidth="1"/>
    <col min="10301" max="10301" width="5" style="2" customWidth="1"/>
    <col min="10302" max="10302" width="5.85546875" style="2" customWidth="1"/>
    <col min="10303" max="10303" width="6.140625" style="2" customWidth="1"/>
    <col min="10304" max="10304" width="6.28515625" style="2" customWidth="1"/>
    <col min="10305" max="10305" width="11.140625" style="2" customWidth="1"/>
    <col min="10306" max="10306" width="14.140625" style="2" customWidth="1"/>
    <col min="10307" max="10307" width="19.85546875" style="2" customWidth="1"/>
    <col min="10308" max="10308" width="17" style="2" customWidth="1"/>
    <col min="10309" max="10309" width="20.85546875" style="2" customWidth="1"/>
    <col min="10310" max="10522" width="11.42578125" style="2"/>
    <col min="10523" max="10523" width="13.140625" style="2" customWidth="1"/>
    <col min="10524" max="10524" width="4" style="2" customWidth="1"/>
    <col min="10525" max="10525" width="12.85546875" style="2" customWidth="1"/>
    <col min="10526" max="10526" width="14.7109375" style="2" customWidth="1"/>
    <col min="10527" max="10527" width="10" style="2" customWidth="1"/>
    <col min="10528" max="10528" width="6.28515625" style="2" customWidth="1"/>
    <col min="10529" max="10529" width="12.28515625" style="2" customWidth="1"/>
    <col min="10530" max="10530" width="8.5703125" style="2" customWidth="1"/>
    <col min="10531" max="10531" width="13.7109375" style="2" customWidth="1"/>
    <col min="10532" max="10532" width="11.5703125" style="2" customWidth="1"/>
    <col min="10533" max="10533" width="34.28515625" style="2" customWidth="1"/>
    <col min="10534" max="10534" width="24.28515625" style="2" customWidth="1"/>
    <col min="10535" max="10535" width="21.140625" style="2" customWidth="1"/>
    <col min="10536" max="10536" width="22.140625" style="2" customWidth="1"/>
    <col min="10537" max="10537" width="8" style="2" customWidth="1"/>
    <col min="10538" max="10538" width="17" style="2" customWidth="1"/>
    <col min="10539" max="10539" width="12.7109375" style="2" customWidth="1"/>
    <col min="10540" max="10540" width="24.5703125" style="2" customWidth="1"/>
    <col min="10541" max="10541" width="29" style="2" customWidth="1"/>
    <col min="10542" max="10542" width="17.7109375" style="2" customWidth="1"/>
    <col min="10543" max="10543" width="36.42578125" style="2" customWidth="1"/>
    <col min="10544" max="10544" width="21.85546875" style="2" customWidth="1"/>
    <col min="10545" max="10545" width="11.7109375" style="2" customWidth="1"/>
    <col min="10546" max="10546" width="26.28515625" style="2" customWidth="1"/>
    <col min="10547" max="10547" width="9" style="2" customWidth="1"/>
    <col min="10548" max="10548" width="6.28515625" style="2" customWidth="1"/>
    <col min="10549" max="10550" width="7.28515625" style="2" customWidth="1"/>
    <col min="10551" max="10551" width="8.42578125" style="2" customWidth="1"/>
    <col min="10552" max="10552" width="9.5703125" style="2" customWidth="1"/>
    <col min="10553" max="10553" width="6.28515625" style="2" customWidth="1"/>
    <col min="10554" max="10554" width="5.85546875" style="2" customWidth="1"/>
    <col min="10555" max="10556" width="4.42578125" style="2" customWidth="1"/>
    <col min="10557" max="10557" width="5" style="2" customWidth="1"/>
    <col min="10558" max="10558" width="5.85546875" style="2" customWidth="1"/>
    <col min="10559" max="10559" width="6.140625" style="2" customWidth="1"/>
    <col min="10560" max="10560" width="6.28515625" style="2" customWidth="1"/>
    <col min="10561" max="10561" width="11.140625" style="2" customWidth="1"/>
    <col min="10562" max="10562" width="14.140625" style="2" customWidth="1"/>
    <col min="10563" max="10563" width="19.85546875" style="2" customWidth="1"/>
    <col min="10564" max="10564" width="17" style="2" customWidth="1"/>
    <col min="10565" max="10565" width="20.85546875" style="2" customWidth="1"/>
    <col min="10566" max="10778" width="11.42578125" style="2"/>
    <col min="10779" max="10779" width="13.140625" style="2" customWidth="1"/>
    <col min="10780" max="10780" width="4" style="2" customWidth="1"/>
    <col min="10781" max="10781" width="12.85546875" style="2" customWidth="1"/>
    <col min="10782" max="10782" width="14.7109375" style="2" customWidth="1"/>
    <col min="10783" max="10783" width="10" style="2" customWidth="1"/>
    <col min="10784" max="10784" width="6.28515625" style="2" customWidth="1"/>
    <col min="10785" max="10785" width="12.28515625" style="2" customWidth="1"/>
    <col min="10786" max="10786" width="8.5703125" style="2" customWidth="1"/>
    <col min="10787" max="10787" width="13.7109375" style="2" customWidth="1"/>
    <col min="10788" max="10788" width="11.5703125" style="2" customWidth="1"/>
    <col min="10789" max="10789" width="34.28515625" style="2" customWidth="1"/>
    <col min="10790" max="10790" width="24.28515625" style="2" customWidth="1"/>
    <col min="10791" max="10791" width="21.140625" style="2" customWidth="1"/>
    <col min="10792" max="10792" width="22.140625" style="2" customWidth="1"/>
    <col min="10793" max="10793" width="8" style="2" customWidth="1"/>
    <col min="10794" max="10794" width="17" style="2" customWidth="1"/>
    <col min="10795" max="10795" width="12.7109375" style="2" customWidth="1"/>
    <col min="10796" max="10796" width="24.5703125" style="2" customWidth="1"/>
    <col min="10797" max="10797" width="29" style="2" customWidth="1"/>
    <col min="10798" max="10798" width="17.7109375" style="2" customWidth="1"/>
    <col min="10799" max="10799" width="36.42578125" style="2" customWidth="1"/>
    <col min="10800" max="10800" width="21.85546875" style="2" customWidth="1"/>
    <col min="10801" max="10801" width="11.7109375" style="2" customWidth="1"/>
    <col min="10802" max="10802" width="26.28515625" style="2" customWidth="1"/>
    <col min="10803" max="10803" width="9" style="2" customWidth="1"/>
    <col min="10804" max="10804" width="6.28515625" style="2" customWidth="1"/>
    <col min="10805" max="10806" width="7.28515625" style="2" customWidth="1"/>
    <col min="10807" max="10807" width="8.42578125" style="2" customWidth="1"/>
    <col min="10808" max="10808" width="9.5703125" style="2" customWidth="1"/>
    <col min="10809" max="10809" width="6.28515625" style="2" customWidth="1"/>
    <col min="10810" max="10810" width="5.85546875" style="2" customWidth="1"/>
    <col min="10811" max="10812" width="4.42578125" style="2" customWidth="1"/>
    <col min="10813" max="10813" width="5" style="2" customWidth="1"/>
    <col min="10814" max="10814" width="5.85546875" style="2" customWidth="1"/>
    <col min="10815" max="10815" width="6.140625" style="2" customWidth="1"/>
    <col min="10816" max="10816" width="6.28515625" style="2" customWidth="1"/>
    <col min="10817" max="10817" width="11.140625" style="2" customWidth="1"/>
    <col min="10818" max="10818" width="14.140625" style="2" customWidth="1"/>
    <col min="10819" max="10819" width="19.85546875" style="2" customWidth="1"/>
    <col min="10820" max="10820" width="17" style="2" customWidth="1"/>
    <col min="10821" max="10821" width="20.85546875" style="2" customWidth="1"/>
    <col min="10822" max="11034" width="11.42578125" style="2"/>
    <col min="11035" max="11035" width="13.140625" style="2" customWidth="1"/>
    <col min="11036" max="11036" width="4" style="2" customWidth="1"/>
    <col min="11037" max="11037" width="12.85546875" style="2" customWidth="1"/>
    <col min="11038" max="11038" width="14.7109375" style="2" customWidth="1"/>
    <col min="11039" max="11039" width="10" style="2" customWidth="1"/>
    <col min="11040" max="11040" width="6.28515625" style="2" customWidth="1"/>
    <col min="11041" max="11041" width="12.28515625" style="2" customWidth="1"/>
    <col min="11042" max="11042" width="8.5703125" style="2" customWidth="1"/>
    <col min="11043" max="11043" width="13.7109375" style="2" customWidth="1"/>
    <col min="11044" max="11044" width="11.5703125" style="2" customWidth="1"/>
    <col min="11045" max="11045" width="34.28515625" style="2" customWidth="1"/>
    <col min="11046" max="11046" width="24.28515625" style="2" customWidth="1"/>
    <col min="11047" max="11047" width="21.140625" style="2" customWidth="1"/>
    <col min="11048" max="11048" width="22.140625" style="2" customWidth="1"/>
    <col min="11049" max="11049" width="8" style="2" customWidth="1"/>
    <col min="11050" max="11050" width="17" style="2" customWidth="1"/>
    <col min="11051" max="11051" width="12.7109375" style="2" customWidth="1"/>
    <col min="11052" max="11052" width="24.5703125" style="2" customWidth="1"/>
    <col min="11053" max="11053" width="29" style="2" customWidth="1"/>
    <col min="11054" max="11054" width="17.7109375" style="2" customWidth="1"/>
    <col min="11055" max="11055" width="36.42578125" style="2" customWidth="1"/>
    <col min="11056" max="11056" width="21.85546875" style="2" customWidth="1"/>
    <col min="11057" max="11057" width="11.7109375" style="2" customWidth="1"/>
    <col min="11058" max="11058" width="26.28515625" style="2" customWidth="1"/>
    <col min="11059" max="11059" width="9" style="2" customWidth="1"/>
    <col min="11060" max="11060" width="6.28515625" style="2" customWidth="1"/>
    <col min="11061" max="11062" width="7.28515625" style="2" customWidth="1"/>
    <col min="11063" max="11063" width="8.42578125" style="2" customWidth="1"/>
    <col min="11064" max="11064" width="9.5703125" style="2" customWidth="1"/>
    <col min="11065" max="11065" width="6.28515625" style="2" customWidth="1"/>
    <col min="11066" max="11066" width="5.85546875" style="2" customWidth="1"/>
    <col min="11067" max="11068" width="4.42578125" style="2" customWidth="1"/>
    <col min="11069" max="11069" width="5" style="2" customWidth="1"/>
    <col min="11070" max="11070" width="5.85546875" style="2" customWidth="1"/>
    <col min="11071" max="11071" width="6.140625" style="2" customWidth="1"/>
    <col min="11072" max="11072" width="6.28515625" style="2" customWidth="1"/>
    <col min="11073" max="11073" width="11.140625" style="2" customWidth="1"/>
    <col min="11074" max="11074" width="14.140625" style="2" customWidth="1"/>
    <col min="11075" max="11075" width="19.85546875" style="2" customWidth="1"/>
    <col min="11076" max="11076" width="17" style="2" customWidth="1"/>
    <col min="11077" max="11077" width="20.85546875" style="2" customWidth="1"/>
    <col min="11078" max="11290" width="11.42578125" style="2"/>
    <col min="11291" max="11291" width="13.140625" style="2" customWidth="1"/>
    <col min="11292" max="11292" width="4" style="2" customWidth="1"/>
    <col min="11293" max="11293" width="12.85546875" style="2" customWidth="1"/>
    <col min="11294" max="11294" width="14.7109375" style="2" customWidth="1"/>
    <col min="11295" max="11295" width="10" style="2" customWidth="1"/>
    <col min="11296" max="11296" width="6.28515625" style="2" customWidth="1"/>
    <col min="11297" max="11297" width="12.28515625" style="2" customWidth="1"/>
    <col min="11298" max="11298" width="8.5703125" style="2" customWidth="1"/>
    <col min="11299" max="11299" width="13.7109375" style="2" customWidth="1"/>
    <col min="11300" max="11300" width="11.5703125" style="2" customWidth="1"/>
    <col min="11301" max="11301" width="34.28515625" style="2" customWidth="1"/>
    <col min="11302" max="11302" width="24.28515625" style="2" customWidth="1"/>
    <col min="11303" max="11303" width="21.140625" style="2" customWidth="1"/>
    <col min="11304" max="11304" width="22.140625" style="2" customWidth="1"/>
    <col min="11305" max="11305" width="8" style="2" customWidth="1"/>
    <col min="11306" max="11306" width="17" style="2" customWidth="1"/>
    <col min="11307" max="11307" width="12.7109375" style="2" customWidth="1"/>
    <col min="11308" max="11308" width="24.5703125" style="2" customWidth="1"/>
    <col min="11309" max="11309" width="29" style="2" customWidth="1"/>
    <col min="11310" max="11310" width="17.7109375" style="2" customWidth="1"/>
    <col min="11311" max="11311" width="36.42578125" style="2" customWidth="1"/>
    <col min="11312" max="11312" width="21.85546875" style="2" customWidth="1"/>
    <col min="11313" max="11313" width="11.7109375" style="2" customWidth="1"/>
    <col min="11314" max="11314" width="26.28515625" style="2" customWidth="1"/>
    <col min="11315" max="11315" width="9" style="2" customWidth="1"/>
    <col min="11316" max="11316" width="6.28515625" style="2" customWidth="1"/>
    <col min="11317" max="11318" width="7.28515625" style="2" customWidth="1"/>
    <col min="11319" max="11319" width="8.42578125" style="2" customWidth="1"/>
    <col min="11320" max="11320" width="9.5703125" style="2" customWidth="1"/>
    <col min="11321" max="11321" width="6.28515625" style="2" customWidth="1"/>
    <col min="11322" max="11322" width="5.85546875" style="2" customWidth="1"/>
    <col min="11323" max="11324" width="4.42578125" style="2" customWidth="1"/>
    <col min="11325" max="11325" width="5" style="2" customWidth="1"/>
    <col min="11326" max="11326" width="5.85546875" style="2" customWidth="1"/>
    <col min="11327" max="11327" width="6.140625" style="2" customWidth="1"/>
    <col min="11328" max="11328" width="6.28515625" style="2" customWidth="1"/>
    <col min="11329" max="11329" width="11.140625" style="2" customWidth="1"/>
    <col min="11330" max="11330" width="14.140625" style="2" customWidth="1"/>
    <col min="11331" max="11331" width="19.85546875" style="2" customWidth="1"/>
    <col min="11332" max="11332" width="17" style="2" customWidth="1"/>
    <col min="11333" max="11333" width="20.85546875" style="2" customWidth="1"/>
    <col min="11334" max="11546" width="11.42578125" style="2"/>
    <col min="11547" max="11547" width="13.140625" style="2" customWidth="1"/>
    <col min="11548" max="11548" width="4" style="2" customWidth="1"/>
    <col min="11549" max="11549" width="12.85546875" style="2" customWidth="1"/>
    <col min="11550" max="11550" width="14.7109375" style="2" customWidth="1"/>
    <col min="11551" max="11551" width="10" style="2" customWidth="1"/>
    <col min="11552" max="11552" width="6.28515625" style="2" customWidth="1"/>
    <col min="11553" max="11553" width="12.28515625" style="2" customWidth="1"/>
    <col min="11554" max="11554" width="8.5703125" style="2" customWidth="1"/>
    <col min="11555" max="11555" width="13.7109375" style="2" customWidth="1"/>
    <col min="11556" max="11556" width="11.5703125" style="2" customWidth="1"/>
    <col min="11557" max="11557" width="34.28515625" style="2" customWidth="1"/>
    <col min="11558" max="11558" width="24.28515625" style="2" customWidth="1"/>
    <col min="11559" max="11559" width="21.140625" style="2" customWidth="1"/>
    <col min="11560" max="11560" width="22.140625" style="2" customWidth="1"/>
    <col min="11561" max="11561" width="8" style="2" customWidth="1"/>
    <col min="11562" max="11562" width="17" style="2" customWidth="1"/>
    <col min="11563" max="11563" width="12.7109375" style="2" customWidth="1"/>
    <col min="11564" max="11564" width="24.5703125" style="2" customWidth="1"/>
    <col min="11565" max="11565" width="29" style="2" customWidth="1"/>
    <col min="11566" max="11566" width="17.7109375" style="2" customWidth="1"/>
    <col min="11567" max="11567" width="36.42578125" style="2" customWidth="1"/>
    <col min="11568" max="11568" width="21.85546875" style="2" customWidth="1"/>
    <col min="11569" max="11569" width="11.7109375" style="2" customWidth="1"/>
    <col min="11570" max="11570" width="26.28515625" style="2" customWidth="1"/>
    <col min="11571" max="11571" width="9" style="2" customWidth="1"/>
    <col min="11572" max="11572" width="6.28515625" style="2" customWidth="1"/>
    <col min="11573" max="11574" width="7.28515625" style="2" customWidth="1"/>
    <col min="11575" max="11575" width="8.42578125" style="2" customWidth="1"/>
    <col min="11576" max="11576" width="9.5703125" style="2" customWidth="1"/>
    <col min="11577" max="11577" width="6.28515625" style="2" customWidth="1"/>
    <col min="11578" max="11578" width="5.85546875" style="2" customWidth="1"/>
    <col min="11579" max="11580" width="4.42578125" style="2" customWidth="1"/>
    <col min="11581" max="11581" width="5" style="2" customWidth="1"/>
    <col min="11582" max="11582" width="5.85546875" style="2" customWidth="1"/>
    <col min="11583" max="11583" width="6.140625" style="2" customWidth="1"/>
    <col min="11584" max="11584" width="6.28515625" style="2" customWidth="1"/>
    <col min="11585" max="11585" width="11.140625" style="2" customWidth="1"/>
    <col min="11586" max="11586" width="14.140625" style="2" customWidth="1"/>
    <col min="11587" max="11587" width="19.85546875" style="2" customWidth="1"/>
    <col min="11588" max="11588" width="17" style="2" customWidth="1"/>
    <col min="11589" max="11589" width="20.85546875" style="2" customWidth="1"/>
    <col min="11590" max="11802" width="11.42578125" style="2"/>
    <col min="11803" max="11803" width="13.140625" style="2" customWidth="1"/>
    <col min="11804" max="11804" width="4" style="2" customWidth="1"/>
    <col min="11805" max="11805" width="12.85546875" style="2" customWidth="1"/>
    <col min="11806" max="11806" width="14.7109375" style="2" customWidth="1"/>
    <col min="11807" max="11807" width="10" style="2" customWidth="1"/>
    <col min="11808" max="11808" width="6.28515625" style="2" customWidth="1"/>
    <col min="11809" max="11809" width="12.28515625" style="2" customWidth="1"/>
    <col min="11810" max="11810" width="8.5703125" style="2" customWidth="1"/>
    <col min="11811" max="11811" width="13.7109375" style="2" customWidth="1"/>
    <col min="11812" max="11812" width="11.5703125" style="2" customWidth="1"/>
    <col min="11813" max="11813" width="34.28515625" style="2" customWidth="1"/>
    <col min="11814" max="11814" width="24.28515625" style="2" customWidth="1"/>
    <col min="11815" max="11815" width="21.140625" style="2" customWidth="1"/>
    <col min="11816" max="11816" width="22.140625" style="2" customWidth="1"/>
    <col min="11817" max="11817" width="8" style="2" customWidth="1"/>
    <col min="11818" max="11818" width="17" style="2" customWidth="1"/>
    <col min="11819" max="11819" width="12.7109375" style="2" customWidth="1"/>
    <col min="11820" max="11820" width="24.5703125" style="2" customWidth="1"/>
    <col min="11821" max="11821" width="29" style="2" customWidth="1"/>
    <col min="11822" max="11822" width="17.7109375" style="2" customWidth="1"/>
    <col min="11823" max="11823" width="36.42578125" style="2" customWidth="1"/>
    <col min="11824" max="11824" width="21.85546875" style="2" customWidth="1"/>
    <col min="11825" max="11825" width="11.7109375" style="2" customWidth="1"/>
    <col min="11826" max="11826" width="26.28515625" style="2" customWidth="1"/>
    <col min="11827" max="11827" width="9" style="2" customWidth="1"/>
    <col min="11828" max="11828" width="6.28515625" style="2" customWidth="1"/>
    <col min="11829" max="11830" width="7.28515625" style="2" customWidth="1"/>
    <col min="11831" max="11831" width="8.42578125" style="2" customWidth="1"/>
    <col min="11832" max="11832" width="9.5703125" style="2" customWidth="1"/>
    <col min="11833" max="11833" width="6.28515625" style="2" customWidth="1"/>
    <col min="11834" max="11834" width="5.85546875" style="2" customWidth="1"/>
    <col min="11835" max="11836" width="4.42578125" style="2" customWidth="1"/>
    <col min="11837" max="11837" width="5" style="2" customWidth="1"/>
    <col min="11838" max="11838" width="5.85546875" style="2" customWidth="1"/>
    <col min="11839" max="11839" width="6.140625" style="2" customWidth="1"/>
    <col min="11840" max="11840" width="6.28515625" style="2" customWidth="1"/>
    <col min="11841" max="11841" width="11.140625" style="2" customWidth="1"/>
    <col min="11842" max="11842" width="14.140625" style="2" customWidth="1"/>
    <col min="11843" max="11843" width="19.85546875" style="2" customWidth="1"/>
    <col min="11844" max="11844" width="17" style="2" customWidth="1"/>
    <col min="11845" max="11845" width="20.85546875" style="2" customWidth="1"/>
    <col min="11846" max="12058" width="11.42578125" style="2"/>
    <col min="12059" max="12059" width="13.140625" style="2" customWidth="1"/>
    <col min="12060" max="12060" width="4" style="2" customWidth="1"/>
    <col min="12061" max="12061" width="12.85546875" style="2" customWidth="1"/>
    <col min="12062" max="12062" width="14.7109375" style="2" customWidth="1"/>
    <col min="12063" max="12063" width="10" style="2" customWidth="1"/>
    <col min="12064" max="12064" width="6.28515625" style="2" customWidth="1"/>
    <col min="12065" max="12065" width="12.28515625" style="2" customWidth="1"/>
    <col min="12066" max="12066" width="8.5703125" style="2" customWidth="1"/>
    <col min="12067" max="12067" width="13.7109375" style="2" customWidth="1"/>
    <col min="12068" max="12068" width="11.5703125" style="2" customWidth="1"/>
    <col min="12069" max="12069" width="34.28515625" style="2" customWidth="1"/>
    <col min="12070" max="12070" width="24.28515625" style="2" customWidth="1"/>
    <col min="12071" max="12071" width="21.140625" style="2" customWidth="1"/>
    <col min="12072" max="12072" width="22.140625" style="2" customWidth="1"/>
    <col min="12073" max="12073" width="8" style="2" customWidth="1"/>
    <col min="12074" max="12074" width="17" style="2" customWidth="1"/>
    <col min="12075" max="12075" width="12.7109375" style="2" customWidth="1"/>
    <col min="12076" max="12076" width="24.5703125" style="2" customWidth="1"/>
    <col min="12077" max="12077" width="29" style="2" customWidth="1"/>
    <col min="12078" max="12078" width="17.7109375" style="2" customWidth="1"/>
    <col min="12079" max="12079" width="36.42578125" style="2" customWidth="1"/>
    <col min="12080" max="12080" width="21.85546875" style="2" customWidth="1"/>
    <col min="12081" max="12081" width="11.7109375" style="2" customWidth="1"/>
    <col min="12082" max="12082" width="26.28515625" style="2" customWidth="1"/>
    <col min="12083" max="12083" width="9" style="2" customWidth="1"/>
    <col min="12084" max="12084" width="6.28515625" style="2" customWidth="1"/>
    <col min="12085" max="12086" width="7.28515625" style="2" customWidth="1"/>
    <col min="12087" max="12087" width="8.42578125" style="2" customWidth="1"/>
    <col min="12088" max="12088" width="9.5703125" style="2" customWidth="1"/>
    <col min="12089" max="12089" width="6.28515625" style="2" customWidth="1"/>
    <col min="12090" max="12090" width="5.85546875" style="2" customWidth="1"/>
    <col min="12091" max="12092" width="4.42578125" style="2" customWidth="1"/>
    <col min="12093" max="12093" width="5" style="2" customWidth="1"/>
    <col min="12094" max="12094" width="5.85546875" style="2" customWidth="1"/>
    <col min="12095" max="12095" width="6.140625" style="2" customWidth="1"/>
    <col min="12096" max="12096" width="6.28515625" style="2" customWidth="1"/>
    <col min="12097" max="12097" width="11.140625" style="2" customWidth="1"/>
    <col min="12098" max="12098" width="14.140625" style="2" customWidth="1"/>
    <col min="12099" max="12099" width="19.85546875" style="2" customWidth="1"/>
    <col min="12100" max="12100" width="17" style="2" customWidth="1"/>
    <col min="12101" max="12101" width="20.85546875" style="2" customWidth="1"/>
    <col min="12102" max="12314" width="11.42578125" style="2"/>
    <col min="12315" max="12315" width="13.140625" style="2" customWidth="1"/>
    <col min="12316" max="12316" width="4" style="2" customWidth="1"/>
    <col min="12317" max="12317" width="12.85546875" style="2" customWidth="1"/>
    <col min="12318" max="12318" width="14.7109375" style="2" customWidth="1"/>
    <col min="12319" max="12319" width="10" style="2" customWidth="1"/>
    <col min="12320" max="12320" width="6.28515625" style="2" customWidth="1"/>
    <col min="12321" max="12321" width="12.28515625" style="2" customWidth="1"/>
    <col min="12322" max="12322" width="8.5703125" style="2" customWidth="1"/>
    <col min="12323" max="12323" width="13.7109375" style="2" customWidth="1"/>
    <col min="12324" max="12324" width="11.5703125" style="2" customWidth="1"/>
    <col min="12325" max="12325" width="34.28515625" style="2" customWidth="1"/>
    <col min="12326" max="12326" width="24.28515625" style="2" customWidth="1"/>
    <col min="12327" max="12327" width="21.140625" style="2" customWidth="1"/>
    <col min="12328" max="12328" width="22.140625" style="2" customWidth="1"/>
    <col min="12329" max="12329" width="8" style="2" customWidth="1"/>
    <col min="12330" max="12330" width="17" style="2" customWidth="1"/>
    <col min="12331" max="12331" width="12.7109375" style="2" customWidth="1"/>
    <col min="12332" max="12332" width="24.5703125" style="2" customWidth="1"/>
    <col min="12333" max="12333" width="29" style="2" customWidth="1"/>
    <col min="12334" max="12334" width="17.7109375" style="2" customWidth="1"/>
    <col min="12335" max="12335" width="36.42578125" style="2" customWidth="1"/>
    <col min="12336" max="12336" width="21.85546875" style="2" customWidth="1"/>
    <col min="12337" max="12337" width="11.7109375" style="2" customWidth="1"/>
    <col min="12338" max="12338" width="26.28515625" style="2" customWidth="1"/>
    <col min="12339" max="12339" width="9" style="2" customWidth="1"/>
    <col min="12340" max="12340" width="6.28515625" style="2" customWidth="1"/>
    <col min="12341" max="12342" width="7.28515625" style="2" customWidth="1"/>
    <col min="12343" max="12343" width="8.42578125" style="2" customWidth="1"/>
    <col min="12344" max="12344" width="9.5703125" style="2" customWidth="1"/>
    <col min="12345" max="12345" width="6.28515625" style="2" customWidth="1"/>
    <col min="12346" max="12346" width="5.85546875" style="2" customWidth="1"/>
    <col min="12347" max="12348" width="4.42578125" style="2" customWidth="1"/>
    <col min="12349" max="12349" width="5" style="2" customWidth="1"/>
    <col min="12350" max="12350" width="5.85546875" style="2" customWidth="1"/>
    <col min="12351" max="12351" width="6.140625" style="2" customWidth="1"/>
    <col min="12352" max="12352" width="6.28515625" style="2" customWidth="1"/>
    <col min="12353" max="12353" width="11.140625" style="2" customWidth="1"/>
    <col min="12354" max="12354" width="14.140625" style="2" customWidth="1"/>
    <col min="12355" max="12355" width="19.85546875" style="2" customWidth="1"/>
    <col min="12356" max="12356" width="17" style="2" customWidth="1"/>
    <col min="12357" max="12357" width="20.85546875" style="2" customWidth="1"/>
    <col min="12358" max="12570" width="11.42578125" style="2"/>
    <col min="12571" max="12571" width="13.140625" style="2" customWidth="1"/>
    <col min="12572" max="12572" width="4" style="2" customWidth="1"/>
    <col min="12573" max="12573" width="12.85546875" style="2" customWidth="1"/>
    <col min="12574" max="12574" width="14.7109375" style="2" customWidth="1"/>
    <col min="12575" max="12575" width="10" style="2" customWidth="1"/>
    <col min="12576" max="12576" width="6.28515625" style="2" customWidth="1"/>
    <col min="12577" max="12577" width="12.28515625" style="2" customWidth="1"/>
    <col min="12578" max="12578" width="8.5703125" style="2" customWidth="1"/>
    <col min="12579" max="12579" width="13.7109375" style="2" customWidth="1"/>
    <col min="12580" max="12580" width="11.5703125" style="2" customWidth="1"/>
    <col min="12581" max="12581" width="34.28515625" style="2" customWidth="1"/>
    <col min="12582" max="12582" width="24.28515625" style="2" customWidth="1"/>
    <col min="12583" max="12583" width="21.140625" style="2" customWidth="1"/>
    <col min="12584" max="12584" width="22.140625" style="2" customWidth="1"/>
    <col min="12585" max="12585" width="8" style="2" customWidth="1"/>
    <col min="12586" max="12586" width="17" style="2" customWidth="1"/>
    <col min="12587" max="12587" width="12.7109375" style="2" customWidth="1"/>
    <col min="12588" max="12588" width="24.5703125" style="2" customWidth="1"/>
    <col min="12589" max="12589" width="29" style="2" customWidth="1"/>
    <col min="12590" max="12590" width="17.7109375" style="2" customWidth="1"/>
    <col min="12591" max="12591" width="36.42578125" style="2" customWidth="1"/>
    <col min="12592" max="12592" width="21.85546875" style="2" customWidth="1"/>
    <col min="12593" max="12593" width="11.7109375" style="2" customWidth="1"/>
    <col min="12594" max="12594" width="26.28515625" style="2" customWidth="1"/>
    <col min="12595" max="12595" width="9" style="2" customWidth="1"/>
    <col min="12596" max="12596" width="6.28515625" style="2" customWidth="1"/>
    <col min="12597" max="12598" width="7.28515625" style="2" customWidth="1"/>
    <col min="12599" max="12599" width="8.42578125" style="2" customWidth="1"/>
    <col min="12600" max="12600" width="9.5703125" style="2" customWidth="1"/>
    <col min="12601" max="12601" width="6.28515625" style="2" customWidth="1"/>
    <col min="12602" max="12602" width="5.85546875" style="2" customWidth="1"/>
    <col min="12603" max="12604" width="4.42578125" style="2" customWidth="1"/>
    <col min="12605" max="12605" width="5" style="2" customWidth="1"/>
    <col min="12606" max="12606" width="5.85546875" style="2" customWidth="1"/>
    <col min="12607" max="12607" width="6.140625" style="2" customWidth="1"/>
    <col min="12608" max="12608" width="6.28515625" style="2" customWidth="1"/>
    <col min="12609" max="12609" width="11.140625" style="2" customWidth="1"/>
    <col min="12610" max="12610" width="14.140625" style="2" customWidth="1"/>
    <col min="12611" max="12611" width="19.85546875" style="2" customWidth="1"/>
    <col min="12612" max="12612" width="17" style="2" customWidth="1"/>
    <col min="12613" max="12613" width="20.85546875" style="2" customWidth="1"/>
    <col min="12614" max="12826" width="11.42578125" style="2"/>
    <col min="12827" max="12827" width="13.140625" style="2" customWidth="1"/>
    <col min="12828" max="12828" width="4" style="2" customWidth="1"/>
    <col min="12829" max="12829" width="12.85546875" style="2" customWidth="1"/>
    <col min="12830" max="12830" width="14.7109375" style="2" customWidth="1"/>
    <col min="12831" max="12831" width="10" style="2" customWidth="1"/>
    <col min="12832" max="12832" width="6.28515625" style="2" customWidth="1"/>
    <col min="12833" max="12833" width="12.28515625" style="2" customWidth="1"/>
    <col min="12834" max="12834" width="8.5703125" style="2" customWidth="1"/>
    <col min="12835" max="12835" width="13.7109375" style="2" customWidth="1"/>
    <col min="12836" max="12836" width="11.5703125" style="2" customWidth="1"/>
    <col min="12837" max="12837" width="34.28515625" style="2" customWidth="1"/>
    <col min="12838" max="12838" width="24.28515625" style="2" customWidth="1"/>
    <col min="12839" max="12839" width="21.140625" style="2" customWidth="1"/>
    <col min="12840" max="12840" width="22.140625" style="2" customWidth="1"/>
    <col min="12841" max="12841" width="8" style="2" customWidth="1"/>
    <col min="12842" max="12842" width="17" style="2" customWidth="1"/>
    <col min="12843" max="12843" width="12.7109375" style="2" customWidth="1"/>
    <col min="12844" max="12844" width="24.5703125" style="2" customWidth="1"/>
    <col min="12845" max="12845" width="29" style="2" customWidth="1"/>
    <col min="12846" max="12846" width="17.7109375" style="2" customWidth="1"/>
    <col min="12847" max="12847" width="36.42578125" style="2" customWidth="1"/>
    <col min="12848" max="12848" width="21.85546875" style="2" customWidth="1"/>
    <col min="12849" max="12849" width="11.7109375" style="2" customWidth="1"/>
    <col min="12850" max="12850" width="26.28515625" style="2" customWidth="1"/>
    <col min="12851" max="12851" width="9" style="2" customWidth="1"/>
    <col min="12852" max="12852" width="6.28515625" style="2" customWidth="1"/>
    <col min="12853" max="12854" width="7.28515625" style="2" customWidth="1"/>
    <col min="12855" max="12855" width="8.42578125" style="2" customWidth="1"/>
    <col min="12856" max="12856" width="9.5703125" style="2" customWidth="1"/>
    <col min="12857" max="12857" width="6.28515625" style="2" customWidth="1"/>
    <col min="12858" max="12858" width="5.85546875" style="2" customWidth="1"/>
    <col min="12859" max="12860" width="4.42578125" style="2" customWidth="1"/>
    <col min="12861" max="12861" width="5" style="2" customWidth="1"/>
    <col min="12862" max="12862" width="5.85546875" style="2" customWidth="1"/>
    <col min="12863" max="12863" width="6.140625" style="2" customWidth="1"/>
    <col min="12864" max="12864" width="6.28515625" style="2" customWidth="1"/>
    <col min="12865" max="12865" width="11.140625" style="2" customWidth="1"/>
    <col min="12866" max="12866" width="14.140625" style="2" customWidth="1"/>
    <col min="12867" max="12867" width="19.85546875" style="2" customWidth="1"/>
    <col min="12868" max="12868" width="17" style="2" customWidth="1"/>
    <col min="12869" max="12869" width="20.85546875" style="2" customWidth="1"/>
    <col min="12870" max="13082" width="11.42578125" style="2"/>
    <col min="13083" max="13083" width="13.140625" style="2" customWidth="1"/>
    <col min="13084" max="13084" width="4" style="2" customWidth="1"/>
    <col min="13085" max="13085" width="12.85546875" style="2" customWidth="1"/>
    <col min="13086" max="13086" width="14.7109375" style="2" customWidth="1"/>
    <col min="13087" max="13087" width="10" style="2" customWidth="1"/>
    <col min="13088" max="13088" width="6.28515625" style="2" customWidth="1"/>
    <col min="13089" max="13089" width="12.28515625" style="2" customWidth="1"/>
    <col min="13090" max="13090" width="8.5703125" style="2" customWidth="1"/>
    <col min="13091" max="13091" width="13.7109375" style="2" customWidth="1"/>
    <col min="13092" max="13092" width="11.5703125" style="2" customWidth="1"/>
    <col min="13093" max="13093" width="34.28515625" style="2" customWidth="1"/>
    <col min="13094" max="13094" width="24.28515625" style="2" customWidth="1"/>
    <col min="13095" max="13095" width="21.140625" style="2" customWidth="1"/>
    <col min="13096" max="13096" width="22.140625" style="2" customWidth="1"/>
    <col min="13097" max="13097" width="8" style="2" customWidth="1"/>
    <col min="13098" max="13098" width="17" style="2" customWidth="1"/>
    <col min="13099" max="13099" width="12.7109375" style="2" customWidth="1"/>
    <col min="13100" max="13100" width="24.5703125" style="2" customWidth="1"/>
    <col min="13101" max="13101" width="29" style="2" customWidth="1"/>
    <col min="13102" max="13102" width="17.7109375" style="2" customWidth="1"/>
    <col min="13103" max="13103" width="36.42578125" style="2" customWidth="1"/>
    <col min="13104" max="13104" width="21.85546875" style="2" customWidth="1"/>
    <col min="13105" max="13105" width="11.7109375" style="2" customWidth="1"/>
    <col min="13106" max="13106" width="26.28515625" style="2" customWidth="1"/>
    <col min="13107" max="13107" width="9" style="2" customWidth="1"/>
    <col min="13108" max="13108" width="6.28515625" style="2" customWidth="1"/>
    <col min="13109" max="13110" width="7.28515625" style="2" customWidth="1"/>
    <col min="13111" max="13111" width="8.42578125" style="2" customWidth="1"/>
    <col min="13112" max="13112" width="9.5703125" style="2" customWidth="1"/>
    <col min="13113" max="13113" width="6.28515625" style="2" customWidth="1"/>
    <col min="13114" max="13114" width="5.85546875" style="2" customWidth="1"/>
    <col min="13115" max="13116" width="4.42578125" style="2" customWidth="1"/>
    <col min="13117" max="13117" width="5" style="2" customWidth="1"/>
    <col min="13118" max="13118" width="5.85546875" style="2" customWidth="1"/>
    <col min="13119" max="13119" width="6.140625" style="2" customWidth="1"/>
    <col min="13120" max="13120" width="6.28515625" style="2" customWidth="1"/>
    <col min="13121" max="13121" width="11.140625" style="2" customWidth="1"/>
    <col min="13122" max="13122" width="14.140625" style="2" customWidth="1"/>
    <col min="13123" max="13123" width="19.85546875" style="2" customWidth="1"/>
    <col min="13124" max="13124" width="17" style="2" customWidth="1"/>
    <col min="13125" max="13125" width="20.85546875" style="2" customWidth="1"/>
    <col min="13126" max="13338" width="11.42578125" style="2"/>
    <col min="13339" max="13339" width="13.140625" style="2" customWidth="1"/>
    <col min="13340" max="13340" width="4" style="2" customWidth="1"/>
    <col min="13341" max="13341" width="12.85546875" style="2" customWidth="1"/>
    <col min="13342" max="13342" width="14.7109375" style="2" customWidth="1"/>
    <col min="13343" max="13343" width="10" style="2" customWidth="1"/>
    <col min="13344" max="13344" width="6.28515625" style="2" customWidth="1"/>
    <col min="13345" max="13345" width="12.28515625" style="2" customWidth="1"/>
    <col min="13346" max="13346" width="8.5703125" style="2" customWidth="1"/>
    <col min="13347" max="13347" width="13.7109375" style="2" customWidth="1"/>
    <col min="13348" max="13348" width="11.5703125" style="2" customWidth="1"/>
    <col min="13349" max="13349" width="34.28515625" style="2" customWidth="1"/>
    <col min="13350" max="13350" width="24.28515625" style="2" customWidth="1"/>
    <col min="13351" max="13351" width="21.140625" style="2" customWidth="1"/>
    <col min="13352" max="13352" width="22.140625" style="2" customWidth="1"/>
    <col min="13353" max="13353" width="8" style="2" customWidth="1"/>
    <col min="13354" max="13354" width="17" style="2" customWidth="1"/>
    <col min="13355" max="13355" width="12.7109375" style="2" customWidth="1"/>
    <col min="13356" max="13356" width="24.5703125" style="2" customWidth="1"/>
    <col min="13357" max="13357" width="29" style="2" customWidth="1"/>
    <col min="13358" max="13358" width="17.7109375" style="2" customWidth="1"/>
    <col min="13359" max="13359" width="36.42578125" style="2" customWidth="1"/>
    <col min="13360" max="13360" width="21.85546875" style="2" customWidth="1"/>
    <col min="13361" max="13361" width="11.7109375" style="2" customWidth="1"/>
    <col min="13362" max="13362" width="26.28515625" style="2" customWidth="1"/>
    <col min="13363" max="13363" width="9" style="2" customWidth="1"/>
    <col min="13364" max="13364" width="6.28515625" style="2" customWidth="1"/>
    <col min="13365" max="13366" width="7.28515625" style="2" customWidth="1"/>
    <col min="13367" max="13367" width="8.42578125" style="2" customWidth="1"/>
    <col min="13368" max="13368" width="9.5703125" style="2" customWidth="1"/>
    <col min="13369" max="13369" width="6.28515625" style="2" customWidth="1"/>
    <col min="13370" max="13370" width="5.85546875" style="2" customWidth="1"/>
    <col min="13371" max="13372" width="4.42578125" style="2" customWidth="1"/>
    <col min="13373" max="13373" width="5" style="2" customWidth="1"/>
    <col min="13374" max="13374" width="5.85546875" style="2" customWidth="1"/>
    <col min="13375" max="13375" width="6.140625" style="2" customWidth="1"/>
    <col min="13376" max="13376" width="6.28515625" style="2" customWidth="1"/>
    <col min="13377" max="13377" width="11.140625" style="2" customWidth="1"/>
    <col min="13378" max="13378" width="14.140625" style="2" customWidth="1"/>
    <col min="13379" max="13379" width="19.85546875" style="2" customWidth="1"/>
    <col min="13380" max="13380" width="17" style="2" customWidth="1"/>
    <col min="13381" max="13381" width="20.85546875" style="2" customWidth="1"/>
    <col min="13382" max="13594" width="11.42578125" style="2"/>
    <col min="13595" max="13595" width="13.140625" style="2" customWidth="1"/>
    <col min="13596" max="13596" width="4" style="2" customWidth="1"/>
    <col min="13597" max="13597" width="12.85546875" style="2" customWidth="1"/>
    <col min="13598" max="13598" width="14.7109375" style="2" customWidth="1"/>
    <col min="13599" max="13599" width="10" style="2" customWidth="1"/>
    <col min="13600" max="13600" width="6.28515625" style="2" customWidth="1"/>
    <col min="13601" max="13601" width="12.28515625" style="2" customWidth="1"/>
    <col min="13602" max="13602" width="8.5703125" style="2" customWidth="1"/>
    <col min="13603" max="13603" width="13.7109375" style="2" customWidth="1"/>
    <col min="13604" max="13604" width="11.5703125" style="2" customWidth="1"/>
    <col min="13605" max="13605" width="34.28515625" style="2" customWidth="1"/>
    <col min="13606" max="13606" width="24.28515625" style="2" customWidth="1"/>
    <col min="13607" max="13607" width="21.140625" style="2" customWidth="1"/>
    <col min="13608" max="13608" width="22.140625" style="2" customWidth="1"/>
    <col min="13609" max="13609" width="8" style="2" customWidth="1"/>
    <col min="13610" max="13610" width="17" style="2" customWidth="1"/>
    <col min="13611" max="13611" width="12.7109375" style="2" customWidth="1"/>
    <col min="13612" max="13612" width="24.5703125" style="2" customWidth="1"/>
    <col min="13613" max="13613" width="29" style="2" customWidth="1"/>
    <col min="13614" max="13614" width="17.7109375" style="2" customWidth="1"/>
    <col min="13615" max="13615" width="36.42578125" style="2" customWidth="1"/>
    <col min="13616" max="13616" width="21.85546875" style="2" customWidth="1"/>
    <col min="13617" max="13617" width="11.7109375" style="2" customWidth="1"/>
    <col min="13618" max="13618" width="26.28515625" style="2" customWidth="1"/>
    <col min="13619" max="13619" width="9" style="2" customWidth="1"/>
    <col min="13620" max="13620" width="6.28515625" style="2" customWidth="1"/>
    <col min="13621" max="13622" width="7.28515625" style="2" customWidth="1"/>
    <col min="13623" max="13623" width="8.42578125" style="2" customWidth="1"/>
    <col min="13624" max="13624" width="9.5703125" style="2" customWidth="1"/>
    <col min="13625" max="13625" width="6.28515625" style="2" customWidth="1"/>
    <col min="13626" max="13626" width="5.85546875" style="2" customWidth="1"/>
    <col min="13627" max="13628" width="4.42578125" style="2" customWidth="1"/>
    <col min="13629" max="13629" width="5" style="2" customWidth="1"/>
    <col min="13630" max="13630" width="5.85546875" style="2" customWidth="1"/>
    <col min="13631" max="13631" width="6.140625" style="2" customWidth="1"/>
    <col min="13632" max="13632" width="6.28515625" style="2" customWidth="1"/>
    <col min="13633" max="13633" width="11.140625" style="2" customWidth="1"/>
    <col min="13634" max="13634" width="14.140625" style="2" customWidth="1"/>
    <col min="13635" max="13635" width="19.85546875" style="2" customWidth="1"/>
    <col min="13636" max="13636" width="17" style="2" customWidth="1"/>
    <col min="13637" max="13637" width="20.85546875" style="2" customWidth="1"/>
    <col min="13638" max="13850" width="11.42578125" style="2"/>
    <col min="13851" max="13851" width="13.140625" style="2" customWidth="1"/>
    <col min="13852" max="13852" width="4" style="2" customWidth="1"/>
    <col min="13853" max="13853" width="12.85546875" style="2" customWidth="1"/>
    <col min="13854" max="13854" width="14.7109375" style="2" customWidth="1"/>
    <col min="13855" max="13855" width="10" style="2" customWidth="1"/>
    <col min="13856" max="13856" width="6.28515625" style="2" customWidth="1"/>
    <col min="13857" max="13857" width="12.28515625" style="2" customWidth="1"/>
    <col min="13858" max="13858" width="8.5703125" style="2" customWidth="1"/>
    <col min="13859" max="13859" width="13.7109375" style="2" customWidth="1"/>
    <col min="13860" max="13860" width="11.5703125" style="2" customWidth="1"/>
    <col min="13861" max="13861" width="34.28515625" style="2" customWidth="1"/>
    <col min="13862" max="13862" width="24.28515625" style="2" customWidth="1"/>
    <col min="13863" max="13863" width="21.140625" style="2" customWidth="1"/>
    <col min="13864" max="13864" width="22.140625" style="2" customWidth="1"/>
    <col min="13865" max="13865" width="8" style="2" customWidth="1"/>
    <col min="13866" max="13866" width="17" style="2" customWidth="1"/>
    <col min="13867" max="13867" width="12.7109375" style="2" customWidth="1"/>
    <col min="13868" max="13868" width="24.5703125" style="2" customWidth="1"/>
    <col min="13869" max="13869" width="29" style="2" customWidth="1"/>
    <col min="13870" max="13870" width="17.7109375" style="2" customWidth="1"/>
    <col min="13871" max="13871" width="36.42578125" style="2" customWidth="1"/>
    <col min="13872" max="13872" width="21.85546875" style="2" customWidth="1"/>
    <col min="13873" max="13873" width="11.7109375" style="2" customWidth="1"/>
    <col min="13874" max="13874" width="26.28515625" style="2" customWidth="1"/>
    <col min="13875" max="13875" width="9" style="2" customWidth="1"/>
    <col min="13876" max="13876" width="6.28515625" style="2" customWidth="1"/>
    <col min="13877" max="13878" width="7.28515625" style="2" customWidth="1"/>
    <col min="13879" max="13879" width="8.42578125" style="2" customWidth="1"/>
    <col min="13880" max="13880" width="9.5703125" style="2" customWidth="1"/>
    <col min="13881" max="13881" width="6.28515625" style="2" customWidth="1"/>
    <col min="13882" max="13882" width="5.85546875" style="2" customWidth="1"/>
    <col min="13883" max="13884" width="4.42578125" style="2" customWidth="1"/>
    <col min="13885" max="13885" width="5" style="2" customWidth="1"/>
    <col min="13886" max="13886" width="5.85546875" style="2" customWidth="1"/>
    <col min="13887" max="13887" width="6.140625" style="2" customWidth="1"/>
    <col min="13888" max="13888" width="6.28515625" style="2" customWidth="1"/>
    <col min="13889" max="13889" width="11.140625" style="2" customWidth="1"/>
    <col min="13890" max="13890" width="14.140625" style="2" customWidth="1"/>
    <col min="13891" max="13891" width="19.85546875" style="2" customWidth="1"/>
    <col min="13892" max="13892" width="17" style="2" customWidth="1"/>
    <col min="13893" max="13893" width="20.85546875" style="2" customWidth="1"/>
    <col min="13894" max="14106" width="11.42578125" style="2"/>
    <col min="14107" max="14107" width="13.140625" style="2" customWidth="1"/>
    <col min="14108" max="14108" width="4" style="2" customWidth="1"/>
    <col min="14109" max="14109" width="12.85546875" style="2" customWidth="1"/>
    <col min="14110" max="14110" width="14.7109375" style="2" customWidth="1"/>
    <col min="14111" max="14111" width="10" style="2" customWidth="1"/>
    <col min="14112" max="14112" width="6.28515625" style="2" customWidth="1"/>
    <col min="14113" max="14113" width="12.28515625" style="2" customWidth="1"/>
    <col min="14114" max="14114" width="8.5703125" style="2" customWidth="1"/>
    <col min="14115" max="14115" width="13.7109375" style="2" customWidth="1"/>
    <col min="14116" max="14116" width="11.5703125" style="2" customWidth="1"/>
    <col min="14117" max="14117" width="34.28515625" style="2" customWidth="1"/>
    <col min="14118" max="14118" width="24.28515625" style="2" customWidth="1"/>
    <col min="14119" max="14119" width="21.140625" style="2" customWidth="1"/>
    <col min="14120" max="14120" width="22.140625" style="2" customWidth="1"/>
    <col min="14121" max="14121" width="8" style="2" customWidth="1"/>
    <col min="14122" max="14122" width="17" style="2" customWidth="1"/>
    <col min="14123" max="14123" width="12.7109375" style="2" customWidth="1"/>
    <col min="14124" max="14124" width="24.5703125" style="2" customWidth="1"/>
    <col min="14125" max="14125" width="29" style="2" customWidth="1"/>
    <col min="14126" max="14126" width="17.7109375" style="2" customWidth="1"/>
    <col min="14127" max="14127" width="36.42578125" style="2" customWidth="1"/>
    <col min="14128" max="14128" width="21.85546875" style="2" customWidth="1"/>
    <col min="14129" max="14129" width="11.7109375" style="2" customWidth="1"/>
    <col min="14130" max="14130" width="26.28515625" style="2" customWidth="1"/>
    <col min="14131" max="14131" width="9" style="2" customWidth="1"/>
    <col min="14132" max="14132" width="6.28515625" style="2" customWidth="1"/>
    <col min="14133" max="14134" width="7.28515625" style="2" customWidth="1"/>
    <col min="14135" max="14135" width="8.42578125" style="2" customWidth="1"/>
    <col min="14136" max="14136" width="9.5703125" style="2" customWidth="1"/>
    <col min="14137" max="14137" width="6.28515625" style="2" customWidth="1"/>
    <col min="14138" max="14138" width="5.85546875" style="2" customWidth="1"/>
    <col min="14139" max="14140" width="4.42578125" style="2" customWidth="1"/>
    <col min="14141" max="14141" width="5" style="2" customWidth="1"/>
    <col min="14142" max="14142" width="5.85546875" style="2" customWidth="1"/>
    <col min="14143" max="14143" width="6.140625" style="2" customWidth="1"/>
    <col min="14144" max="14144" width="6.28515625" style="2" customWidth="1"/>
    <col min="14145" max="14145" width="11.140625" style="2" customWidth="1"/>
    <col min="14146" max="14146" width="14.140625" style="2" customWidth="1"/>
    <col min="14147" max="14147" width="19.85546875" style="2" customWidth="1"/>
    <col min="14148" max="14148" width="17" style="2" customWidth="1"/>
    <col min="14149" max="14149" width="20.85546875" style="2" customWidth="1"/>
    <col min="14150" max="14362" width="11.42578125" style="2"/>
    <col min="14363" max="14363" width="13.140625" style="2" customWidth="1"/>
    <col min="14364" max="14364" width="4" style="2" customWidth="1"/>
    <col min="14365" max="14365" width="12.85546875" style="2" customWidth="1"/>
    <col min="14366" max="14366" width="14.7109375" style="2" customWidth="1"/>
    <col min="14367" max="14367" width="10" style="2" customWidth="1"/>
    <col min="14368" max="14368" width="6.28515625" style="2" customWidth="1"/>
    <col min="14369" max="14369" width="12.28515625" style="2" customWidth="1"/>
    <col min="14370" max="14370" width="8.5703125" style="2" customWidth="1"/>
    <col min="14371" max="14371" width="13.7109375" style="2" customWidth="1"/>
    <col min="14372" max="14372" width="11.5703125" style="2" customWidth="1"/>
    <col min="14373" max="14373" width="34.28515625" style="2" customWidth="1"/>
    <col min="14374" max="14374" width="24.28515625" style="2" customWidth="1"/>
    <col min="14375" max="14375" width="21.140625" style="2" customWidth="1"/>
    <col min="14376" max="14376" width="22.140625" style="2" customWidth="1"/>
    <col min="14377" max="14377" width="8" style="2" customWidth="1"/>
    <col min="14378" max="14378" width="17" style="2" customWidth="1"/>
    <col min="14379" max="14379" width="12.7109375" style="2" customWidth="1"/>
    <col min="14380" max="14380" width="24.5703125" style="2" customWidth="1"/>
    <col min="14381" max="14381" width="29" style="2" customWidth="1"/>
    <col min="14382" max="14382" width="17.7109375" style="2" customWidth="1"/>
    <col min="14383" max="14383" width="36.42578125" style="2" customWidth="1"/>
    <col min="14384" max="14384" width="21.85546875" style="2" customWidth="1"/>
    <col min="14385" max="14385" width="11.7109375" style="2" customWidth="1"/>
    <col min="14386" max="14386" width="26.28515625" style="2" customWidth="1"/>
    <col min="14387" max="14387" width="9" style="2" customWidth="1"/>
    <col min="14388" max="14388" width="6.28515625" style="2" customWidth="1"/>
    <col min="14389" max="14390" width="7.28515625" style="2" customWidth="1"/>
    <col min="14391" max="14391" width="8.42578125" style="2" customWidth="1"/>
    <col min="14392" max="14392" width="9.5703125" style="2" customWidth="1"/>
    <col min="14393" max="14393" width="6.28515625" style="2" customWidth="1"/>
    <col min="14394" max="14394" width="5.85546875" style="2" customWidth="1"/>
    <col min="14395" max="14396" width="4.42578125" style="2" customWidth="1"/>
    <col min="14397" max="14397" width="5" style="2" customWidth="1"/>
    <col min="14398" max="14398" width="5.85546875" style="2" customWidth="1"/>
    <col min="14399" max="14399" width="6.140625" style="2" customWidth="1"/>
    <col min="14400" max="14400" width="6.28515625" style="2" customWidth="1"/>
    <col min="14401" max="14401" width="11.140625" style="2" customWidth="1"/>
    <col min="14402" max="14402" width="14.140625" style="2" customWidth="1"/>
    <col min="14403" max="14403" width="19.85546875" style="2" customWidth="1"/>
    <col min="14404" max="14404" width="17" style="2" customWidth="1"/>
    <col min="14405" max="14405" width="20.85546875" style="2" customWidth="1"/>
    <col min="14406" max="14618" width="11.42578125" style="2"/>
    <col min="14619" max="14619" width="13.140625" style="2" customWidth="1"/>
    <col min="14620" max="14620" width="4" style="2" customWidth="1"/>
    <col min="14621" max="14621" width="12.85546875" style="2" customWidth="1"/>
    <col min="14622" max="14622" width="14.7109375" style="2" customWidth="1"/>
    <col min="14623" max="14623" width="10" style="2" customWidth="1"/>
    <col min="14624" max="14624" width="6.28515625" style="2" customWidth="1"/>
    <col min="14625" max="14625" width="12.28515625" style="2" customWidth="1"/>
    <col min="14626" max="14626" width="8.5703125" style="2" customWidth="1"/>
    <col min="14627" max="14627" width="13.7109375" style="2" customWidth="1"/>
    <col min="14628" max="14628" width="11.5703125" style="2" customWidth="1"/>
    <col min="14629" max="14629" width="34.28515625" style="2" customWidth="1"/>
    <col min="14630" max="14630" width="24.28515625" style="2" customWidth="1"/>
    <col min="14631" max="14631" width="21.140625" style="2" customWidth="1"/>
    <col min="14632" max="14632" width="22.140625" style="2" customWidth="1"/>
    <col min="14633" max="14633" width="8" style="2" customWidth="1"/>
    <col min="14634" max="14634" width="17" style="2" customWidth="1"/>
    <col min="14635" max="14635" width="12.7109375" style="2" customWidth="1"/>
    <col min="14636" max="14636" width="24.5703125" style="2" customWidth="1"/>
    <col min="14637" max="14637" width="29" style="2" customWidth="1"/>
    <col min="14638" max="14638" width="17.7109375" style="2" customWidth="1"/>
    <col min="14639" max="14639" width="36.42578125" style="2" customWidth="1"/>
    <col min="14640" max="14640" width="21.85546875" style="2" customWidth="1"/>
    <col min="14641" max="14641" width="11.7109375" style="2" customWidth="1"/>
    <col min="14642" max="14642" width="26.28515625" style="2" customWidth="1"/>
    <col min="14643" max="14643" width="9" style="2" customWidth="1"/>
    <col min="14644" max="14644" width="6.28515625" style="2" customWidth="1"/>
    <col min="14645" max="14646" width="7.28515625" style="2" customWidth="1"/>
    <col min="14647" max="14647" width="8.42578125" style="2" customWidth="1"/>
    <col min="14648" max="14648" width="9.5703125" style="2" customWidth="1"/>
    <col min="14649" max="14649" width="6.28515625" style="2" customWidth="1"/>
    <col min="14650" max="14650" width="5.85546875" style="2" customWidth="1"/>
    <col min="14651" max="14652" width="4.42578125" style="2" customWidth="1"/>
    <col min="14653" max="14653" width="5" style="2" customWidth="1"/>
    <col min="14654" max="14654" width="5.85546875" style="2" customWidth="1"/>
    <col min="14655" max="14655" width="6.140625" style="2" customWidth="1"/>
    <col min="14656" max="14656" width="6.28515625" style="2" customWidth="1"/>
    <col min="14657" max="14657" width="11.140625" style="2" customWidth="1"/>
    <col min="14658" max="14658" width="14.140625" style="2" customWidth="1"/>
    <col min="14659" max="14659" width="19.85546875" style="2" customWidth="1"/>
    <col min="14660" max="14660" width="17" style="2" customWidth="1"/>
    <col min="14661" max="14661" width="20.85546875" style="2" customWidth="1"/>
    <col min="14662" max="14874" width="11.42578125" style="2"/>
    <col min="14875" max="14875" width="13.140625" style="2" customWidth="1"/>
    <col min="14876" max="14876" width="4" style="2" customWidth="1"/>
    <col min="14877" max="14877" width="12.85546875" style="2" customWidth="1"/>
    <col min="14878" max="14878" width="14.7109375" style="2" customWidth="1"/>
    <col min="14879" max="14879" width="10" style="2" customWidth="1"/>
    <col min="14880" max="14880" width="6.28515625" style="2" customWidth="1"/>
    <col min="14881" max="14881" width="12.28515625" style="2" customWidth="1"/>
    <col min="14882" max="14882" width="8.5703125" style="2" customWidth="1"/>
    <col min="14883" max="14883" width="13.7109375" style="2" customWidth="1"/>
    <col min="14884" max="14884" width="11.5703125" style="2" customWidth="1"/>
    <col min="14885" max="14885" width="34.28515625" style="2" customWidth="1"/>
    <col min="14886" max="14886" width="24.28515625" style="2" customWidth="1"/>
    <col min="14887" max="14887" width="21.140625" style="2" customWidth="1"/>
    <col min="14888" max="14888" width="22.140625" style="2" customWidth="1"/>
    <col min="14889" max="14889" width="8" style="2" customWidth="1"/>
    <col min="14890" max="14890" width="17" style="2" customWidth="1"/>
    <col min="14891" max="14891" width="12.7109375" style="2" customWidth="1"/>
    <col min="14892" max="14892" width="24.5703125" style="2" customWidth="1"/>
    <col min="14893" max="14893" width="29" style="2" customWidth="1"/>
    <col min="14894" max="14894" width="17.7109375" style="2" customWidth="1"/>
    <col min="14895" max="14895" width="36.42578125" style="2" customWidth="1"/>
    <col min="14896" max="14896" width="21.85546875" style="2" customWidth="1"/>
    <col min="14897" max="14897" width="11.7109375" style="2" customWidth="1"/>
    <col min="14898" max="14898" width="26.28515625" style="2" customWidth="1"/>
    <col min="14899" max="14899" width="9" style="2" customWidth="1"/>
    <col min="14900" max="14900" width="6.28515625" style="2" customWidth="1"/>
    <col min="14901" max="14902" width="7.28515625" style="2" customWidth="1"/>
    <col min="14903" max="14903" width="8.42578125" style="2" customWidth="1"/>
    <col min="14904" max="14904" width="9.5703125" style="2" customWidth="1"/>
    <col min="14905" max="14905" width="6.28515625" style="2" customWidth="1"/>
    <col min="14906" max="14906" width="5.85546875" style="2" customWidth="1"/>
    <col min="14907" max="14908" width="4.42578125" style="2" customWidth="1"/>
    <col min="14909" max="14909" width="5" style="2" customWidth="1"/>
    <col min="14910" max="14910" width="5.85546875" style="2" customWidth="1"/>
    <col min="14911" max="14911" width="6.140625" style="2" customWidth="1"/>
    <col min="14912" max="14912" width="6.28515625" style="2" customWidth="1"/>
    <col min="14913" max="14913" width="11.140625" style="2" customWidth="1"/>
    <col min="14914" max="14914" width="14.140625" style="2" customWidth="1"/>
    <col min="14915" max="14915" width="19.85546875" style="2" customWidth="1"/>
    <col min="14916" max="14916" width="17" style="2" customWidth="1"/>
    <col min="14917" max="14917" width="20.85546875" style="2" customWidth="1"/>
    <col min="14918" max="15130" width="11.42578125" style="2"/>
    <col min="15131" max="15131" width="13.140625" style="2" customWidth="1"/>
    <col min="15132" max="15132" width="4" style="2" customWidth="1"/>
    <col min="15133" max="15133" width="12.85546875" style="2" customWidth="1"/>
    <col min="15134" max="15134" width="14.7109375" style="2" customWidth="1"/>
    <col min="15135" max="15135" width="10" style="2" customWidth="1"/>
    <col min="15136" max="15136" width="6.28515625" style="2" customWidth="1"/>
    <col min="15137" max="15137" width="12.28515625" style="2" customWidth="1"/>
    <col min="15138" max="15138" width="8.5703125" style="2" customWidth="1"/>
    <col min="15139" max="15139" width="13.7109375" style="2" customWidth="1"/>
    <col min="15140" max="15140" width="11.5703125" style="2" customWidth="1"/>
    <col min="15141" max="15141" width="34.28515625" style="2" customWidth="1"/>
    <col min="15142" max="15142" width="24.28515625" style="2" customWidth="1"/>
    <col min="15143" max="15143" width="21.140625" style="2" customWidth="1"/>
    <col min="15144" max="15144" width="22.140625" style="2" customWidth="1"/>
    <col min="15145" max="15145" width="8" style="2" customWidth="1"/>
    <col min="15146" max="15146" width="17" style="2" customWidth="1"/>
    <col min="15147" max="15147" width="12.7109375" style="2" customWidth="1"/>
    <col min="15148" max="15148" width="24.5703125" style="2" customWidth="1"/>
    <col min="15149" max="15149" width="29" style="2" customWidth="1"/>
    <col min="15150" max="15150" width="17.7109375" style="2" customWidth="1"/>
    <col min="15151" max="15151" width="36.42578125" style="2" customWidth="1"/>
    <col min="15152" max="15152" width="21.85546875" style="2" customWidth="1"/>
    <col min="15153" max="15153" width="11.7109375" style="2" customWidth="1"/>
    <col min="15154" max="15154" width="26.28515625" style="2" customWidth="1"/>
    <col min="15155" max="15155" width="9" style="2" customWidth="1"/>
    <col min="15156" max="15156" width="6.28515625" style="2" customWidth="1"/>
    <col min="15157" max="15158" width="7.28515625" style="2" customWidth="1"/>
    <col min="15159" max="15159" width="8.42578125" style="2" customWidth="1"/>
    <col min="15160" max="15160" width="9.5703125" style="2" customWidth="1"/>
    <col min="15161" max="15161" width="6.28515625" style="2" customWidth="1"/>
    <col min="15162" max="15162" width="5.85546875" style="2" customWidth="1"/>
    <col min="15163" max="15164" width="4.42578125" style="2" customWidth="1"/>
    <col min="15165" max="15165" width="5" style="2" customWidth="1"/>
    <col min="15166" max="15166" width="5.85546875" style="2" customWidth="1"/>
    <col min="15167" max="15167" width="6.140625" style="2" customWidth="1"/>
    <col min="15168" max="15168" width="6.28515625" style="2" customWidth="1"/>
    <col min="15169" max="15169" width="11.140625" style="2" customWidth="1"/>
    <col min="15170" max="15170" width="14.140625" style="2" customWidth="1"/>
    <col min="15171" max="15171" width="19.85546875" style="2" customWidth="1"/>
    <col min="15172" max="15172" width="17" style="2" customWidth="1"/>
    <col min="15173" max="15173" width="20.85546875" style="2" customWidth="1"/>
    <col min="15174" max="15386" width="11.42578125" style="2"/>
    <col min="15387" max="15387" width="13.140625" style="2" customWidth="1"/>
    <col min="15388" max="15388" width="4" style="2" customWidth="1"/>
    <col min="15389" max="15389" width="12.85546875" style="2" customWidth="1"/>
    <col min="15390" max="15390" width="14.7109375" style="2" customWidth="1"/>
    <col min="15391" max="15391" width="10" style="2" customWidth="1"/>
    <col min="15392" max="15392" width="6.28515625" style="2" customWidth="1"/>
    <col min="15393" max="15393" width="12.28515625" style="2" customWidth="1"/>
    <col min="15394" max="15394" width="8.5703125" style="2" customWidth="1"/>
    <col min="15395" max="15395" width="13.7109375" style="2" customWidth="1"/>
    <col min="15396" max="15396" width="11.5703125" style="2" customWidth="1"/>
    <col min="15397" max="15397" width="34.28515625" style="2" customWidth="1"/>
    <col min="15398" max="15398" width="24.28515625" style="2" customWidth="1"/>
    <col min="15399" max="15399" width="21.140625" style="2" customWidth="1"/>
    <col min="15400" max="15400" width="22.140625" style="2" customWidth="1"/>
    <col min="15401" max="15401" width="8" style="2" customWidth="1"/>
    <col min="15402" max="15402" width="17" style="2" customWidth="1"/>
    <col min="15403" max="15403" width="12.7109375" style="2" customWidth="1"/>
    <col min="15404" max="15404" width="24.5703125" style="2" customWidth="1"/>
    <col min="15405" max="15405" width="29" style="2" customWidth="1"/>
    <col min="15406" max="15406" width="17.7109375" style="2" customWidth="1"/>
    <col min="15407" max="15407" width="36.42578125" style="2" customWidth="1"/>
    <col min="15408" max="15408" width="21.85546875" style="2" customWidth="1"/>
    <col min="15409" max="15409" width="11.7109375" style="2" customWidth="1"/>
    <col min="15410" max="15410" width="26.28515625" style="2" customWidth="1"/>
    <col min="15411" max="15411" width="9" style="2" customWidth="1"/>
    <col min="15412" max="15412" width="6.28515625" style="2" customWidth="1"/>
    <col min="15413" max="15414" width="7.28515625" style="2" customWidth="1"/>
    <col min="15415" max="15415" width="8.42578125" style="2" customWidth="1"/>
    <col min="15416" max="15416" width="9.5703125" style="2" customWidth="1"/>
    <col min="15417" max="15417" width="6.28515625" style="2" customWidth="1"/>
    <col min="15418" max="15418" width="5.85546875" style="2" customWidth="1"/>
    <col min="15419" max="15420" width="4.42578125" style="2" customWidth="1"/>
    <col min="15421" max="15421" width="5" style="2" customWidth="1"/>
    <col min="15422" max="15422" width="5.85546875" style="2" customWidth="1"/>
    <col min="15423" max="15423" width="6.140625" style="2" customWidth="1"/>
    <col min="15424" max="15424" width="6.28515625" style="2" customWidth="1"/>
    <col min="15425" max="15425" width="11.140625" style="2" customWidth="1"/>
    <col min="15426" max="15426" width="14.140625" style="2" customWidth="1"/>
    <col min="15427" max="15427" width="19.85546875" style="2" customWidth="1"/>
    <col min="15428" max="15428" width="17" style="2" customWidth="1"/>
    <col min="15429" max="15429" width="20.85546875" style="2" customWidth="1"/>
    <col min="15430" max="15642" width="11.42578125" style="2"/>
    <col min="15643" max="15643" width="13.140625" style="2" customWidth="1"/>
    <col min="15644" max="15644" width="4" style="2" customWidth="1"/>
    <col min="15645" max="15645" width="12.85546875" style="2" customWidth="1"/>
    <col min="15646" max="15646" width="14.7109375" style="2" customWidth="1"/>
    <col min="15647" max="15647" width="10" style="2" customWidth="1"/>
    <col min="15648" max="15648" width="6.28515625" style="2" customWidth="1"/>
    <col min="15649" max="15649" width="12.28515625" style="2" customWidth="1"/>
    <col min="15650" max="15650" width="8.5703125" style="2" customWidth="1"/>
    <col min="15651" max="15651" width="13.7109375" style="2" customWidth="1"/>
    <col min="15652" max="15652" width="11.5703125" style="2" customWidth="1"/>
    <col min="15653" max="15653" width="34.28515625" style="2" customWidth="1"/>
    <col min="15654" max="15654" width="24.28515625" style="2" customWidth="1"/>
    <col min="15655" max="15655" width="21.140625" style="2" customWidth="1"/>
    <col min="15656" max="15656" width="22.140625" style="2" customWidth="1"/>
    <col min="15657" max="15657" width="8" style="2" customWidth="1"/>
    <col min="15658" max="15658" width="17" style="2" customWidth="1"/>
    <col min="15659" max="15659" width="12.7109375" style="2" customWidth="1"/>
    <col min="15660" max="15660" width="24.5703125" style="2" customWidth="1"/>
    <col min="15661" max="15661" width="29" style="2" customWidth="1"/>
    <col min="15662" max="15662" width="17.7109375" style="2" customWidth="1"/>
    <col min="15663" max="15663" width="36.42578125" style="2" customWidth="1"/>
    <col min="15664" max="15664" width="21.85546875" style="2" customWidth="1"/>
    <col min="15665" max="15665" width="11.7109375" style="2" customWidth="1"/>
    <col min="15666" max="15666" width="26.28515625" style="2" customWidth="1"/>
    <col min="15667" max="15667" width="9" style="2" customWidth="1"/>
    <col min="15668" max="15668" width="6.28515625" style="2" customWidth="1"/>
    <col min="15669" max="15670" width="7.28515625" style="2" customWidth="1"/>
    <col min="15671" max="15671" width="8.42578125" style="2" customWidth="1"/>
    <col min="15672" max="15672" width="9.5703125" style="2" customWidth="1"/>
    <col min="15673" max="15673" width="6.28515625" style="2" customWidth="1"/>
    <col min="15674" max="15674" width="5.85546875" style="2" customWidth="1"/>
    <col min="15675" max="15676" width="4.42578125" style="2" customWidth="1"/>
    <col min="15677" max="15677" width="5" style="2" customWidth="1"/>
    <col min="15678" max="15678" width="5.85546875" style="2" customWidth="1"/>
    <col min="15679" max="15679" width="6.140625" style="2" customWidth="1"/>
    <col min="15680" max="15680" width="6.28515625" style="2" customWidth="1"/>
    <col min="15681" max="15681" width="11.140625" style="2" customWidth="1"/>
    <col min="15682" max="15682" width="14.140625" style="2" customWidth="1"/>
    <col min="15683" max="15683" width="19.85546875" style="2" customWidth="1"/>
    <col min="15684" max="15684" width="17" style="2" customWidth="1"/>
    <col min="15685" max="15685" width="20.85546875" style="2" customWidth="1"/>
    <col min="15686" max="15898" width="11.42578125" style="2"/>
    <col min="15899" max="15899" width="13.140625" style="2" customWidth="1"/>
    <col min="15900" max="15900" width="4" style="2" customWidth="1"/>
    <col min="15901" max="15901" width="12.85546875" style="2" customWidth="1"/>
    <col min="15902" max="15902" width="14.7109375" style="2" customWidth="1"/>
    <col min="15903" max="15903" width="10" style="2" customWidth="1"/>
    <col min="15904" max="15904" width="6.28515625" style="2" customWidth="1"/>
    <col min="15905" max="15905" width="12.28515625" style="2" customWidth="1"/>
    <col min="15906" max="15906" width="8.5703125" style="2" customWidth="1"/>
    <col min="15907" max="15907" width="13.7109375" style="2" customWidth="1"/>
    <col min="15908" max="15908" width="11.5703125" style="2" customWidth="1"/>
    <col min="15909" max="15909" width="34.28515625" style="2" customWidth="1"/>
    <col min="15910" max="15910" width="24.28515625" style="2" customWidth="1"/>
    <col min="15911" max="15911" width="21.140625" style="2" customWidth="1"/>
    <col min="15912" max="15912" width="22.140625" style="2" customWidth="1"/>
    <col min="15913" max="15913" width="8" style="2" customWidth="1"/>
    <col min="15914" max="15914" width="17" style="2" customWidth="1"/>
    <col min="15915" max="15915" width="12.7109375" style="2" customWidth="1"/>
    <col min="15916" max="15916" width="24.5703125" style="2" customWidth="1"/>
    <col min="15917" max="15917" width="29" style="2" customWidth="1"/>
    <col min="15918" max="15918" width="17.7109375" style="2" customWidth="1"/>
    <col min="15919" max="15919" width="36.42578125" style="2" customWidth="1"/>
    <col min="15920" max="15920" width="21.85546875" style="2" customWidth="1"/>
    <col min="15921" max="15921" width="11.7109375" style="2" customWidth="1"/>
    <col min="15922" max="15922" width="26.28515625" style="2" customWidth="1"/>
    <col min="15923" max="15923" width="9" style="2" customWidth="1"/>
    <col min="15924" max="15924" width="6.28515625" style="2" customWidth="1"/>
    <col min="15925" max="15926" width="7.28515625" style="2" customWidth="1"/>
    <col min="15927" max="15927" width="8.42578125" style="2" customWidth="1"/>
    <col min="15928" max="15928" width="9.5703125" style="2" customWidth="1"/>
    <col min="15929" max="15929" width="6.28515625" style="2" customWidth="1"/>
    <col min="15930" max="15930" width="5.85546875" style="2" customWidth="1"/>
    <col min="15931" max="15932" width="4.42578125" style="2" customWidth="1"/>
    <col min="15933" max="15933" width="5" style="2" customWidth="1"/>
    <col min="15934" max="15934" width="5.85546875" style="2" customWidth="1"/>
    <col min="15935" max="15935" width="6.140625" style="2" customWidth="1"/>
    <col min="15936" max="15936" width="6.28515625" style="2" customWidth="1"/>
    <col min="15937" max="15937" width="11.140625" style="2" customWidth="1"/>
    <col min="15938" max="15938" width="14.140625" style="2" customWidth="1"/>
    <col min="15939" max="15939" width="19.85546875" style="2" customWidth="1"/>
    <col min="15940" max="15940" width="17" style="2" customWidth="1"/>
    <col min="15941" max="15941" width="20.85546875" style="2" customWidth="1"/>
    <col min="15942" max="16154" width="11.42578125" style="2"/>
    <col min="16155" max="16155" width="13.140625" style="2" customWidth="1"/>
    <col min="16156" max="16156" width="4" style="2" customWidth="1"/>
    <col min="16157" max="16157" width="12.85546875" style="2" customWidth="1"/>
    <col min="16158" max="16158" width="14.7109375" style="2" customWidth="1"/>
    <col min="16159" max="16159" width="10" style="2" customWidth="1"/>
    <col min="16160" max="16160" width="6.28515625" style="2" customWidth="1"/>
    <col min="16161" max="16161" width="12.28515625" style="2" customWidth="1"/>
    <col min="16162" max="16162" width="8.5703125" style="2" customWidth="1"/>
    <col min="16163" max="16163" width="13.7109375" style="2" customWidth="1"/>
    <col min="16164" max="16164" width="11.5703125" style="2" customWidth="1"/>
    <col min="16165" max="16165" width="34.28515625" style="2" customWidth="1"/>
    <col min="16166" max="16166" width="24.28515625" style="2" customWidth="1"/>
    <col min="16167" max="16167" width="21.140625" style="2" customWidth="1"/>
    <col min="16168" max="16168" width="22.140625" style="2" customWidth="1"/>
    <col min="16169" max="16169" width="8" style="2" customWidth="1"/>
    <col min="16170" max="16170" width="17" style="2" customWidth="1"/>
    <col min="16171" max="16171" width="12.7109375" style="2" customWidth="1"/>
    <col min="16172" max="16172" width="24.5703125" style="2" customWidth="1"/>
    <col min="16173" max="16173" width="29" style="2" customWidth="1"/>
    <col min="16174" max="16174" width="17.7109375" style="2" customWidth="1"/>
    <col min="16175" max="16175" width="36.42578125" style="2" customWidth="1"/>
    <col min="16176" max="16176" width="21.85546875" style="2" customWidth="1"/>
    <col min="16177" max="16177" width="11.7109375" style="2" customWidth="1"/>
    <col min="16178" max="16178" width="26.28515625" style="2" customWidth="1"/>
    <col min="16179" max="16179" width="9" style="2" customWidth="1"/>
    <col min="16180" max="16180" width="6.28515625" style="2" customWidth="1"/>
    <col min="16181" max="16182" width="7.28515625" style="2" customWidth="1"/>
    <col min="16183" max="16183" width="8.42578125" style="2" customWidth="1"/>
    <col min="16184" max="16184" width="9.5703125" style="2" customWidth="1"/>
    <col min="16185" max="16185" width="6.28515625" style="2" customWidth="1"/>
    <col min="16186" max="16186" width="5.85546875" style="2" customWidth="1"/>
    <col min="16187" max="16188" width="4.42578125" style="2" customWidth="1"/>
    <col min="16189" max="16189" width="5" style="2" customWidth="1"/>
    <col min="16190" max="16190" width="5.85546875" style="2" customWidth="1"/>
    <col min="16191" max="16191" width="6.140625" style="2" customWidth="1"/>
    <col min="16192" max="16192" width="6.28515625" style="2" customWidth="1"/>
    <col min="16193" max="16193" width="11.140625" style="2" customWidth="1"/>
    <col min="16194" max="16194" width="14.140625" style="2" customWidth="1"/>
    <col min="16195" max="16195" width="19.85546875" style="2" customWidth="1"/>
    <col min="16196" max="16196" width="17" style="2" customWidth="1"/>
    <col min="16197" max="16197" width="20.85546875" style="2" customWidth="1"/>
    <col min="16198" max="16384" width="11.42578125" style="2"/>
  </cols>
  <sheetData>
    <row r="1" spans="1:89" ht="21" customHeight="1" x14ac:dyDescent="0.25">
      <c r="A1" s="3050" t="s">
        <v>1089</v>
      </c>
      <c r="B1" s="3051"/>
      <c r="C1" s="3051"/>
      <c r="D1" s="3051"/>
      <c r="E1" s="3051"/>
      <c r="F1" s="3051"/>
      <c r="G1" s="3051"/>
      <c r="H1" s="3051"/>
      <c r="I1" s="3051"/>
      <c r="J1" s="3051"/>
      <c r="K1" s="3051"/>
      <c r="L1" s="3051"/>
      <c r="M1" s="3051"/>
      <c r="N1" s="3051"/>
      <c r="O1" s="3051"/>
      <c r="P1" s="3051"/>
      <c r="Q1" s="3051"/>
      <c r="R1" s="3051"/>
      <c r="S1" s="3051"/>
      <c r="T1" s="3051"/>
      <c r="U1" s="3051"/>
      <c r="V1" s="3051"/>
      <c r="W1" s="3051"/>
      <c r="X1" s="3051"/>
      <c r="Y1" s="3051"/>
      <c r="Z1" s="3051"/>
      <c r="AA1" s="3051"/>
      <c r="AB1" s="3051"/>
      <c r="AC1" s="3051"/>
      <c r="AD1" s="3051"/>
      <c r="AE1" s="3051"/>
      <c r="AF1" s="3051"/>
      <c r="AG1" s="3051"/>
      <c r="AH1" s="3051"/>
      <c r="AI1" s="3051"/>
      <c r="AJ1" s="3051"/>
      <c r="AK1" s="3051"/>
      <c r="AL1" s="3051"/>
      <c r="AM1" s="3051"/>
      <c r="AN1" s="3051"/>
      <c r="AO1" s="3051"/>
      <c r="AP1" s="3051"/>
      <c r="AQ1" s="3051"/>
      <c r="AR1" s="3051"/>
      <c r="AS1" s="3051"/>
      <c r="AT1" s="3051"/>
      <c r="AU1" s="3051"/>
      <c r="AV1" s="3051"/>
      <c r="AW1" s="3051"/>
      <c r="AX1" s="3051"/>
      <c r="AY1" s="3051"/>
      <c r="AZ1" s="3051"/>
      <c r="BA1" s="3051"/>
      <c r="BB1" s="3051"/>
      <c r="BC1" s="3051"/>
      <c r="BD1" s="3051"/>
      <c r="BE1" s="3051"/>
      <c r="BF1" s="3051"/>
      <c r="BG1" s="3051"/>
      <c r="BH1" s="3051"/>
      <c r="BI1" s="3051"/>
      <c r="BJ1" s="3051"/>
      <c r="BK1" s="3051"/>
      <c r="BL1" s="3051"/>
      <c r="BM1" s="3051"/>
      <c r="BN1" s="3051"/>
      <c r="BO1" s="3051"/>
      <c r="BP1" s="4098"/>
      <c r="BQ1" s="1261" t="s">
        <v>1</v>
      </c>
      <c r="BR1" s="1262" t="s">
        <v>2</v>
      </c>
    </row>
    <row r="2" spans="1:89" ht="21" customHeight="1" x14ac:dyDescent="0.25">
      <c r="A2" s="3050"/>
      <c r="B2" s="3051"/>
      <c r="C2" s="3051"/>
      <c r="D2" s="3051"/>
      <c r="E2" s="3051"/>
      <c r="F2" s="3051"/>
      <c r="G2" s="3051"/>
      <c r="H2" s="3051"/>
      <c r="I2" s="3051"/>
      <c r="J2" s="3051"/>
      <c r="K2" s="3051"/>
      <c r="L2" s="3051"/>
      <c r="M2" s="3051"/>
      <c r="N2" s="3051"/>
      <c r="O2" s="3051"/>
      <c r="P2" s="3051"/>
      <c r="Q2" s="3051"/>
      <c r="R2" s="3051"/>
      <c r="S2" s="3051"/>
      <c r="T2" s="3051"/>
      <c r="U2" s="3051"/>
      <c r="V2" s="3051"/>
      <c r="W2" s="3051"/>
      <c r="X2" s="3051"/>
      <c r="Y2" s="3051"/>
      <c r="Z2" s="3051"/>
      <c r="AA2" s="3051"/>
      <c r="AB2" s="3051"/>
      <c r="AC2" s="3051"/>
      <c r="AD2" s="3051"/>
      <c r="AE2" s="3051"/>
      <c r="AF2" s="3051"/>
      <c r="AG2" s="3051"/>
      <c r="AH2" s="3051"/>
      <c r="AI2" s="3051"/>
      <c r="AJ2" s="3051"/>
      <c r="AK2" s="3051"/>
      <c r="AL2" s="3051"/>
      <c r="AM2" s="3051"/>
      <c r="AN2" s="3051"/>
      <c r="AO2" s="3051"/>
      <c r="AP2" s="3051"/>
      <c r="AQ2" s="3051"/>
      <c r="AR2" s="3051"/>
      <c r="AS2" s="3051"/>
      <c r="AT2" s="3051"/>
      <c r="AU2" s="3051"/>
      <c r="AV2" s="3051"/>
      <c r="AW2" s="3051"/>
      <c r="AX2" s="3051"/>
      <c r="AY2" s="3051"/>
      <c r="AZ2" s="3051"/>
      <c r="BA2" s="3051"/>
      <c r="BB2" s="3051"/>
      <c r="BC2" s="3051"/>
      <c r="BD2" s="3051"/>
      <c r="BE2" s="3051"/>
      <c r="BF2" s="3051"/>
      <c r="BG2" s="3051"/>
      <c r="BH2" s="3051"/>
      <c r="BI2" s="3051"/>
      <c r="BJ2" s="3051"/>
      <c r="BK2" s="3051"/>
      <c r="BL2" s="3051"/>
      <c r="BM2" s="3051"/>
      <c r="BN2" s="3051"/>
      <c r="BO2" s="3051"/>
      <c r="BP2" s="4098"/>
      <c r="BQ2" s="4" t="s">
        <v>3</v>
      </c>
      <c r="BR2" s="1263">
        <v>6</v>
      </c>
    </row>
    <row r="3" spans="1:89" ht="21" customHeight="1" x14ac:dyDescent="0.25">
      <c r="A3" s="3050"/>
      <c r="B3" s="3051"/>
      <c r="C3" s="3051"/>
      <c r="D3" s="3051"/>
      <c r="E3" s="3051"/>
      <c r="F3" s="3051"/>
      <c r="G3" s="3051"/>
      <c r="H3" s="3051"/>
      <c r="I3" s="3051"/>
      <c r="J3" s="3051"/>
      <c r="K3" s="3051"/>
      <c r="L3" s="3051"/>
      <c r="M3" s="3051"/>
      <c r="N3" s="3051"/>
      <c r="O3" s="3051"/>
      <c r="P3" s="3051"/>
      <c r="Q3" s="3051"/>
      <c r="R3" s="3051"/>
      <c r="S3" s="3051"/>
      <c r="T3" s="3051"/>
      <c r="U3" s="3051"/>
      <c r="V3" s="3051"/>
      <c r="W3" s="3051"/>
      <c r="X3" s="3051"/>
      <c r="Y3" s="3051"/>
      <c r="Z3" s="3051"/>
      <c r="AA3" s="3051"/>
      <c r="AB3" s="3051"/>
      <c r="AC3" s="3051"/>
      <c r="AD3" s="3051"/>
      <c r="AE3" s="3051"/>
      <c r="AF3" s="3051"/>
      <c r="AG3" s="3051"/>
      <c r="AH3" s="3051"/>
      <c r="AI3" s="3051"/>
      <c r="AJ3" s="3051"/>
      <c r="AK3" s="3051"/>
      <c r="AL3" s="3051"/>
      <c r="AM3" s="3051"/>
      <c r="AN3" s="3051"/>
      <c r="AO3" s="3051"/>
      <c r="AP3" s="3051"/>
      <c r="AQ3" s="3051"/>
      <c r="AR3" s="3051"/>
      <c r="AS3" s="3051"/>
      <c r="AT3" s="3051"/>
      <c r="AU3" s="3051"/>
      <c r="AV3" s="3051"/>
      <c r="AW3" s="3051"/>
      <c r="AX3" s="3051"/>
      <c r="AY3" s="3051"/>
      <c r="AZ3" s="3051"/>
      <c r="BA3" s="3051"/>
      <c r="BB3" s="3051"/>
      <c r="BC3" s="3051"/>
      <c r="BD3" s="3051"/>
      <c r="BE3" s="3051"/>
      <c r="BF3" s="3051"/>
      <c r="BG3" s="3051"/>
      <c r="BH3" s="3051"/>
      <c r="BI3" s="3051"/>
      <c r="BJ3" s="3051"/>
      <c r="BK3" s="3051"/>
      <c r="BL3" s="3051"/>
      <c r="BM3" s="3051"/>
      <c r="BN3" s="3051"/>
      <c r="BO3" s="3051"/>
      <c r="BP3" s="4098"/>
      <c r="BQ3" s="3" t="s">
        <v>4</v>
      </c>
      <c r="BR3" s="1264" t="s">
        <v>5</v>
      </c>
    </row>
    <row r="4" spans="1:89" s="8" customFormat="1" ht="21" customHeight="1" x14ac:dyDescent="0.2">
      <c r="A4" s="3052"/>
      <c r="B4" s="3053"/>
      <c r="C4" s="3053"/>
      <c r="D4" s="3053"/>
      <c r="E4" s="3053"/>
      <c r="F4" s="3053"/>
      <c r="G4" s="3053"/>
      <c r="H4" s="3053"/>
      <c r="I4" s="3053"/>
      <c r="J4" s="3053"/>
      <c r="K4" s="3053"/>
      <c r="L4" s="3053"/>
      <c r="M4" s="3053"/>
      <c r="N4" s="3053"/>
      <c r="O4" s="3053"/>
      <c r="P4" s="3053"/>
      <c r="Q4" s="3053"/>
      <c r="R4" s="3053"/>
      <c r="S4" s="3053"/>
      <c r="T4" s="3053"/>
      <c r="U4" s="3053"/>
      <c r="V4" s="3053"/>
      <c r="W4" s="3053"/>
      <c r="X4" s="3053"/>
      <c r="Y4" s="3053"/>
      <c r="Z4" s="3053"/>
      <c r="AA4" s="3053"/>
      <c r="AB4" s="3053"/>
      <c r="AC4" s="3053"/>
      <c r="AD4" s="3053"/>
      <c r="AE4" s="3053"/>
      <c r="AF4" s="3053"/>
      <c r="AG4" s="3053"/>
      <c r="AH4" s="3053"/>
      <c r="AI4" s="3053"/>
      <c r="AJ4" s="3053"/>
      <c r="AK4" s="3053"/>
      <c r="AL4" s="3053"/>
      <c r="AM4" s="3053"/>
      <c r="AN4" s="3053"/>
      <c r="AO4" s="3053"/>
      <c r="AP4" s="3053"/>
      <c r="AQ4" s="3053"/>
      <c r="AR4" s="3053"/>
      <c r="AS4" s="3053"/>
      <c r="AT4" s="3053"/>
      <c r="AU4" s="3053"/>
      <c r="AV4" s="3053"/>
      <c r="AW4" s="3053"/>
      <c r="AX4" s="3053"/>
      <c r="AY4" s="3053"/>
      <c r="AZ4" s="3053"/>
      <c r="BA4" s="3053"/>
      <c r="BB4" s="3053"/>
      <c r="BC4" s="3053"/>
      <c r="BD4" s="3053"/>
      <c r="BE4" s="3053"/>
      <c r="BF4" s="3053"/>
      <c r="BG4" s="3053"/>
      <c r="BH4" s="3053"/>
      <c r="BI4" s="3053"/>
      <c r="BJ4" s="3053"/>
      <c r="BK4" s="3053"/>
      <c r="BL4" s="3053"/>
      <c r="BM4" s="3053"/>
      <c r="BN4" s="3053"/>
      <c r="BO4" s="3053"/>
      <c r="BP4" s="4099"/>
      <c r="BQ4" s="9" t="s">
        <v>6</v>
      </c>
      <c r="BR4" s="1265" t="s">
        <v>7</v>
      </c>
    </row>
    <row r="5" spans="1:89" ht="21" customHeight="1" x14ac:dyDescent="0.2">
      <c r="A5" s="3054" t="s">
        <v>8</v>
      </c>
      <c r="B5" s="3055"/>
      <c r="C5" s="3055"/>
      <c r="D5" s="3055"/>
      <c r="E5" s="3055"/>
      <c r="F5" s="3055"/>
      <c r="G5" s="3055"/>
      <c r="H5" s="3055"/>
      <c r="I5" s="3055"/>
      <c r="J5" s="3055"/>
      <c r="K5" s="3055"/>
      <c r="L5" s="3055"/>
      <c r="M5" s="3055"/>
      <c r="N5" s="4770"/>
      <c r="O5" s="3059" t="s">
        <v>9</v>
      </c>
      <c r="P5" s="4771"/>
      <c r="Q5" s="4771"/>
      <c r="R5" s="4771"/>
      <c r="S5" s="4771"/>
      <c r="T5" s="4771"/>
      <c r="U5" s="4771"/>
      <c r="V5" s="4771"/>
      <c r="W5" s="4771"/>
      <c r="X5" s="4771"/>
      <c r="Y5" s="4771"/>
      <c r="Z5" s="4771"/>
      <c r="AA5" s="4771"/>
      <c r="AB5" s="4771"/>
      <c r="AC5" s="4771"/>
      <c r="AD5" s="4771"/>
      <c r="AE5" s="4771"/>
      <c r="AF5" s="4771"/>
      <c r="AG5" s="4771"/>
      <c r="AH5" s="4771"/>
      <c r="AI5" s="4771"/>
      <c r="AJ5" s="4771"/>
      <c r="AK5" s="4771"/>
      <c r="AL5" s="4771"/>
      <c r="AM5" s="4771"/>
      <c r="AN5" s="4771"/>
      <c r="AO5" s="4771"/>
      <c r="AP5" s="4771"/>
      <c r="AQ5" s="4771"/>
      <c r="AR5" s="4771"/>
      <c r="AS5" s="4771"/>
      <c r="AT5" s="4771"/>
      <c r="AU5" s="4771"/>
      <c r="AV5" s="4771"/>
      <c r="AW5" s="4771"/>
      <c r="AX5" s="4771"/>
      <c r="AY5" s="4771"/>
      <c r="AZ5" s="4771"/>
      <c r="BA5" s="4771"/>
      <c r="BB5" s="4771"/>
      <c r="BC5" s="4771"/>
      <c r="BD5" s="4771"/>
      <c r="BE5" s="4771"/>
      <c r="BF5" s="4771"/>
      <c r="BG5" s="4771"/>
      <c r="BH5" s="4771"/>
      <c r="BI5" s="4771"/>
      <c r="BJ5" s="4771"/>
      <c r="BK5" s="4771"/>
      <c r="BL5" s="4771"/>
      <c r="BM5" s="4771"/>
      <c r="BN5" s="4771"/>
      <c r="BO5" s="4771"/>
      <c r="BP5" s="4771"/>
      <c r="BQ5" s="4771"/>
      <c r="BR5" s="4772"/>
    </row>
    <row r="6" spans="1:89" ht="21" customHeight="1" thickBot="1" x14ac:dyDescent="0.25">
      <c r="A6" s="3056"/>
      <c r="B6" s="3057"/>
      <c r="C6" s="3057"/>
      <c r="D6" s="3057"/>
      <c r="E6" s="3057"/>
      <c r="F6" s="3057"/>
      <c r="G6" s="3057"/>
      <c r="H6" s="3057"/>
      <c r="I6" s="3057"/>
      <c r="J6" s="3057"/>
      <c r="K6" s="3057"/>
      <c r="L6" s="3057"/>
      <c r="M6" s="3057"/>
      <c r="N6" s="3062"/>
      <c r="O6" s="3059"/>
      <c r="P6" s="4771"/>
      <c r="Q6" s="4771"/>
      <c r="R6" s="4771"/>
      <c r="S6" s="4771"/>
      <c r="T6" s="4771"/>
      <c r="U6" s="4771"/>
      <c r="V6" s="4771"/>
      <c r="W6" s="4771"/>
      <c r="X6" s="4771"/>
      <c r="Y6" s="4771"/>
      <c r="Z6" s="4771"/>
      <c r="AA6" s="4773"/>
      <c r="AB6" s="1266"/>
      <c r="AC6" s="1266"/>
      <c r="AD6" s="1266"/>
      <c r="AE6" s="1266"/>
      <c r="AF6" s="1266"/>
      <c r="AG6" s="1266"/>
      <c r="AH6" s="1266"/>
      <c r="AI6" s="1266"/>
      <c r="AJ6" s="1266"/>
      <c r="AK6" s="1266"/>
      <c r="AL6" s="1266"/>
      <c r="AM6" s="1266"/>
      <c r="AN6" s="1266"/>
      <c r="AO6" s="1266"/>
      <c r="AP6" s="1266"/>
      <c r="AQ6" s="1266"/>
      <c r="AR6" s="1266"/>
      <c r="AS6" s="1266"/>
      <c r="AT6" s="1266"/>
      <c r="AU6" s="1266"/>
      <c r="AV6" s="1266"/>
      <c r="AW6" s="1266"/>
      <c r="AX6" s="1266"/>
      <c r="AY6" s="1266"/>
      <c r="AZ6" s="1266"/>
      <c r="BA6" s="1266"/>
      <c r="BB6" s="1266"/>
      <c r="BC6" s="1266"/>
      <c r="BD6" s="1266"/>
      <c r="BE6" s="1266"/>
      <c r="BF6" s="1266"/>
      <c r="BG6" s="1266"/>
      <c r="BH6" s="1266"/>
      <c r="BI6" s="1266"/>
      <c r="BJ6" s="1266"/>
      <c r="BK6" s="1267"/>
      <c r="BL6" s="1266"/>
      <c r="BM6" s="1266"/>
      <c r="BN6" s="3059"/>
      <c r="BO6" s="4771"/>
      <c r="BP6" s="4771"/>
      <c r="BQ6" s="4771"/>
      <c r="BR6" s="4772"/>
    </row>
    <row r="7" spans="1:89" ht="37.5" customHeight="1" x14ac:dyDescent="0.2">
      <c r="A7" s="4774" t="s">
        <v>10</v>
      </c>
      <c r="B7" s="3064" t="s">
        <v>11</v>
      </c>
      <c r="C7" s="3064"/>
      <c r="D7" s="3064" t="s">
        <v>10</v>
      </c>
      <c r="E7" s="3064" t="s">
        <v>12</v>
      </c>
      <c r="F7" s="3064"/>
      <c r="G7" s="3064" t="s">
        <v>10</v>
      </c>
      <c r="H7" s="3064" t="s">
        <v>13</v>
      </c>
      <c r="I7" s="3064"/>
      <c r="J7" s="3064" t="s">
        <v>10</v>
      </c>
      <c r="K7" s="3064" t="s">
        <v>14</v>
      </c>
      <c r="L7" s="3064" t="s">
        <v>15</v>
      </c>
      <c r="M7" s="4103" t="s">
        <v>16</v>
      </c>
      <c r="N7" s="4104"/>
      <c r="O7" s="3064" t="s">
        <v>17</v>
      </c>
      <c r="P7" s="4775" t="s">
        <v>18</v>
      </c>
      <c r="Q7" s="3064" t="s">
        <v>9</v>
      </c>
      <c r="R7" s="3064" t="s">
        <v>19</v>
      </c>
      <c r="S7" s="3064" t="s">
        <v>20</v>
      </c>
      <c r="T7" s="3064" t="s">
        <v>21</v>
      </c>
      <c r="U7" s="3064" t="s">
        <v>22</v>
      </c>
      <c r="V7" s="3064" t="s">
        <v>23</v>
      </c>
      <c r="W7" s="4814" t="s">
        <v>20</v>
      </c>
      <c r="X7" s="4815"/>
      <c r="Y7" s="4816"/>
      <c r="Z7" s="4775" t="s">
        <v>10</v>
      </c>
      <c r="AA7" s="3064" t="s">
        <v>24</v>
      </c>
      <c r="AB7" s="2810" t="s">
        <v>25</v>
      </c>
      <c r="AC7" s="2811"/>
      <c r="AD7" s="2811"/>
      <c r="AE7" s="4778"/>
      <c r="AF7" s="2812" t="s">
        <v>26</v>
      </c>
      <c r="AG7" s="2813"/>
      <c r="AH7" s="2813"/>
      <c r="AI7" s="2813"/>
      <c r="AJ7" s="2813"/>
      <c r="AK7" s="2813"/>
      <c r="AL7" s="2813"/>
      <c r="AM7" s="2816"/>
      <c r="AN7" s="2814" t="s">
        <v>27</v>
      </c>
      <c r="AO7" s="2815"/>
      <c r="AP7" s="2815"/>
      <c r="AQ7" s="2815"/>
      <c r="AR7" s="2815"/>
      <c r="AS7" s="2815"/>
      <c r="AT7" s="2815"/>
      <c r="AU7" s="2815"/>
      <c r="AV7" s="2815"/>
      <c r="AW7" s="2815"/>
      <c r="AX7" s="2815"/>
      <c r="AY7" s="4784"/>
      <c r="AZ7" s="2812" t="s">
        <v>28</v>
      </c>
      <c r="BA7" s="2813"/>
      <c r="BB7" s="2813"/>
      <c r="BC7" s="2813"/>
      <c r="BD7" s="2813"/>
      <c r="BE7" s="2816"/>
      <c r="BF7" s="3072" t="s">
        <v>29</v>
      </c>
      <c r="BG7" s="3073"/>
      <c r="BH7" s="4785" t="s">
        <v>30</v>
      </c>
      <c r="BI7" s="4786"/>
      <c r="BJ7" s="4786"/>
      <c r="BK7" s="4786"/>
      <c r="BL7" s="4786"/>
      <c r="BM7" s="4787"/>
      <c r="BN7" s="4788" t="s">
        <v>31</v>
      </c>
      <c r="BO7" s="4789"/>
      <c r="BP7" s="4788" t="s">
        <v>32</v>
      </c>
      <c r="BQ7" s="4789"/>
      <c r="BR7" s="4779" t="s">
        <v>33</v>
      </c>
    </row>
    <row r="8" spans="1:89" ht="61.5" customHeight="1" x14ac:dyDescent="0.2">
      <c r="A8" s="4774"/>
      <c r="B8" s="3064"/>
      <c r="C8" s="3064"/>
      <c r="D8" s="3064"/>
      <c r="E8" s="3064"/>
      <c r="F8" s="3064"/>
      <c r="G8" s="3064"/>
      <c r="H8" s="3064"/>
      <c r="I8" s="3064"/>
      <c r="J8" s="3064"/>
      <c r="K8" s="3064"/>
      <c r="L8" s="3064"/>
      <c r="M8" s="4768"/>
      <c r="N8" s="4769"/>
      <c r="O8" s="3064"/>
      <c r="P8" s="4776"/>
      <c r="Q8" s="3064"/>
      <c r="R8" s="3064"/>
      <c r="S8" s="3064"/>
      <c r="T8" s="3064"/>
      <c r="U8" s="3064"/>
      <c r="V8" s="3064"/>
      <c r="W8" s="4817"/>
      <c r="X8" s="4818"/>
      <c r="Y8" s="4819"/>
      <c r="Z8" s="4776"/>
      <c r="AA8" s="3064"/>
      <c r="AB8" s="4780" t="s">
        <v>34</v>
      </c>
      <c r="AC8" s="4780"/>
      <c r="AD8" s="4781" t="s">
        <v>35</v>
      </c>
      <c r="AE8" s="4781"/>
      <c r="AF8" s="4113" t="s">
        <v>36</v>
      </c>
      <c r="AG8" s="4782"/>
      <c r="AH8" s="4780" t="s">
        <v>37</v>
      </c>
      <c r="AI8" s="4783"/>
      <c r="AJ8" s="4113" t="s">
        <v>131</v>
      </c>
      <c r="AK8" s="4114"/>
      <c r="AL8" s="4780" t="s">
        <v>39</v>
      </c>
      <c r="AM8" s="4780"/>
      <c r="AN8" s="4780" t="s">
        <v>40</v>
      </c>
      <c r="AO8" s="4780"/>
      <c r="AP8" s="4780" t="s">
        <v>41</v>
      </c>
      <c r="AQ8" s="4780"/>
      <c r="AR8" s="4780" t="s">
        <v>42</v>
      </c>
      <c r="AS8" s="4780"/>
      <c r="AT8" s="4780" t="s">
        <v>43</v>
      </c>
      <c r="AU8" s="4780"/>
      <c r="AV8" s="4780" t="s">
        <v>44</v>
      </c>
      <c r="AW8" s="4780"/>
      <c r="AX8" s="4780" t="s">
        <v>45</v>
      </c>
      <c r="AY8" s="4780"/>
      <c r="AZ8" s="4780" t="s">
        <v>46</v>
      </c>
      <c r="BA8" s="4780"/>
      <c r="BB8" s="4780" t="s">
        <v>47</v>
      </c>
      <c r="BC8" s="4780"/>
      <c r="BD8" s="4780" t="s">
        <v>48</v>
      </c>
      <c r="BE8" s="4780"/>
      <c r="BF8" s="3074"/>
      <c r="BG8" s="3075"/>
      <c r="BH8" s="4801" t="s">
        <v>49</v>
      </c>
      <c r="BI8" s="4812" t="s">
        <v>50</v>
      </c>
      <c r="BJ8" s="4801" t="s">
        <v>51</v>
      </c>
      <c r="BK8" s="4813" t="s">
        <v>52</v>
      </c>
      <c r="BL8" s="4801" t="s">
        <v>53</v>
      </c>
      <c r="BM8" s="4802" t="s">
        <v>54</v>
      </c>
      <c r="BN8" s="4790"/>
      <c r="BO8" s="4791"/>
      <c r="BP8" s="4790"/>
      <c r="BQ8" s="4791"/>
      <c r="BR8" s="4779"/>
    </row>
    <row r="9" spans="1:89" ht="36" customHeight="1" x14ac:dyDescent="0.2">
      <c r="A9" s="4774"/>
      <c r="B9" s="3064"/>
      <c r="C9" s="3064"/>
      <c r="D9" s="3064"/>
      <c r="E9" s="3064"/>
      <c r="F9" s="3064"/>
      <c r="G9" s="3064"/>
      <c r="H9" s="3064"/>
      <c r="I9" s="3064"/>
      <c r="J9" s="3064"/>
      <c r="K9" s="3064"/>
      <c r="L9" s="3064"/>
      <c r="M9" s="580" t="s">
        <v>55</v>
      </c>
      <c r="N9" s="580" t="s">
        <v>56</v>
      </c>
      <c r="O9" s="3064"/>
      <c r="P9" s="4776"/>
      <c r="Q9" s="3064"/>
      <c r="R9" s="3064"/>
      <c r="S9" s="3064"/>
      <c r="T9" s="3064"/>
      <c r="U9" s="3064"/>
      <c r="V9" s="3064"/>
      <c r="W9" s="1268" t="s">
        <v>57</v>
      </c>
      <c r="X9" s="1268" t="s">
        <v>58</v>
      </c>
      <c r="Y9" s="1268" t="s">
        <v>59</v>
      </c>
      <c r="Z9" s="4777"/>
      <c r="AA9" s="3064"/>
      <c r="AB9" s="580" t="s">
        <v>55</v>
      </c>
      <c r="AC9" s="580" t="s">
        <v>56</v>
      </c>
      <c r="AD9" s="580" t="s">
        <v>55</v>
      </c>
      <c r="AE9" s="580" t="s">
        <v>56</v>
      </c>
      <c r="AF9" s="580" t="s">
        <v>55</v>
      </c>
      <c r="AG9" s="580" t="s">
        <v>56</v>
      </c>
      <c r="AH9" s="580" t="s">
        <v>55</v>
      </c>
      <c r="AI9" s="580" t="s">
        <v>56</v>
      </c>
      <c r="AJ9" s="580" t="s">
        <v>55</v>
      </c>
      <c r="AK9" s="580" t="s">
        <v>56</v>
      </c>
      <c r="AL9" s="580" t="s">
        <v>55</v>
      </c>
      <c r="AM9" s="580" t="s">
        <v>56</v>
      </c>
      <c r="AN9" s="580" t="s">
        <v>55</v>
      </c>
      <c r="AO9" s="580" t="s">
        <v>56</v>
      </c>
      <c r="AP9" s="580" t="s">
        <v>55</v>
      </c>
      <c r="AQ9" s="580" t="s">
        <v>56</v>
      </c>
      <c r="AR9" s="580" t="s">
        <v>55</v>
      </c>
      <c r="AS9" s="580" t="s">
        <v>56</v>
      </c>
      <c r="AT9" s="580" t="s">
        <v>55</v>
      </c>
      <c r="AU9" s="580" t="s">
        <v>56</v>
      </c>
      <c r="AV9" s="580" t="s">
        <v>55</v>
      </c>
      <c r="AW9" s="580" t="s">
        <v>56</v>
      </c>
      <c r="AX9" s="580" t="s">
        <v>55</v>
      </c>
      <c r="AY9" s="580" t="s">
        <v>56</v>
      </c>
      <c r="AZ9" s="580" t="s">
        <v>55</v>
      </c>
      <c r="BA9" s="580" t="s">
        <v>56</v>
      </c>
      <c r="BB9" s="580" t="s">
        <v>55</v>
      </c>
      <c r="BC9" s="580" t="s">
        <v>56</v>
      </c>
      <c r="BD9" s="580" t="s">
        <v>55</v>
      </c>
      <c r="BE9" s="580" t="s">
        <v>56</v>
      </c>
      <c r="BF9" s="580" t="s">
        <v>55</v>
      </c>
      <c r="BG9" s="580" t="s">
        <v>56</v>
      </c>
      <c r="BH9" s="4801"/>
      <c r="BI9" s="4812"/>
      <c r="BJ9" s="4801"/>
      <c r="BK9" s="4813"/>
      <c r="BL9" s="4801"/>
      <c r="BM9" s="4803"/>
      <c r="BN9" s="1269" t="s">
        <v>55</v>
      </c>
      <c r="BO9" s="1269" t="s">
        <v>56</v>
      </c>
      <c r="BP9" s="1269" t="s">
        <v>55</v>
      </c>
      <c r="BQ9" s="1269" t="s">
        <v>56</v>
      </c>
      <c r="BR9" s="4779"/>
    </row>
    <row r="10" spans="1:89" ht="20.25" customHeight="1" x14ac:dyDescent="0.2">
      <c r="A10" s="1270">
        <v>3</v>
      </c>
      <c r="B10" s="1271"/>
      <c r="C10" s="1271" t="s">
        <v>308</v>
      </c>
      <c r="D10" s="1271"/>
      <c r="E10" s="1271"/>
      <c r="F10" s="1271"/>
      <c r="G10" s="1271"/>
      <c r="H10" s="1271"/>
      <c r="I10" s="1271"/>
      <c r="J10" s="1271"/>
      <c r="K10" s="1272"/>
      <c r="L10" s="1271"/>
      <c r="M10" s="1271"/>
      <c r="N10" s="1271"/>
      <c r="O10" s="1271"/>
      <c r="P10" s="1273"/>
      <c r="Q10" s="1272"/>
      <c r="R10" s="1274"/>
      <c r="S10" s="1275"/>
      <c r="T10" s="1272"/>
      <c r="U10" s="1272"/>
      <c r="V10" s="1272"/>
      <c r="W10" s="1276"/>
      <c r="X10" s="1277"/>
      <c r="Y10" s="1277"/>
      <c r="Z10" s="1278"/>
      <c r="AA10" s="1273"/>
      <c r="AB10" s="1271"/>
      <c r="AC10" s="1271"/>
      <c r="AD10" s="1271"/>
      <c r="AE10" s="1271"/>
      <c r="AF10" s="1271"/>
      <c r="AG10" s="1271"/>
      <c r="AH10" s="1271"/>
      <c r="AI10" s="1271"/>
      <c r="AJ10" s="1271"/>
      <c r="AK10" s="1271"/>
      <c r="AL10" s="1271"/>
      <c r="AM10" s="1271"/>
      <c r="AN10" s="1271"/>
      <c r="AO10" s="1271"/>
      <c r="AP10" s="1271"/>
      <c r="AQ10" s="1271"/>
      <c r="AR10" s="1271"/>
      <c r="AS10" s="1271"/>
      <c r="AT10" s="1271"/>
      <c r="AU10" s="1271"/>
      <c r="AV10" s="1271"/>
      <c r="AW10" s="1271"/>
      <c r="AX10" s="1271"/>
      <c r="AY10" s="1271"/>
      <c r="AZ10" s="1271"/>
      <c r="BA10" s="1271"/>
      <c r="BB10" s="1271"/>
      <c r="BC10" s="1271"/>
      <c r="BD10" s="1271"/>
      <c r="BE10" s="1271"/>
      <c r="BF10" s="1271"/>
      <c r="BG10" s="1279"/>
      <c r="BH10" s="1279"/>
      <c r="BI10" s="1279"/>
      <c r="BJ10" s="1279"/>
      <c r="BK10" s="1280"/>
      <c r="BL10" s="1279"/>
      <c r="BM10" s="1281"/>
      <c r="BN10" s="1281"/>
      <c r="BO10" s="1281"/>
      <c r="BP10" s="1281"/>
      <c r="BQ10" s="1282"/>
      <c r="BR10" s="1282"/>
      <c r="BS10" s="1283"/>
      <c r="BT10" s="1283"/>
      <c r="BU10" s="1283"/>
      <c r="BV10" s="1283"/>
      <c r="BW10" s="1283"/>
      <c r="BX10" s="1283"/>
      <c r="BY10" s="1283"/>
      <c r="BZ10" s="1283"/>
      <c r="CA10" s="1283"/>
      <c r="CB10" s="1283"/>
      <c r="CC10" s="1283"/>
      <c r="CD10" s="1283"/>
      <c r="CE10" s="1283"/>
      <c r="CF10" s="1283"/>
      <c r="CG10" s="1283"/>
      <c r="CH10" s="1283"/>
      <c r="CI10" s="1283"/>
      <c r="CJ10" s="1283"/>
      <c r="CK10" s="1283"/>
    </row>
    <row r="11" spans="1:89" s="1283" customFormat="1" ht="20.25" customHeight="1" x14ac:dyDescent="0.2">
      <c r="A11" s="1284"/>
      <c r="B11" s="1285"/>
      <c r="C11" s="1286"/>
      <c r="D11" s="1287">
        <v>20</v>
      </c>
      <c r="E11" s="1288" t="s">
        <v>1090</v>
      </c>
      <c r="F11" s="1288"/>
      <c r="G11" s="1288"/>
      <c r="H11" s="1288"/>
      <c r="I11" s="1288"/>
      <c r="J11" s="1288"/>
      <c r="K11" s="1289"/>
      <c r="L11" s="1288"/>
      <c r="M11" s="1288"/>
      <c r="N11" s="1288"/>
      <c r="O11" s="1288"/>
      <c r="P11" s="1290"/>
      <c r="Q11" s="1289"/>
      <c r="R11" s="1291"/>
      <c r="S11" s="1292"/>
      <c r="T11" s="1289"/>
      <c r="U11" s="1289"/>
      <c r="V11" s="1289"/>
      <c r="W11" s="1293"/>
      <c r="X11" s="1293"/>
      <c r="Y11" s="1293"/>
      <c r="Z11" s="1294"/>
      <c r="AA11" s="1290"/>
      <c r="AB11" s="1288"/>
      <c r="AC11" s="1288"/>
      <c r="AD11" s="1288"/>
      <c r="AE11" s="1288"/>
      <c r="AF11" s="1288"/>
      <c r="AG11" s="1288"/>
      <c r="AH11" s="1288"/>
      <c r="AI11" s="1288"/>
      <c r="AJ11" s="1288"/>
      <c r="AK11" s="1288"/>
      <c r="AL11" s="1288"/>
      <c r="AM11" s="1288"/>
      <c r="AN11" s="1288"/>
      <c r="AO11" s="1288"/>
      <c r="AP11" s="1288"/>
      <c r="AQ11" s="1288"/>
      <c r="AR11" s="1288"/>
      <c r="AS11" s="1288"/>
      <c r="AT11" s="1288"/>
      <c r="AU11" s="1288"/>
      <c r="AV11" s="1288"/>
      <c r="AW11" s="1288"/>
      <c r="AX11" s="1288"/>
      <c r="AY11" s="1288"/>
      <c r="AZ11" s="1288"/>
      <c r="BA11" s="1288"/>
      <c r="BB11" s="1288"/>
      <c r="BC11" s="1288"/>
      <c r="BD11" s="1288"/>
      <c r="BE11" s="1288"/>
      <c r="BF11" s="1288"/>
      <c r="BG11" s="1288"/>
      <c r="BH11" s="1295"/>
      <c r="BI11" s="1295"/>
      <c r="BJ11" s="1295"/>
      <c r="BK11" s="1296"/>
      <c r="BL11" s="1297"/>
      <c r="BM11" s="1295"/>
      <c r="BN11" s="1298"/>
      <c r="BO11" s="1298"/>
      <c r="BP11" s="1298"/>
      <c r="BQ11" s="1298"/>
      <c r="BR11" s="1299"/>
    </row>
    <row r="12" spans="1:89" s="1283" customFormat="1" ht="20.25" customHeight="1" x14ac:dyDescent="0.2">
      <c r="A12" s="1300"/>
      <c r="B12" s="1301"/>
      <c r="C12" s="1302"/>
      <c r="D12" s="1303"/>
      <c r="E12" s="1304"/>
      <c r="F12" s="1304"/>
      <c r="G12" s="1305">
        <v>68</v>
      </c>
      <c r="H12" s="1306" t="s">
        <v>1091</v>
      </c>
      <c r="I12" s="1306"/>
      <c r="J12" s="1306"/>
      <c r="K12" s="1307"/>
      <c r="L12" s="1306"/>
      <c r="M12" s="1306"/>
      <c r="N12" s="1306"/>
      <c r="O12" s="1306"/>
      <c r="P12" s="1308"/>
      <c r="Q12" s="1307"/>
      <c r="R12" s="1309"/>
      <c r="S12" s="1310"/>
      <c r="T12" s="1307"/>
      <c r="U12" s="1307"/>
      <c r="V12" s="1307"/>
      <c r="W12" s="1311"/>
      <c r="X12" s="1311"/>
      <c r="Y12" s="1311"/>
      <c r="Z12" s="1312"/>
      <c r="AA12" s="1308"/>
      <c r="AB12" s="1306"/>
      <c r="AC12" s="1306"/>
      <c r="AD12" s="1306"/>
      <c r="AE12" s="1306"/>
      <c r="AF12" s="1306"/>
      <c r="AG12" s="1306"/>
      <c r="AH12" s="1306"/>
      <c r="AI12" s="1306"/>
      <c r="AJ12" s="1306"/>
      <c r="AK12" s="1306"/>
      <c r="AL12" s="1306"/>
      <c r="AM12" s="1306"/>
      <c r="AN12" s="1306"/>
      <c r="AO12" s="1306"/>
      <c r="AP12" s="1306"/>
      <c r="AQ12" s="1306"/>
      <c r="AR12" s="1306"/>
      <c r="AS12" s="1306"/>
      <c r="AT12" s="1306"/>
      <c r="AU12" s="1306"/>
      <c r="AV12" s="1306"/>
      <c r="AW12" s="1306"/>
      <c r="AX12" s="1306"/>
      <c r="AY12" s="1306"/>
      <c r="AZ12" s="1306"/>
      <c r="BA12" s="1306"/>
      <c r="BB12" s="1306"/>
      <c r="BC12" s="1306"/>
      <c r="BD12" s="1306"/>
      <c r="BE12" s="1306"/>
      <c r="BF12" s="1306"/>
      <c r="BG12" s="1306"/>
      <c r="BH12" s="1313"/>
      <c r="BI12" s="1313"/>
      <c r="BJ12" s="1313"/>
      <c r="BK12" s="1314"/>
      <c r="BL12" s="1315"/>
      <c r="BM12" s="1313"/>
      <c r="BN12" s="1316"/>
      <c r="BO12" s="1316"/>
      <c r="BP12" s="1316"/>
      <c r="BQ12" s="1316"/>
      <c r="BR12" s="1317"/>
    </row>
    <row r="13" spans="1:89" s="1283" customFormat="1" ht="46.5" customHeight="1" x14ac:dyDescent="0.2">
      <c r="A13" s="1300"/>
      <c r="B13" s="1301"/>
      <c r="C13" s="1302"/>
      <c r="D13" s="1318"/>
      <c r="E13" s="1319"/>
      <c r="F13" s="1319"/>
      <c r="G13" s="1320"/>
      <c r="H13" s="1319"/>
      <c r="I13" s="1319"/>
      <c r="J13" s="4804">
        <v>202</v>
      </c>
      <c r="K13" s="4805" t="s">
        <v>1092</v>
      </c>
      <c r="L13" s="4805" t="s">
        <v>1093</v>
      </c>
      <c r="M13" s="4804">
        <v>23</v>
      </c>
      <c r="N13" s="4804">
        <v>16</v>
      </c>
      <c r="O13" s="1321" t="s">
        <v>1094</v>
      </c>
      <c r="P13" s="4806" t="s">
        <v>1095</v>
      </c>
      <c r="Q13" s="4792" t="s">
        <v>1096</v>
      </c>
      <c r="R13" s="1322">
        <f>+W13/S13</f>
        <v>0.23164081179376106</v>
      </c>
      <c r="S13" s="4809">
        <f>SUM(W13:W17)</f>
        <v>860166995</v>
      </c>
      <c r="T13" s="4792" t="s">
        <v>1097</v>
      </c>
      <c r="U13" s="4795" t="s">
        <v>1098</v>
      </c>
      <c r="V13" s="4792" t="s">
        <v>1099</v>
      </c>
      <c r="W13" s="1323">
        <v>199249781</v>
      </c>
      <c r="X13" s="1324">
        <v>116125800</v>
      </c>
      <c r="Y13" s="1324">
        <v>14980000</v>
      </c>
      <c r="Z13" s="1325">
        <v>12</v>
      </c>
      <c r="AA13" s="1326" t="s">
        <v>1100</v>
      </c>
      <c r="AB13" s="4798">
        <v>300</v>
      </c>
      <c r="AC13" s="4798">
        <v>167</v>
      </c>
      <c r="AD13" s="4798">
        <v>710</v>
      </c>
      <c r="AE13" s="4798">
        <v>255</v>
      </c>
      <c r="AF13" s="4798">
        <v>317</v>
      </c>
      <c r="AG13" s="4798">
        <v>120</v>
      </c>
      <c r="AH13" s="4798">
        <v>633</v>
      </c>
      <c r="AI13" s="4798">
        <v>187</v>
      </c>
      <c r="AJ13" s="4798"/>
      <c r="AK13" s="4798">
        <v>114</v>
      </c>
      <c r="AL13" s="4798"/>
      <c r="AM13" s="4798">
        <v>1</v>
      </c>
      <c r="AN13" s="4798"/>
      <c r="AO13" s="4798">
        <v>1</v>
      </c>
      <c r="AP13" s="4798"/>
      <c r="AQ13" s="4798">
        <v>1</v>
      </c>
      <c r="AR13" s="4798"/>
      <c r="AS13" s="4798"/>
      <c r="AT13" s="4798"/>
      <c r="AU13" s="4798"/>
      <c r="AV13" s="4798"/>
      <c r="AW13" s="4798">
        <v>5</v>
      </c>
      <c r="AX13" s="4798"/>
      <c r="AY13" s="4798"/>
      <c r="AZ13" s="4798"/>
      <c r="BA13" s="4798"/>
      <c r="BB13" s="4798">
        <v>60</v>
      </c>
      <c r="BC13" s="4798">
        <v>152</v>
      </c>
      <c r="BD13" s="4831"/>
      <c r="BE13" s="4831"/>
      <c r="BF13" s="4798">
        <f>+AB13+AD13</f>
        <v>1010</v>
      </c>
      <c r="BG13" s="4798">
        <f>+AC13+AE13</f>
        <v>422</v>
      </c>
      <c r="BH13" s="4798"/>
      <c r="BI13" s="4825">
        <f>+SUM(X13:X17)</f>
        <v>313628447</v>
      </c>
      <c r="BJ13" s="4825">
        <f>+SUM(Y13:Y17)</f>
        <v>68536913</v>
      </c>
      <c r="BK13" s="4828">
        <f>+BI13/S13</f>
        <v>0.3646134399751062</v>
      </c>
      <c r="BL13" s="1326" t="s">
        <v>1100</v>
      </c>
      <c r="BM13" s="4798" t="s">
        <v>1101</v>
      </c>
      <c r="BN13" s="4820">
        <v>43480</v>
      </c>
      <c r="BO13" s="4820">
        <v>43480</v>
      </c>
      <c r="BP13" s="4820">
        <v>43830</v>
      </c>
      <c r="BQ13" s="4820">
        <v>43830</v>
      </c>
      <c r="BR13" s="4795" t="s">
        <v>1102</v>
      </c>
    </row>
    <row r="14" spans="1:89" s="1283" customFormat="1" ht="37.5" customHeight="1" x14ac:dyDescent="0.2">
      <c r="A14" s="1300"/>
      <c r="B14" s="1301"/>
      <c r="C14" s="1302"/>
      <c r="D14" s="1318"/>
      <c r="E14" s="1319"/>
      <c r="F14" s="1319"/>
      <c r="G14" s="1318"/>
      <c r="H14" s="1319"/>
      <c r="I14" s="1319"/>
      <c r="J14" s="4804"/>
      <c r="K14" s="4805"/>
      <c r="L14" s="4805"/>
      <c r="M14" s="4804"/>
      <c r="N14" s="4804"/>
      <c r="O14" s="1321" t="s">
        <v>1103</v>
      </c>
      <c r="P14" s="4807"/>
      <c r="Q14" s="4793"/>
      <c r="R14" s="1322">
        <f>+W14/S13</f>
        <v>2.3251299010839169E-2</v>
      </c>
      <c r="S14" s="4810"/>
      <c r="T14" s="4793"/>
      <c r="U14" s="4796"/>
      <c r="V14" s="4794"/>
      <c r="W14" s="1323">
        <v>20000000</v>
      </c>
      <c r="X14" s="1324">
        <v>7101913</v>
      </c>
      <c r="Y14" s="1324">
        <v>3101913</v>
      </c>
      <c r="Z14" s="1325">
        <v>9</v>
      </c>
      <c r="AA14" s="1326" t="s">
        <v>1104</v>
      </c>
      <c r="AB14" s="4799"/>
      <c r="AC14" s="4799"/>
      <c r="AD14" s="4799"/>
      <c r="AE14" s="4799"/>
      <c r="AF14" s="4799"/>
      <c r="AG14" s="4799"/>
      <c r="AH14" s="4799"/>
      <c r="AI14" s="4799"/>
      <c r="AJ14" s="4799"/>
      <c r="AK14" s="4799"/>
      <c r="AL14" s="4799"/>
      <c r="AM14" s="4799"/>
      <c r="AN14" s="4799"/>
      <c r="AO14" s="4799"/>
      <c r="AP14" s="4799"/>
      <c r="AQ14" s="4799"/>
      <c r="AR14" s="4799"/>
      <c r="AS14" s="4799"/>
      <c r="AT14" s="4799"/>
      <c r="AU14" s="4799"/>
      <c r="AV14" s="4799"/>
      <c r="AW14" s="4799"/>
      <c r="AX14" s="4799"/>
      <c r="AY14" s="4799"/>
      <c r="AZ14" s="4799"/>
      <c r="BA14" s="4799"/>
      <c r="BB14" s="4799"/>
      <c r="BC14" s="4799"/>
      <c r="BD14" s="4831"/>
      <c r="BE14" s="4831"/>
      <c r="BF14" s="4799"/>
      <c r="BG14" s="4799"/>
      <c r="BH14" s="4799"/>
      <c r="BI14" s="4826"/>
      <c r="BJ14" s="4826"/>
      <c r="BK14" s="4829"/>
      <c r="BL14" s="1326" t="s">
        <v>1104</v>
      </c>
      <c r="BM14" s="4799"/>
      <c r="BN14" s="4821"/>
      <c r="BO14" s="4821"/>
      <c r="BP14" s="4821"/>
      <c r="BQ14" s="4821"/>
      <c r="BR14" s="4796"/>
    </row>
    <row r="15" spans="1:89" s="1283" customFormat="1" ht="38.25" customHeight="1" x14ac:dyDescent="0.2">
      <c r="A15" s="1300"/>
      <c r="B15" s="1301"/>
      <c r="C15" s="1302"/>
      <c r="D15" s="1318"/>
      <c r="E15" s="4823"/>
      <c r="F15" s="4823"/>
      <c r="G15" s="1318"/>
      <c r="H15" s="1301"/>
      <c r="I15" s="1301"/>
      <c r="J15" s="4804"/>
      <c r="K15" s="4805"/>
      <c r="L15" s="4805"/>
      <c r="M15" s="4804"/>
      <c r="N15" s="4804"/>
      <c r="O15" s="1327" t="s">
        <v>1105</v>
      </c>
      <c r="P15" s="4807"/>
      <c r="Q15" s="4793"/>
      <c r="R15" s="1322">
        <f>+W15/S13</f>
        <v>9.1344422021214608E-2</v>
      </c>
      <c r="S15" s="4810"/>
      <c r="T15" s="4793"/>
      <c r="U15" s="4796"/>
      <c r="V15" s="4792" t="s">
        <v>1106</v>
      </c>
      <c r="W15" s="1328">
        <v>78571457</v>
      </c>
      <c r="X15" s="1324">
        <v>14175000</v>
      </c>
      <c r="Y15" s="1324">
        <v>4100000</v>
      </c>
      <c r="Z15" s="1325">
        <v>3</v>
      </c>
      <c r="AA15" s="1329" t="s">
        <v>1107</v>
      </c>
      <c r="AB15" s="4799"/>
      <c r="AC15" s="4799"/>
      <c r="AD15" s="4799"/>
      <c r="AE15" s="4799"/>
      <c r="AF15" s="4799"/>
      <c r="AG15" s="4799"/>
      <c r="AH15" s="4799"/>
      <c r="AI15" s="4799"/>
      <c r="AJ15" s="4799"/>
      <c r="AK15" s="4799"/>
      <c r="AL15" s="4799"/>
      <c r="AM15" s="4799"/>
      <c r="AN15" s="4799"/>
      <c r="AO15" s="4799"/>
      <c r="AP15" s="4799"/>
      <c r="AQ15" s="4799"/>
      <c r="AR15" s="4799"/>
      <c r="AS15" s="4799"/>
      <c r="AT15" s="4799"/>
      <c r="AU15" s="4799"/>
      <c r="AV15" s="4799"/>
      <c r="AW15" s="4799"/>
      <c r="AX15" s="4799"/>
      <c r="AY15" s="4799"/>
      <c r="AZ15" s="4799"/>
      <c r="BA15" s="4799"/>
      <c r="BB15" s="4799"/>
      <c r="BC15" s="4799"/>
      <c r="BD15" s="4831"/>
      <c r="BE15" s="4831"/>
      <c r="BF15" s="4799"/>
      <c r="BG15" s="4799"/>
      <c r="BH15" s="4799"/>
      <c r="BI15" s="4826"/>
      <c r="BJ15" s="4826"/>
      <c r="BK15" s="4829"/>
      <c r="BL15" s="1329" t="s">
        <v>1107</v>
      </c>
      <c r="BM15" s="4799"/>
      <c r="BN15" s="4821"/>
      <c r="BO15" s="4821"/>
      <c r="BP15" s="4821"/>
      <c r="BQ15" s="4821"/>
      <c r="BR15" s="4796"/>
    </row>
    <row r="16" spans="1:89" s="1283" customFormat="1" ht="36" customHeight="1" x14ac:dyDescent="0.2">
      <c r="A16" s="1300"/>
      <c r="B16" s="1301"/>
      <c r="C16" s="1302"/>
      <c r="D16" s="1318"/>
      <c r="E16" s="1319"/>
      <c r="F16" s="1319"/>
      <c r="G16" s="1318"/>
      <c r="H16" s="1319"/>
      <c r="I16" s="1319"/>
      <c r="J16" s="4804"/>
      <c r="K16" s="4805"/>
      <c r="L16" s="4805"/>
      <c r="M16" s="4804"/>
      <c r="N16" s="4804"/>
      <c r="O16" s="1321" t="s">
        <v>1108</v>
      </c>
      <c r="P16" s="4807"/>
      <c r="Q16" s="4793"/>
      <c r="R16" s="1322">
        <f>+W16/S13</f>
        <v>0.4319796959891492</v>
      </c>
      <c r="S16" s="4810"/>
      <c r="T16" s="4793"/>
      <c r="U16" s="4796"/>
      <c r="V16" s="4794"/>
      <c r="W16" s="1330">
        <v>371574677</v>
      </c>
      <c r="X16" s="1324">
        <v>154080734</v>
      </c>
      <c r="Y16" s="1324">
        <v>24210000</v>
      </c>
      <c r="Z16" s="1325">
        <v>4</v>
      </c>
      <c r="AA16" s="1331" t="s">
        <v>1109</v>
      </c>
      <c r="AB16" s="4799"/>
      <c r="AC16" s="4799"/>
      <c r="AD16" s="4799"/>
      <c r="AE16" s="4799"/>
      <c r="AF16" s="4799"/>
      <c r="AG16" s="4799"/>
      <c r="AH16" s="4799"/>
      <c r="AI16" s="4799"/>
      <c r="AJ16" s="4799"/>
      <c r="AK16" s="4799"/>
      <c r="AL16" s="4799"/>
      <c r="AM16" s="4799"/>
      <c r="AN16" s="4799"/>
      <c r="AO16" s="4799"/>
      <c r="AP16" s="4799"/>
      <c r="AQ16" s="4799"/>
      <c r="AR16" s="4799"/>
      <c r="AS16" s="4799"/>
      <c r="AT16" s="4799"/>
      <c r="AU16" s="4799"/>
      <c r="AV16" s="4799"/>
      <c r="AW16" s="4799"/>
      <c r="AX16" s="4799"/>
      <c r="AY16" s="4799"/>
      <c r="AZ16" s="4799"/>
      <c r="BA16" s="4799"/>
      <c r="BB16" s="4799"/>
      <c r="BC16" s="4799"/>
      <c r="BD16" s="4831"/>
      <c r="BE16" s="4831"/>
      <c r="BF16" s="4799"/>
      <c r="BG16" s="4799"/>
      <c r="BH16" s="4799"/>
      <c r="BI16" s="4826"/>
      <c r="BJ16" s="4826"/>
      <c r="BK16" s="4829"/>
      <c r="BL16" s="1331" t="s">
        <v>1109</v>
      </c>
      <c r="BM16" s="4799"/>
      <c r="BN16" s="4821"/>
      <c r="BO16" s="4821"/>
      <c r="BP16" s="4821"/>
      <c r="BQ16" s="4821"/>
      <c r="BR16" s="4796"/>
    </row>
    <row r="17" spans="1:70" s="1283" customFormat="1" ht="137.25" customHeight="1" x14ac:dyDescent="0.2">
      <c r="A17" s="1300"/>
      <c r="B17" s="1301"/>
      <c r="C17" s="1302"/>
      <c r="D17" s="1318"/>
      <c r="E17" s="1319"/>
      <c r="F17" s="1319"/>
      <c r="G17" s="1318"/>
      <c r="H17" s="1319"/>
      <c r="I17" s="1319"/>
      <c r="J17" s="1321">
        <v>203</v>
      </c>
      <c r="K17" s="1332" t="s">
        <v>1110</v>
      </c>
      <c r="L17" s="1332" t="s">
        <v>1111</v>
      </c>
      <c r="M17" s="1321">
        <v>20</v>
      </c>
      <c r="N17" s="1321">
        <v>16</v>
      </c>
      <c r="O17" s="1321" t="s">
        <v>1112</v>
      </c>
      <c r="P17" s="4808"/>
      <c r="Q17" s="4794"/>
      <c r="R17" s="1322">
        <f>+W17/S13</f>
        <v>0.221783771185036</v>
      </c>
      <c r="S17" s="4811"/>
      <c r="T17" s="4794"/>
      <c r="U17" s="4797"/>
      <c r="V17" s="1333" t="s">
        <v>1113</v>
      </c>
      <c r="W17" s="1334">
        <v>190771080</v>
      </c>
      <c r="X17" s="1324">
        <v>22145000</v>
      </c>
      <c r="Y17" s="1324">
        <v>22145000</v>
      </c>
      <c r="Z17" s="1325">
        <v>4</v>
      </c>
      <c r="AA17" s="1331" t="s">
        <v>1109</v>
      </c>
      <c r="AB17" s="4800"/>
      <c r="AC17" s="4800"/>
      <c r="AD17" s="4800"/>
      <c r="AE17" s="4800"/>
      <c r="AF17" s="4800"/>
      <c r="AG17" s="4800"/>
      <c r="AH17" s="4800"/>
      <c r="AI17" s="4800"/>
      <c r="AJ17" s="4800"/>
      <c r="AK17" s="4800"/>
      <c r="AL17" s="4800"/>
      <c r="AM17" s="4800"/>
      <c r="AN17" s="4800"/>
      <c r="AO17" s="4800"/>
      <c r="AP17" s="4800"/>
      <c r="AQ17" s="4800"/>
      <c r="AR17" s="4800"/>
      <c r="AS17" s="4800"/>
      <c r="AT17" s="4800"/>
      <c r="AU17" s="4800"/>
      <c r="AV17" s="4800"/>
      <c r="AW17" s="4800"/>
      <c r="AX17" s="4800"/>
      <c r="AY17" s="4800"/>
      <c r="AZ17" s="4800"/>
      <c r="BA17" s="4800"/>
      <c r="BB17" s="4800"/>
      <c r="BC17" s="4800"/>
      <c r="BD17" s="4831"/>
      <c r="BE17" s="4831"/>
      <c r="BF17" s="4800"/>
      <c r="BG17" s="4800"/>
      <c r="BH17" s="4800"/>
      <c r="BI17" s="4827"/>
      <c r="BJ17" s="4827"/>
      <c r="BK17" s="4830"/>
      <c r="BL17" s="1331" t="s">
        <v>1109</v>
      </c>
      <c r="BM17" s="4800"/>
      <c r="BN17" s="4822"/>
      <c r="BO17" s="4822"/>
      <c r="BP17" s="4822"/>
      <c r="BQ17" s="4822"/>
      <c r="BR17" s="4797"/>
    </row>
    <row r="18" spans="1:70" s="1283" customFormat="1" ht="23.25" customHeight="1" x14ac:dyDescent="0.2">
      <c r="A18" s="1300"/>
      <c r="B18" s="1301"/>
      <c r="C18" s="1302"/>
      <c r="D18" s="1318"/>
      <c r="E18" s="1319"/>
      <c r="F18" s="1319"/>
      <c r="G18" s="1305">
        <v>69</v>
      </c>
      <c r="H18" s="1306" t="s">
        <v>1114</v>
      </c>
      <c r="I18" s="1306"/>
      <c r="J18" s="1306"/>
      <c r="K18" s="1307"/>
      <c r="L18" s="1306"/>
      <c r="M18" s="1306"/>
      <c r="N18" s="1306"/>
      <c r="O18" s="1306"/>
      <c r="P18" s="1308"/>
      <c r="Q18" s="1307"/>
      <c r="R18" s="1309"/>
      <c r="S18" s="1335"/>
      <c r="T18" s="1307" t="s">
        <v>816</v>
      </c>
      <c r="U18" s="1307" t="s">
        <v>816</v>
      </c>
      <c r="V18" s="1307"/>
      <c r="W18" s="1336">
        <f>+SUM(W13:W17)</f>
        <v>860166995</v>
      </c>
      <c r="X18" s="1336">
        <f t="shared" ref="X18:Y18" si="0">+SUM(X13:X17)</f>
        <v>313628447</v>
      </c>
      <c r="Y18" s="1336">
        <f t="shared" si="0"/>
        <v>68536913</v>
      </c>
      <c r="Z18" s="1312"/>
      <c r="AA18" s="1308"/>
      <c r="AB18" s="1337"/>
      <c r="AC18" s="1337"/>
      <c r="AD18" s="1337"/>
      <c r="AE18" s="1337"/>
      <c r="AF18" s="1337"/>
      <c r="AG18" s="1337"/>
      <c r="AH18" s="1337"/>
      <c r="AI18" s="1337"/>
      <c r="AJ18" s="1337"/>
      <c r="AK18" s="1337"/>
      <c r="AL18" s="1337"/>
      <c r="AM18" s="1337"/>
      <c r="AN18" s="1337"/>
      <c r="AO18" s="1337"/>
      <c r="AP18" s="1337"/>
      <c r="AQ18" s="1337"/>
      <c r="AR18" s="1337"/>
      <c r="AS18" s="1337"/>
      <c r="AT18" s="1337"/>
      <c r="AU18" s="1337"/>
      <c r="AV18" s="1337"/>
      <c r="AW18" s="1337"/>
      <c r="AX18" s="1337"/>
      <c r="AY18" s="1337"/>
      <c r="AZ18" s="1337"/>
      <c r="BA18" s="1337"/>
      <c r="BB18" s="1337"/>
      <c r="BC18" s="1337"/>
      <c r="BD18" s="1337"/>
      <c r="BE18" s="1337"/>
      <c r="BF18" s="1337"/>
      <c r="BG18" s="1337"/>
      <c r="BH18" s="1337"/>
      <c r="BI18" s="1337"/>
      <c r="BJ18" s="1337"/>
      <c r="BK18" s="1338"/>
      <c r="BL18" s="1308"/>
      <c r="BM18" s="1337"/>
      <c r="BN18" s="1316"/>
      <c r="BO18" s="1316"/>
      <c r="BP18" s="1316"/>
      <c r="BQ18" s="1316"/>
      <c r="BR18" s="1339"/>
    </row>
    <row r="19" spans="1:70" s="1283" customFormat="1" ht="69" customHeight="1" x14ac:dyDescent="0.2">
      <c r="A19" s="1300"/>
      <c r="B19" s="1301"/>
      <c r="C19" s="1302"/>
      <c r="D19" s="1318"/>
      <c r="E19" s="1319"/>
      <c r="F19" s="1319"/>
      <c r="G19" s="1318"/>
      <c r="H19" s="1319"/>
      <c r="I19" s="1319"/>
      <c r="J19" s="4804">
        <v>204</v>
      </c>
      <c r="K19" s="4805" t="s">
        <v>1115</v>
      </c>
      <c r="L19" s="4824" t="s">
        <v>1116</v>
      </c>
      <c r="M19" s="4806">
        <v>13</v>
      </c>
      <c r="N19" s="4806">
        <v>7</v>
      </c>
      <c r="O19" s="1321" t="s">
        <v>1117</v>
      </c>
      <c r="P19" s="4806" t="s">
        <v>1095</v>
      </c>
      <c r="Q19" s="4792" t="s">
        <v>1096</v>
      </c>
      <c r="R19" s="1322">
        <f>+W19/S19</f>
        <v>0.64747356051703875</v>
      </c>
      <c r="S19" s="4809">
        <f>SUM(W19:W20)</f>
        <v>170200000</v>
      </c>
      <c r="T19" s="4792" t="s">
        <v>1097</v>
      </c>
      <c r="U19" s="4792" t="s">
        <v>1098</v>
      </c>
      <c r="V19" s="4792" t="s">
        <v>1118</v>
      </c>
      <c r="W19" s="1323">
        <v>110200000</v>
      </c>
      <c r="X19" s="1340">
        <v>59370680</v>
      </c>
      <c r="Y19" s="1323">
        <v>2923200</v>
      </c>
      <c r="Z19" s="1325">
        <v>4</v>
      </c>
      <c r="AA19" s="1326" t="s">
        <v>1109</v>
      </c>
      <c r="AB19" s="4798"/>
      <c r="AC19" s="4798"/>
      <c r="AD19" s="4798"/>
      <c r="AE19" s="4798"/>
      <c r="AF19" s="4798"/>
      <c r="AG19" s="4798"/>
      <c r="AH19" s="4798"/>
      <c r="AI19" s="4798"/>
      <c r="AJ19" s="4798"/>
      <c r="AK19" s="4798"/>
      <c r="AL19" s="4798"/>
      <c r="AM19" s="4798"/>
      <c r="AN19" s="4798"/>
      <c r="AO19" s="4798"/>
      <c r="AP19" s="4798"/>
      <c r="AQ19" s="4798"/>
      <c r="AR19" s="4798"/>
      <c r="AS19" s="4798"/>
      <c r="AT19" s="4798"/>
      <c r="AU19" s="4798"/>
      <c r="AV19" s="4798"/>
      <c r="AW19" s="4798"/>
      <c r="AX19" s="4798"/>
      <c r="AY19" s="4798"/>
      <c r="AZ19" s="4798"/>
      <c r="BA19" s="4798"/>
      <c r="BB19" s="4798"/>
      <c r="BC19" s="4798"/>
      <c r="BD19" s="4798"/>
      <c r="BE19" s="4798"/>
      <c r="BF19" s="4798"/>
      <c r="BG19" s="4798"/>
      <c r="BH19" s="4798"/>
      <c r="BI19" s="4825">
        <f>+SUM(X19:X20)</f>
        <v>90870680</v>
      </c>
      <c r="BJ19" s="4825">
        <f>+SUM(Y19:Y20)</f>
        <v>13832290</v>
      </c>
      <c r="BK19" s="4828">
        <f>+BI19/S19</f>
        <v>0.5339052878965922</v>
      </c>
      <c r="BL19" s="1326" t="s">
        <v>1109</v>
      </c>
      <c r="BM19" s="4798" t="s">
        <v>1101</v>
      </c>
      <c r="BN19" s="4820">
        <v>43480</v>
      </c>
      <c r="BO19" s="4820">
        <v>43480</v>
      </c>
      <c r="BP19" s="4820">
        <f>+BP13</f>
        <v>43830</v>
      </c>
      <c r="BQ19" s="4820">
        <v>43830</v>
      </c>
      <c r="BR19" s="4795" t="s">
        <v>1102</v>
      </c>
    </row>
    <row r="20" spans="1:70" s="1283" customFormat="1" ht="51.75" customHeight="1" x14ac:dyDescent="0.2">
      <c r="A20" s="1300"/>
      <c r="B20" s="1301"/>
      <c r="C20" s="1302"/>
      <c r="D20" s="1318"/>
      <c r="E20" s="1319"/>
      <c r="F20" s="1319"/>
      <c r="G20" s="1318"/>
      <c r="H20" s="1319"/>
      <c r="I20" s="1319"/>
      <c r="J20" s="4804"/>
      <c r="K20" s="4805"/>
      <c r="L20" s="4824"/>
      <c r="M20" s="4808"/>
      <c r="N20" s="4808"/>
      <c r="O20" s="1321" t="s">
        <v>1119</v>
      </c>
      <c r="P20" s="4808"/>
      <c r="Q20" s="4794"/>
      <c r="R20" s="1322">
        <f>+W20/S19</f>
        <v>0.3525264394829612</v>
      </c>
      <c r="S20" s="4811"/>
      <c r="T20" s="4794"/>
      <c r="U20" s="4794" t="s">
        <v>816</v>
      </c>
      <c r="V20" s="4794"/>
      <c r="W20" s="1323">
        <v>60000000</v>
      </c>
      <c r="X20" s="1324">
        <v>31500000</v>
      </c>
      <c r="Y20" s="1323">
        <v>10909090</v>
      </c>
      <c r="Z20" s="1325">
        <v>12</v>
      </c>
      <c r="AA20" s="1326" t="s">
        <v>1100</v>
      </c>
      <c r="AB20" s="4800"/>
      <c r="AC20" s="4800"/>
      <c r="AD20" s="4800"/>
      <c r="AE20" s="4800"/>
      <c r="AF20" s="4800"/>
      <c r="AG20" s="4800"/>
      <c r="AH20" s="4800"/>
      <c r="AI20" s="4800"/>
      <c r="AJ20" s="4800"/>
      <c r="AK20" s="4800"/>
      <c r="AL20" s="4800"/>
      <c r="AM20" s="4800"/>
      <c r="AN20" s="4800"/>
      <c r="AO20" s="4800"/>
      <c r="AP20" s="4800"/>
      <c r="AQ20" s="4800"/>
      <c r="AR20" s="4800"/>
      <c r="AS20" s="4800"/>
      <c r="AT20" s="4800"/>
      <c r="AU20" s="4800"/>
      <c r="AV20" s="4800"/>
      <c r="AW20" s="4800"/>
      <c r="AX20" s="4800"/>
      <c r="AY20" s="4800"/>
      <c r="AZ20" s="4800"/>
      <c r="BA20" s="4800"/>
      <c r="BB20" s="4800"/>
      <c r="BC20" s="4800"/>
      <c r="BD20" s="4800"/>
      <c r="BE20" s="4800"/>
      <c r="BF20" s="4800"/>
      <c r="BG20" s="4800"/>
      <c r="BH20" s="4800"/>
      <c r="BI20" s="4827"/>
      <c r="BJ20" s="4827"/>
      <c r="BK20" s="4830"/>
      <c r="BL20" s="1326" t="s">
        <v>1100</v>
      </c>
      <c r="BM20" s="4800"/>
      <c r="BN20" s="4821"/>
      <c r="BO20" s="4821"/>
      <c r="BP20" s="4821"/>
      <c r="BQ20" s="4821"/>
      <c r="BR20" s="4796"/>
    </row>
    <row r="21" spans="1:70" s="1283" customFormat="1" ht="23.25" customHeight="1" x14ac:dyDescent="0.2">
      <c r="A21" s="1300"/>
      <c r="B21" s="1301"/>
      <c r="C21" s="1302"/>
      <c r="D21" s="1318"/>
      <c r="E21" s="1319"/>
      <c r="F21" s="1319"/>
      <c r="G21" s="1305">
        <v>70</v>
      </c>
      <c r="H21" s="1306" t="s">
        <v>1120</v>
      </c>
      <c r="I21" s="1306"/>
      <c r="J21" s="1306"/>
      <c r="K21" s="1307"/>
      <c r="L21" s="1306"/>
      <c r="M21" s="1306"/>
      <c r="N21" s="1306"/>
      <c r="O21" s="1306"/>
      <c r="P21" s="1308"/>
      <c r="Q21" s="1307"/>
      <c r="R21" s="1309"/>
      <c r="S21" s="1335"/>
      <c r="T21" s="1307" t="s">
        <v>816</v>
      </c>
      <c r="U21" s="1307" t="s">
        <v>816</v>
      </c>
      <c r="V21" s="1307"/>
      <c r="W21" s="1336">
        <f>+SUM(W19:W20)</f>
        <v>170200000</v>
      </c>
      <c r="X21" s="1336">
        <f t="shared" ref="X21:Y21" si="1">+SUM(X19:X20)</f>
        <v>90870680</v>
      </c>
      <c r="Y21" s="1336">
        <f t="shared" si="1"/>
        <v>13832290</v>
      </c>
      <c r="Z21" s="1312"/>
      <c r="AA21" s="1308"/>
      <c r="AB21" s="1337"/>
      <c r="AC21" s="1337"/>
      <c r="AD21" s="1337"/>
      <c r="AE21" s="1337"/>
      <c r="AF21" s="1337"/>
      <c r="AG21" s="1337"/>
      <c r="AH21" s="1337"/>
      <c r="AI21" s="1337"/>
      <c r="AJ21" s="1337"/>
      <c r="AK21" s="1337"/>
      <c r="AL21" s="1337"/>
      <c r="AM21" s="1337"/>
      <c r="AN21" s="1337"/>
      <c r="AO21" s="1337"/>
      <c r="AP21" s="1337"/>
      <c r="AQ21" s="1337"/>
      <c r="AR21" s="1337"/>
      <c r="AS21" s="1337"/>
      <c r="AT21" s="1337"/>
      <c r="AU21" s="1337"/>
      <c r="AV21" s="1337"/>
      <c r="AW21" s="1337"/>
      <c r="AX21" s="1337"/>
      <c r="AY21" s="1337"/>
      <c r="AZ21" s="1337"/>
      <c r="BA21" s="1337"/>
      <c r="BB21" s="1337"/>
      <c r="BC21" s="1337"/>
      <c r="BD21" s="1337"/>
      <c r="BE21" s="1337"/>
      <c r="BF21" s="1337"/>
      <c r="BG21" s="1337"/>
      <c r="BH21" s="1337"/>
      <c r="BI21" s="1337"/>
      <c r="BJ21" s="1337"/>
      <c r="BK21" s="1338"/>
      <c r="BL21" s="1308"/>
      <c r="BM21" s="1337"/>
      <c r="BN21" s="1316"/>
      <c r="BO21" s="1316"/>
      <c r="BP21" s="1316"/>
      <c r="BQ21" s="1316"/>
      <c r="BR21" s="1339"/>
    </row>
    <row r="22" spans="1:70" s="1283" customFormat="1" ht="42.75" customHeight="1" x14ac:dyDescent="0.2">
      <c r="A22" s="1300"/>
      <c r="B22" s="1301"/>
      <c r="C22" s="1302"/>
      <c r="D22" s="1318"/>
      <c r="E22" s="1319"/>
      <c r="F22" s="1319"/>
      <c r="G22" s="1318"/>
      <c r="H22" s="1319"/>
      <c r="I22" s="1319"/>
      <c r="J22" s="4804">
        <v>205</v>
      </c>
      <c r="K22" s="4805" t="s">
        <v>1121</v>
      </c>
      <c r="L22" s="2761" t="s">
        <v>1122</v>
      </c>
      <c r="M22" s="4804">
        <v>1</v>
      </c>
      <c r="N22" s="4804">
        <v>0.1</v>
      </c>
      <c r="O22" s="1321" t="s">
        <v>1123</v>
      </c>
      <c r="P22" s="4804" t="s">
        <v>1124</v>
      </c>
      <c r="Q22" s="4805" t="s">
        <v>1125</v>
      </c>
      <c r="R22" s="1322">
        <f>+W22/S22</f>
        <v>0.375</v>
      </c>
      <c r="S22" s="4833">
        <f>+SUM(W22:W24)</f>
        <v>320000000</v>
      </c>
      <c r="T22" s="4792" t="s">
        <v>1126</v>
      </c>
      <c r="U22" s="4792" t="s">
        <v>1127</v>
      </c>
      <c r="V22" s="4792" t="s">
        <v>1128</v>
      </c>
      <c r="W22" s="1323">
        <v>120000000</v>
      </c>
      <c r="X22" s="1324">
        <v>7560000</v>
      </c>
      <c r="Y22" s="1324">
        <v>0</v>
      </c>
      <c r="Z22" s="1325">
        <v>12</v>
      </c>
      <c r="AA22" s="1326" t="s">
        <v>1100</v>
      </c>
      <c r="AB22" s="4832">
        <v>6000</v>
      </c>
      <c r="AC22" s="4832">
        <v>15</v>
      </c>
      <c r="AD22" s="4832">
        <v>9000</v>
      </c>
      <c r="AE22" s="4832">
        <v>26</v>
      </c>
      <c r="AF22" s="4832">
        <v>10500</v>
      </c>
      <c r="AG22" s="4832">
        <v>12</v>
      </c>
      <c r="AH22" s="4832">
        <v>4500</v>
      </c>
      <c r="AI22" s="4832">
        <v>29</v>
      </c>
      <c r="AJ22" s="4832"/>
      <c r="AK22" s="4832"/>
      <c r="AL22" s="4832"/>
      <c r="AM22" s="4832"/>
      <c r="AN22" s="4832">
        <v>22</v>
      </c>
      <c r="AO22" s="4832"/>
      <c r="AP22" s="4832">
        <v>115</v>
      </c>
      <c r="AQ22" s="4832"/>
      <c r="AR22" s="4832">
        <v>1</v>
      </c>
      <c r="AS22" s="4832"/>
      <c r="AT22" s="4832"/>
      <c r="AU22" s="4832"/>
      <c r="AV22" s="4832"/>
      <c r="AW22" s="4832"/>
      <c r="AX22" s="4832"/>
      <c r="AY22" s="4832"/>
      <c r="AZ22" s="4832"/>
      <c r="BA22" s="4832"/>
      <c r="BB22" s="4832">
        <v>59</v>
      </c>
      <c r="BC22" s="4832"/>
      <c r="BD22" s="4837"/>
      <c r="BE22" s="4837"/>
      <c r="BF22" s="4832">
        <f>+AB22+AD22</f>
        <v>15000</v>
      </c>
      <c r="BG22" s="4832">
        <f>+AC22+AE22</f>
        <v>41</v>
      </c>
      <c r="BH22" s="4832">
        <v>7</v>
      </c>
      <c r="BI22" s="4825">
        <f>+SUM(X22:X24)</f>
        <v>42580000</v>
      </c>
      <c r="BJ22" s="4825">
        <f>+SUM(Y22:Y24)</f>
        <v>0</v>
      </c>
      <c r="BK22" s="4836">
        <f>+BI22/S22</f>
        <v>0.1330625</v>
      </c>
      <c r="BL22" s="1326" t="s">
        <v>1100</v>
      </c>
      <c r="BM22" s="4832" t="s">
        <v>1129</v>
      </c>
      <c r="BN22" s="4834">
        <v>43480</v>
      </c>
      <c r="BO22" s="4834">
        <v>43480</v>
      </c>
      <c r="BP22" s="4834">
        <v>43830</v>
      </c>
      <c r="BQ22" s="4834">
        <v>43830</v>
      </c>
      <c r="BR22" s="4835" t="s">
        <v>1102</v>
      </c>
    </row>
    <row r="23" spans="1:70" s="1283" customFormat="1" ht="38.25" customHeight="1" x14ac:dyDescent="0.2">
      <c r="A23" s="1300"/>
      <c r="B23" s="1301"/>
      <c r="C23" s="1302"/>
      <c r="D23" s="1318"/>
      <c r="E23" s="1319"/>
      <c r="F23" s="1319"/>
      <c r="G23" s="1318"/>
      <c r="H23" s="1319"/>
      <c r="I23" s="1319"/>
      <c r="J23" s="4804"/>
      <c r="K23" s="4805"/>
      <c r="L23" s="2761"/>
      <c r="M23" s="4804"/>
      <c r="N23" s="4804"/>
      <c r="O23" s="1321" t="s">
        <v>1130</v>
      </c>
      <c r="P23" s="4804"/>
      <c r="Q23" s="4805"/>
      <c r="R23" s="1322">
        <f>+W23/S22</f>
        <v>0.3125</v>
      </c>
      <c r="S23" s="4833"/>
      <c r="T23" s="4793"/>
      <c r="U23" s="4793" t="s">
        <v>816</v>
      </c>
      <c r="V23" s="4793"/>
      <c r="W23" s="1323">
        <v>100000000</v>
      </c>
      <c r="X23" s="1324">
        <v>35020000</v>
      </c>
      <c r="Y23" s="1324">
        <v>0</v>
      </c>
      <c r="Z23" s="1325">
        <v>4</v>
      </c>
      <c r="AA23" s="1326" t="s">
        <v>1109</v>
      </c>
      <c r="AB23" s="4832"/>
      <c r="AC23" s="4832"/>
      <c r="AD23" s="4832"/>
      <c r="AE23" s="4832"/>
      <c r="AF23" s="4832"/>
      <c r="AG23" s="4832"/>
      <c r="AH23" s="4832"/>
      <c r="AI23" s="4832"/>
      <c r="AJ23" s="4832"/>
      <c r="AK23" s="4832"/>
      <c r="AL23" s="4832"/>
      <c r="AM23" s="4832"/>
      <c r="AN23" s="4832"/>
      <c r="AO23" s="4832"/>
      <c r="AP23" s="4832"/>
      <c r="AQ23" s="4832"/>
      <c r="AR23" s="4832"/>
      <c r="AS23" s="4832"/>
      <c r="AT23" s="4832"/>
      <c r="AU23" s="4832"/>
      <c r="AV23" s="4832"/>
      <c r="AW23" s="4832"/>
      <c r="AX23" s="4832"/>
      <c r="AY23" s="4832"/>
      <c r="AZ23" s="4832"/>
      <c r="BA23" s="4832"/>
      <c r="BB23" s="4832"/>
      <c r="BC23" s="4832"/>
      <c r="BD23" s="4838"/>
      <c r="BE23" s="4838"/>
      <c r="BF23" s="4832"/>
      <c r="BG23" s="4832"/>
      <c r="BH23" s="4832"/>
      <c r="BI23" s="4826"/>
      <c r="BJ23" s="4826"/>
      <c r="BK23" s="4836"/>
      <c r="BL23" s="1326" t="s">
        <v>1109</v>
      </c>
      <c r="BM23" s="4832"/>
      <c r="BN23" s="4834"/>
      <c r="BO23" s="4834"/>
      <c r="BP23" s="4834"/>
      <c r="BQ23" s="4834"/>
      <c r="BR23" s="4835"/>
    </row>
    <row r="24" spans="1:70" s="1283" customFormat="1" ht="38.25" customHeight="1" x14ac:dyDescent="0.2">
      <c r="A24" s="1300"/>
      <c r="B24" s="1301"/>
      <c r="C24" s="1302"/>
      <c r="D24" s="1318"/>
      <c r="E24" s="1319"/>
      <c r="F24" s="1319"/>
      <c r="G24" s="1318"/>
      <c r="H24" s="1319"/>
      <c r="I24" s="1319"/>
      <c r="J24" s="4804"/>
      <c r="K24" s="4805"/>
      <c r="L24" s="2761"/>
      <c r="M24" s="4804"/>
      <c r="N24" s="4804"/>
      <c r="O24" s="1321" t="s">
        <v>1131</v>
      </c>
      <c r="P24" s="4804"/>
      <c r="Q24" s="4805"/>
      <c r="R24" s="1322">
        <f>+W24/S22</f>
        <v>0.3125</v>
      </c>
      <c r="S24" s="4833"/>
      <c r="T24" s="4793"/>
      <c r="U24" s="4793"/>
      <c r="V24" s="4793"/>
      <c r="W24" s="1323">
        <v>100000000</v>
      </c>
      <c r="X24" s="1324">
        <v>0</v>
      </c>
      <c r="Y24" s="1324"/>
      <c r="Z24" s="1325">
        <v>7</v>
      </c>
      <c r="AA24" s="1326" t="s">
        <v>1132</v>
      </c>
      <c r="AB24" s="4832"/>
      <c r="AC24" s="4832"/>
      <c r="AD24" s="4832"/>
      <c r="AE24" s="4832"/>
      <c r="AF24" s="4832"/>
      <c r="AG24" s="4832"/>
      <c r="AH24" s="4832"/>
      <c r="AI24" s="4832"/>
      <c r="AJ24" s="4832"/>
      <c r="AK24" s="4832"/>
      <c r="AL24" s="4832"/>
      <c r="AM24" s="4832"/>
      <c r="AN24" s="4832"/>
      <c r="AO24" s="4832"/>
      <c r="AP24" s="4832"/>
      <c r="AQ24" s="4832"/>
      <c r="AR24" s="4832"/>
      <c r="AS24" s="4832"/>
      <c r="AT24" s="4832"/>
      <c r="AU24" s="4832"/>
      <c r="AV24" s="4832"/>
      <c r="AW24" s="4832"/>
      <c r="AX24" s="4832"/>
      <c r="AY24" s="4832"/>
      <c r="AZ24" s="4832"/>
      <c r="BA24" s="4832"/>
      <c r="BB24" s="4832"/>
      <c r="BC24" s="4832"/>
      <c r="BD24" s="4839"/>
      <c r="BE24" s="4839"/>
      <c r="BF24" s="4832"/>
      <c r="BG24" s="4832"/>
      <c r="BH24" s="4832"/>
      <c r="BI24" s="4826"/>
      <c r="BJ24" s="4826"/>
      <c r="BK24" s="4836"/>
      <c r="BL24" s="1326" t="s">
        <v>1132</v>
      </c>
      <c r="BM24" s="4832"/>
      <c r="BN24" s="4834"/>
      <c r="BO24" s="4834"/>
      <c r="BP24" s="4834"/>
      <c r="BQ24" s="4834"/>
      <c r="BR24" s="4835"/>
    </row>
    <row r="25" spans="1:70" s="1283" customFormat="1" ht="23.25" customHeight="1" x14ac:dyDescent="0.2">
      <c r="A25" s="1300"/>
      <c r="B25" s="1301"/>
      <c r="C25" s="1302"/>
      <c r="D25" s="1318"/>
      <c r="E25" s="1319"/>
      <c r="F25" s="1319"/>
      <c r="G25" s="1305">
        <v>71</v>
      </c>
      <c r="H25" s="1306" t="s">
        <v>1133</v>
      </c>
      <c r="I25" s="1306"/>
      <c r="J25" s="1306"/>
      <c r="K25" s="1307"/>
      <c r="L25" s="1306"/>
      <c r="M25" s="1306"/>
      <c r="N25" s="1306"/>
      <c r="O25" s="1306"/>
      <c r="P25" s="1308"/>
      <c r="Q25" s="1307"/>
      <c r="R25" s="1309"/>
      <c r="S25" s="1335"/>
      <c r="T25" s="1307" t="s">
        <v>816</v>
      </c>
      <c r="U25" s="1307" t="s">
        <v>816</v>
      </c>
      <c r="V25" s="1307"/>
      <c r="W25" s="1336">
        <f>+SUM(W22:W24)</f>
        <v>320000000</v>
      </c>
      <c r="X25" s="1336">
        <f>+SUM(X22:X24)</f>
        <v>42580000</v>
      </c>
      <c r="Y25" s="1336">
        <f>+SUM(Y22:Y24)</f>
        <v>0</v>
      </c>
      <c r="Z25" s="1312"/>
      <c r="AA25" s="1308"/>
      <c r="AB25" s="1337"/>
      <c r="AC25" s="1337"/>
      <c r="AD25" s="1337"/>
      <c r="AE25" s="1337"/>
      <c r="AF25" s="1337"/>
      <c r="AG25" s="1337"/>
      <c r="AH25" s="1337"/>
      <c r="AI25" s="1337"/>
      <c r="AJ25" s="1337"/>
      <c r="AK25" s="1337"/>
      <c r="AL25" s="1337"/>
      <c r="AM25" s="1337"/>
      <c r="AN25" s="1337"/>
      <c r="AO25" s="1337"/>
      <c r="AP25" s="1337"/>
      <c r="AQ25" s="1337"/>
      <c r="AR25" s="1337"/>
      <c r="AS25" s="1337"/>
      <c r="AT25" s="1337"/>
      <c r="AU25" s="1337"/>
      <c r="AV25" s="1337"/>
      <c r="AW25" s="1337"/>
      <c r="AX25" s="1337"/>
      <c r="AY25" s="1337"/>
      <c r="AZ25" s="1337"/>
      <c r="BA25" s="1337"/>
      <c r="BB25" s="1337"/>
      <c r="BC25" s="1337"/>
      <c r="BD25" s="1337"/>
      <c r="BE25" s="1337"/>
      <c r="BF25" s="1337"/>
      <c r="BG25" s="1337"/>
      <c r="BH25" s="1337"/>
      <c r="BI25" s="1337"/>
      <c r="BJ25" s="1337"/>
      <c r="BK25" s="1338"/>
      <c r="BL25" s="1308"/>
      <c r="BM25" s="1337"/>
      <c r="BN25" s="1316"/>
      <c r="BO25" s="1316"/>
      <c r="BP25" s="1316"/>
      <c r="BQ25" s="1316"/>
      <c r="BR25" s="1339"/>
    </row>
    <row r="26" spans="1:70" s="1283" customFormat="1" ht="91.5" customHeight="1" x14ac:dyDescent="0.2">
      <c r="A26" s="1300"/>
      <c r="B26" s="1301"/>
      <c r="C26" s="1302"/>
      <c r="D26" s="1318"/>
      <c r="E26" s="1319"/>
      <c r="F26" s="1319"/>
      <c r="G26" s="1318"/>
      <c r="H26" s="1319"/>
      <c r="I26" s="1319"/>
      <c r="J26" s="1341">
        <v>206</v>
      </c>
      <c r="K26" s="1342" t="s">
        <v>1134</v>
      </c>
      <c r="L26" s="1343" t="s">
        <v>1135</v>
      </c>
      <c r="M26" s="1341">
        <v>12</v>
      </c>
      <c r="N26" s="1341">
        <v>0.2</v>
      </c>
      <c r="O26" s="1321" t="s">
        <v>1136</v>
      </c>
      <c r="P26" s="4806" t="s">
        <v>1137</v>
      </c>
      <c r="Q26" s="4792" t="s">
        <v>1138</v>
      </c>
      <c r="R26" s="1322">
        <f>+W26/S26</f>
        <v>0.28947368421052633</v>
      </c>
      <c r="S26" s="4833">
        <f>SUM(W26:W29)</f>
        <v>190000000</v>
      </c>
      <c r="T26" s="4792" t="s">
        <v>1139</v>
      </c>
      <c r="U26" s="4792" t="s">
        <v>1140</v>
      </c>
      <c r="V26" s="1344" t="s">
        <v>1141</v>
      </c>
      <c r="W26" s="1330">
        <v>55000000</v>
      </c>
      <c r="X26" s="1340">
        <v>10107600</v>
      </c>
      <c r="Y26" s="1340">
        <v>2457600</v>
      </c>
      <c r="Z26" s="1345">
        <v>12</v>
      </c>
      <c r="AA26" s="1331" t="s">
        <v>1100</v>
      </c>
      <c r="AB26" s="4798">
        <v>900</v>
      </c>
      <c r="AC26" s="4798">
        <v>132</v>
      </c>
      <c r="AD26" s="4798">
        <v>300</v>
      </c>
      <c r="AE26" s="4798">
        <v>429</v>
      </c>
      <c r="AF26" s="4798">
        <v>372</v>
      </c>
      <c r="AG26" s="4798">
        <v>236</v>
      </c>
      <c r="AH26" s="4798">
        <v>94</v>
      </c>
      <c r="AI26" s="4798">
        <v>195</v>
      </c>
      <c r="AJ26" s="4798">
        <v>734</v>
      </c>
      <c r="AK26" s="4798">
        <v>117</v>
      </c>
      <c r="AL26" s="4798"/>
      <c r="AM26" s="4798">
        <v>13</v>
      </c>
      <c r="AN26" s="4798"/>
      <c r="AO26" s="4798">
        <v>1</v>
      </c>
      <c r="AP26" s="4798"/>
      <c r="AQ26" s="4798">
        <v>1</v>
      </c>
      <c r="AR26" s="4798"/>
      <c r="AS26" s="4798"/>
      <c r="AT26" s="4798"/>
      <c r="AU26" s="4798"/>
      <c r="AV26" s="4798"/>
      <c r="AW26" s="4798"/>
      <c r="AX26" s="4798"/>
      <c r="AY26" s="4798"/>
      <c r="AZ26" s="4798"/>
      <c r="BA26" s="4798"/>
      <c r="BB26" s="4798"/>
      <c r="BC26" s="4798"/>
      <c r="BD26" s="4837"/>
      <c r="BE26" s="4837"/>
      <c r="BF26" s="4798">
        <f>+AB26+AD26</f>
        <v>1200</v>
      </c>
      <c r="BG26" s="4798">
        <f>+AC26+AE26</f>
        <v>561</v>
      </c>
      <c r="BH26" s="4798">
        <v>14</v>
      </c>
      <c r="BI26" s="4825">
        <f>+SUM(X26:X29)</f>
        <v>104677600</v>
      </c>
      <c r="BJ26" s="4825">
        <f>+SUM(Y26:Y29)</f>
        <v>8407600</v>
      </c>
      <c r="BK26" s="4828">
        <f>+BI26/S26</f>
        <v>0.55093473684210525</v>
      </c>
      <c r="BL26" s="1331" t="s">
        <v>1100</v>
      </c>
      <c r="BM26" s="4798" t="s">
        <v>1101</v>
      </c>
      <c r="BN26" s="4820">
        <v>43480</v>
      </c>
      <c r="BO26" s="4820">
        <v>43480</v>
      </c>
      <c r="BP26" s="4820">
        <v>43830</v>
      </c>
      <c r="BQ26" s="4820">
        <v>43830</v>
      </c>
      <c r="BR26" s="4840" t="s">
        <v>1102</v>
      </c>
    </row>
    <row r="27" spans="1:70" s="1283" customFormat="1" ht="64.5" customHeight="1" x14ac:dyDescent="0.2">
      <c r="A27" s="1300"/>
      <c r="B27" s="1301"/>
      <c r="C27" s="1302"/>
      <c r="D27" s="1318"/>
      <c r="E27" s="1319"/>
      <c r="F27" s="1319"/>
      <c r="G27" s="1318"/>
      <c r="H27" s="1319"/>
      <c r="I27" s="1319"/>
      <c r="J27" s="1341">
        <v>207</v>
      </c>
      <c r="K27" s="1342" t="s">
        <v>1142</v>
      </c>
      <c r="L27" s="1343" t="s">
        <v>1143</v>
      </c>
      <c r="M27" s="1341">
        <v>1</v>
      </c>
      <c r="N27" s="1341">
        <v>0.5</v>
      </c>
      <c r="O27" s="1321" t="s">
        <v>1144</v>
      </c>
      <c r="P27" s="4807"/>
      <c r="Q27" s="4793"/>
      <c r="R27" s="1322">
        <f>+W27/S26</f>
        <v>0.42105263157894735</v>
      </c>
      <c r="S27" s="4833"/>
      <c r="T27" s="4793"/>
      <c r="U27" s="4793" t="s">
        <v>816</v>
      </c>
      <c r="V27" s="1344" t="s">
        <v>1145</v>
      </c>
      <c r="W27" s="1330">
        <v>80000000</v>
      </c>
      <c r="X27" s="1340">
        <v>78466000</v>
      </c>
      <c r="Y27" s="1340">
        <v>2700000</v>
      </c>
      <c r="Z27" s="1345">
        <v>12</v>
      </c>
      <c r="AA27" s="1331" t="s">
        <v>1100</v>
      </c>
      <c r="AB27" s="4799"/>
      <c r="AC27" s="4799"/>
      <c r="AD27" s="4799"/>
      <c r="AE27" s="4799"/>
      <c r="AF27" s="4799"/>
      <c r="AG27" s="4799"/>
      <c r="AH27" s="4799"/>
      <c r="AI27" s="4799"/>
      <c r="AJ27" s="4799"/>
      <c r="AK27" s="4799"/>
      <c r="AL27" s="4799"/>
      <c r="AM27" s="4799"/>
      <c r="AN27" s="4799"/>
      <c r="AO27" s="4799"/>
      <c r="AP27" s="4799"/>
      <c r="AQ27" s="4799"/>
      <c r="AR27" s="4799"/>
      <c r="AS27" s="4799"/>
      <c r="AT27" s="4799"/>
      <c r="AU27" s="4799"/>
      <c r="AV27" s="4799"/>
      <c r="AW27" s="4799"/>
      <c r="AX27" s="4799"/>
      <c r="AY27" s="4799"/>
      <c r="AZ27" s="4799"/>
      <c r="BA27" s="4799"/>
      <c r="BB27" s="4799"/>
      <c r="BC27" s="4799"/>
      <c r="BD27" s="4838"/>
      <c r="BE27" s="4838"/>
      <c r="BF27" s="4799"/>
      <c r="BG27" s="4799"/>
      <c r="BH27" s="4799"/>
      <c r="BI27" s="4826"/>
      <c r="BJ27" s="4826"/>
      <c r="BK27" s="4829"/>
      <c r="BL27" s="1331" t="s">
        <v>1100</v>
      </c>
      <c r="BM27" s="4799"/>
      <c r="BN27" s="4821"/>
      <c r="BO27" s="4821"/>
      <c r="BP27" s="4821"/>
      <c r="BQ27" s="4821"/>
      <c r="BR27" s="4841"/>
    </row>
    <row r="28" spans="1:70" s="1283" customFormat="1" ht="45.75" customHeight="1" x14ac:dyDescent="0.2">
      <c r="A28" s="1300"/>
      <c r="B28" s="1301"/>
      <c r="C28" s="1302"/>
      <c r="D28" s="1318"/>
      <c r="E28" s="1319"/>
      <c r="F28" s="1319"/>
      <c r="G28" s="1318"/>
      <c r="H28" s="1319"/>
      <c r="I28" s="1319"/>
      <c r="J28" s="4804">
        <v>208</v>
      </c>
      <c r="K28" s="4824" t="s">
        <v>1146</v>
      </c>
      <c r="L28" s="4824" t="s">
        <v>1147</v>
      </c>
      <c r="M28" s="4804">
        <v>1</v>
      </c>
      <c r="N28" s="4804">
        <v>0.2</v>
      </c>
      <c r="O28" s="1321" t="s">
        <v>1148</v>
      </c>
      <c r="P28" s="4807"/>
      <c r="Q28" s="4793"/>
      <c r="R28" s="1322">
        <f>+W28/S26</f>
        <v>0.15789473684210525</v>
      </c>
      <c r="S28" s="4833"/>
      <c r="T28" s="4793"/>
      <c r="U28" s="4793" t="s">
        <v>816</v>
      </c>
      <c r="V28" s="4805" t="s">
        <v>1149</v>
      </c>
      <c r="W28" s="1330">
        <v>30000000</v>
      </c>
      <c r="X28" s="1324">
        <v>10704000</v>
      </c>
      <c r="Y28" s="1324">
        <v>2000000</v>
      </c>
      <c r="Z28" s="1345">
        <v>4</v>
      </c>
      <c r="AA28" s="1331" t="s">
        <v>1109</v>
      </c>
      <c r="AB28" s="4799"/>
      <c r="AC28" s="4799"/>
      <c r="AD28" s="4799"/>
      <c r="AE28" s="4799"/>
      <c r="AF28" s="4799"/>
      <c r="AG28" s="4799"/>
      <c r="AH28" s="4799"/>
      <c r="AI28" s="4799"/>
      <c r="AJ28" s="4799"/>
      <c r="AK28" s="4799"/>
      <c r="AL28" s="4799"/>
      <c r="AM28" s="4799"/>
      <c r="AN28" s="4799"/>
      <c r="AO28" s="4799"/>
      <c r="AP28" s="4799"/>
      <c r="AQ28" s="4799"/>
      <c r="AR28" s="4799"/>
      <c r="AS28" s="4799"/>
      <c r="AT28" s="4799"/>
      <c r="AU28" s="4799"/>
      <c r="AV28" s="4799"/>
      <c r="AW28" s="4799"/>
      <c r="AX28" s="4799"/>
      <c r="AY28" s="4799"/>
      <c r="AZ28" s="4799"/>
      <c r="BA28" s="4799"/>
      <c r="BB28" s="4799"/>
      <c r="BC28" s="4799"/>
      <c r="BD28" s="4838"/>
      <c r="BE28" s="4838"/>
      <c r="BF28" s="4799"/>
      <c r="BG28" s="4799"/>
      <c r="BH28" s="4799"/>
      <c r="BI28" s="4826"/>
      <c r="BJ28" s="4826"/>
      <c r="BK28" s="4829"/>
      <c r="BL28" s="1331" t="s">
        <v>1109</v>
      </c>
      <c r="BM28" s="4799"/>
      <c r="BN28" s="4821"/>
      <c r="BO28" s="4821"/>
      <c r="BP28" s="4821"/>
      <c r="BQ28" s="4821"/>
      <c r="BR28" s="4841"/>
    </row>
    <row r="29" spans="1:70" s="1283" customFormat="1" ht="48" customHeight="1" x14ac:dyDescent="0.2">
      <c r="A29" s="1300"/>
      <c r="B29" s="1301"/>
      <c r="C29" s="1302"/>
      <c r="D29" s="1318"/>
      <c r="E29" s="1319"/>
      <c r="F29" s="1319"/>
      <c r="G29" s="1318"/>
      <c r="H29" s="1319"/>
      <c r="I29" s="1319"/>
      <c r="J29" s="4804"/>
      <c r="K29" s="4824"/>
      <c r="L29" s="4824"/>
      <c r="M29" s="4804"/>
      <c r="N29" s="4804"/>
      <c r="O29" s="1321" t="s">
        <v>1150</v>
      </c>
      <c r="P29" s="4807"/>
      <c r="Q29" s="4793"/>
      <c r="R29" s="1322">
        <f>+W29/S26</f>
        <v>0.13157894736842105</v>
      </c>
      <c r="S29" s="4833"/>
      <c r="T29" s="4793"/>
      <c r="U29" s="4793"/>
      <c r="V29" s="4805"/>
      <c r="W29" s="1330">
        <v>25000000</v>
      </c>
      <c r="X29" s="1324">
        <v>5400000</v>
      </c>
      <c r="Y29" s="1324">
        <v>1250000</v>
      </c>
      <c r="Z29" s="1345">
        <v>12</v>
      </c>
      <c r="AA29" s="1331" t="s">
        <v>1100</v>
      </c>
      <c r="AB29" s="4799"/>
      <c r="AC29" s="4799"/>
      <c r="AD29" s="4799"/>
      <c r="AE29" s="4799"/>
      <c r="AF29" s="4799"/>
      <c r="AG29" s="4799"/>
      <c r="AH29" s="4799"/>
      <c r="AI29" s="4799"/>
      <c r="AJ29" s="4799"/>
      <c r="AK29" s="4799"/>
      <c r="AL29" s="4799"/>
      <c r="AM29" s="4799"/>
      <c r="AN29" s="4799"/>
      <c r="AO29" s="4799"/>
      <c r="AP29" s="4799"/>
      <c r="AQ29" s="4799"/>
      <c r="AR29" s="4799"/>
      <c r="AS29" s="4799"/>
      <c r="AT29" s="4799"/>
      <c r="AU29" s="4799"/>
      <c r="AV29" s="4799"/>
      <c r="AW29" s="4799"/>
      <c r="AX29" s="4799"/>
      <c r="AY29" s="4799"/>
      <c r="AZ29" s="4799"/>
      <c r="BA29" s="4799"/>
      <c r="BB29" s="4799"/>
      <c r="BC29" s="4799"/>
      <c r="BD29" s="4838"/>
      <c r="BE29" s="4838"/>
      <c r="BF29" s="4799"/>
      <c r="BG29" s="4799"/>
      <c r="BH29" s="4799"/>
      <c r="BI29" s="4826"/>
      <c r="BJ29" s="4826"/>
      <c r="BK29" s="4829"/>
      <c r="BL29" s="1331" t="s">
        <v>1100</v>
      </c>
      <c r="BM29" s="4799"/>
      <c r="BN29" s="4821"/>
      <c r="BO29" s="4821"/>
      <c r="BP29" s="4821"/>
      <c r="BQ29" s="4821"/>
      <c r="BR29" s="4841"/>
    </row>
    <row r="30" spans="1:70" s="1283" customFormat="1" ht="20.25" customHeight="1" x14ac:dyDescent="0.2">
      <c r="A30" s="1284"/>
      <c r="B30" s="1285"/>
      <c r="C30" s="1286"/>
      <c r="D30" s="1287">
        <v>21</v>
      </c>
      <c r="E30" s="1288" t="s">
        <v>1151</v>
      </c>
      <c r="F30" s="1288"/>
      <c r="G30" s="1288"/>
      <c r="H30" s="1288"/>
      <c r="I30" s="1288"/>
      <c r="J30" s="1288"/>
      <c r="K30" s="1289"/>
      <c r="L30" s="1288"/>
      <c r="M30" s="1288"/>
      <c r="N30" s="1288"/>
      <c r="O30" s="1288"/>
      <c r="P30" s="1290"/>
      <c r="Q30" s="1289"/>
      <c r="R30" s="1291"/>
      <c r="S30" s="1346"/>
      <c r="T30" s="1289" t="s">
        <v>816</v>
      </c>
      <c r="U30" s="1289" t="s">
        <v>816</v>
      </c>
      <c r="V30" s="1289"/>
      <c r="W30" s="1347">
        <f>+SUM(W26:W29)</f>
        <v>190000000</v>
      </c>
      <c r="X30" s="1347">
        <f>+SUM(X26:X29)</f>
        <v>104677600</v>
      </c>
      <c r="Y30" s="1347">
        <f>+SUM(Y26:Y29)</f>
        <v>8407600</v>
      </c>
      <c r="Z30" s="1294"/>
      <c r="AA30" s="1290"/>
      <c r="AB30" s="1288"/>
      <c r="AC30" s="1288"/>
      <c r="AD30" s="1288"/>
      <c r="AE30" s="1288"/>
      <c r="AF30" s="1288"/>
      <c r="AG30" s="1288"/>
      <c r="AH30" s="1288"/>
      <c r="AI30" s="1288"/>
      <c r="AJ30" s="1288"/>
      <c r="AK30" s="1288"/>
      <c r="AL30" s="1288"/>
      <c r="AM30" s="1288"/>
      <c r="AN30" s="1288"/>
      <c r="AO30" s="1288"/>
      <c r="AP30" s="1288"/>
      <c r="AQ30" s="1288"/>
      <c r="AR30" s="1288"/>
      <c r="AS30" s="1288"/>
      <c r="AT30" s="1288"/>
      <c r="AU30" s="1288"/>
      <c r="AV30" s="1288"/>
      <c r="AW30" s="1288"/>
      <c r="AX30" s="1288"/>
      <c r="AY30" s="1288"/>
      <c r="AZ30" s="1288"/>
      <c r="BA30" s="1288"/>
      <c r="BB30" s="1288"/>
      <c r="BC30" s="1288"/>
      <c r="BD30" s="1288"/>
      <c r="BE30" s="1288"/>
      <c r="BF30" s="1288"/>
      <c r="BG30" s="1288"/>
      <c r="BH30" s="1295"/>
      <c r="BI30" s="1295"/>
      <c r="BJ30" s="1295"/>
      <c r="BK30" s="1296"/>
      <c r="BL30" s="1290"/>
      <c r="BM30" s="1295"/>
      <c r="BN30" s="1298"/>
      <c r="BO30" s="1298"/>
      <c r="BP30" s="1298"/>
      <c r="BQ30" s="1298"/>
      <c r="BR30" s="1299"/>
    </row>
    <row r="31" spans="1:70" s="1283" customFormat="1" ht="23.25" customHeight="1" x14ac:dyDescent="0.2">
      <c r="A31" s="1300"/>
      <c r="B31" s="1301"/>
      <c r="C31" s="1302"/>
      <c r="D31" s="1318"/>
      <c r="E31" s="1319"/>
      <c r="F31" s="1319"/>
      <c r="G31" s="1305">
        <v>72</v>
      </c>
      <c r="H31" s="1306" t="s">
        <v>1152</v>
      </c>
      <c r="I31" s="1306"/>
      <c r="J31" s="1306"/>
      <c r="K31" s="1307"/>
      <c r="L31" s="1306"/>
      <c r="M31" s="1306"/>
      <c r="N31" s="1306"/>
      <c r="O31" s="1306"/>
      <c r="P31" s="1308"/>
      <c r="Q31" s="1307"/>
      <c r="R31" s="1309"/>
      <c r="S31" s="1335"/>
      <c r="T31" s="1307" t="s">
        <v>816</v>
      </c>
      <c r="U31" s="1307" t="s">
        <v>816</v>
      </c>
      <c r="V31" s="1307"/>
      <c r="W31" s="1336"/>
      <c r="X31" s="1336"/>
      <c r="Y31" s="1336"/>
      <c r="Z31" s="1312"/>
      <c r="AA31" s="1308"/>
      <c r="AB31" s="1337"/>
      <c r="AC31" s="1337"/>
      <c r="AD31" s="1337"/>
      <c r="AE31" s="1337"/>
      <c r="AF31" s="1337"/>
      <c r="AG31" s="1337"/>
      <c r="AH31" s="1337"/>
      <c r="AI31" s="1337"/>
      <c r="AJ31" s="1337"/>
      <c r="AK31" s="1337"/>
      <c r="AL31" s="1337"/>
      <c r="AM31" s="1337"/>
      <c r="AN31" s="1337"/>
      <c r="AO31" s="1337"/>
      <c r="AP31" s="1337"/>
      <c r="AQ31" s="1337"/>
      <c r="AR31" s="1337"/>
      <c r="AS31" s="1337"/>
      <c r="AT31" s="1337"/>
      <c r="AU31" s="1337"/>
      <c r="AV31" s="1337"/>
      <c r="AW31" s="1337"/>
      <c r="AX31" s="1337"/>
      <c r="AY31" s="1337"/>
      <c r="AZ31" s="1337"/>
      <c r="BA31" s="1337"/>
      <c r="BB31" s="1337"/>
      <c r="BC31" s="1337"/>
      <c r="BD31" s="1337"/>
      <c r="BE31" s="1337"/>
      <c r="BF31" s="1337"/>
      <c r="BG31" s="1337"/>
      <c r="BH31" s="1337"/>
      <c r="BI31" s="1337"/>
      <c r="BJ31" s="1337"/>
      <c r="BK31" s="1338"/>
      <c r="BL31" s="1308"/>
      <c r="BM31" s="1337"/>
      <c r="BN31" s="1316"/>
      <c r="BO31" s="1316"/>
      <c r="BP31" s="1316"/>
      <c r="BQ31" s="1316"/>
      <c r="BR31" s="1339"/>
    </row>
    <row r="32" spans="1:70" s="1283" customFormat="1" ht="45" customHeight="1" x14ac:dyDescent="0.2">
      <c r="A32" s="1300"/>
      <c r="B32" s="1301"/>
      <c r="C32" s="1302"/>
      <c r="D32" s="1318"/>
      <c r="E32" s="1319"/>
      <c r="F32" s="1319"/>
      <c r="G32" s="1318"/>
      <c r="H32" s="1319"/>
      <c r="I32" s="1319"/>
      <c r="J32" s="4804">
        <v>209</v>
      </c>
      <c r="K32" s="2978" t="s">
        <v>1153</v>
      </c>
      <c r="L32" s="2978" t="s">
        <v>1154</v>
      </c>
      <c r="M32" s="4806">
        <v>1</v>
      </c>
      <c r="N32" s="4806">
        <v>0.5</v>
      </c>
      <c r="O32" s="1321" t="s">
        <v>1155</v>
      </c>
      <c r="P32" s="4806" t="s">
        <v>1156</v>
      </c>
      <c r="Q32" s="4792" t="s">
        <v>1157</v>
      </c>
      <c r="R32" s="1322">
        <f>+W32/$S$32</f>
        <v>0.18053688419696262</v>
      </c>
      <c r="S32" s="4809">
        <f>+SUM(W32:W40)</f>
        <v>166171030</v>
      </c>
      <c r="T32" s="4792" t="s">
        <v>1158</v>
      </c>
      <c r="U32" s="4792" t="s">
        <v>1159</v>
      </c>
      <c r="V32" s="4792" t="s">
        <v>1160</v>
      </c>
      <c r="W32" s="1323">
        <v>30000000</v>
      </c>
      <c r="X32" s="1324">
        <v>14112000</v>
      </c>
      <c r="Y32" s="1324">
        <v>1300000</v>
      </c>
      <c r="Z32" s="1325">
        <v>3</v>
      </c>
      <c r="AA32" s="1326" t="s">
        <v>1107</v>
      </c>
      <c r="AB32" s="4798">
        <v>1666</v>
      </c>
      <c r="AC32" s="4798">
        <v>160</v>
      </c>
      <c r="AD32" s="4798">
        <v>1507</v>
      </c>
      <c r="AE32" s="4798">
        <v>106</v>
      </c>
      <c r="AF32" s="4798">
        <v>1400</v>
      </c>
      <c r="AG32" s="4798">
        <v>166</v>
      </c>
      <c r="AH32" s="4798">
        <v>350</v>
      </c>
      <c r="AI32" s="4798">
        <v>40</v>
      </c>
      <c r="AJ32" s="4798">
        <v>450</v>
      </c>
      <c r="AK32" s="4798">
        <v>60</v>
      </c>
      <c r="AL32" s="4798">
        <v>973</v>
      </c>
      <c r="AM32" s="4798"/>
      <c r="AN32" s="4798"/>
      <c r="AO32" s="4798"/>
      <c r="AP32" s="4798"/>
      <c r="AQ32" s="4798"/>
      <c r="AR32" s="4798"/>
      <c r="AS32" s="4798"/>
      <c r="AT32" s="4798"/>
      <c r="AU32" s="4798"/>
      <c r="AV32" s="4798"/>
      <c r="AW32" s="4798"/>
      <c r="AX32" s="4798"/>
      <c r="AY32" s="4798"/>
      <c r="AZ32" s="4798"/>
      <c r="BA32" s="4798"/>
      <c r="BB32" s="4798"/>
      <c r="BC32" s="4798"/>
      <c r="BD32" s="4837"/>
      <c r="BE32" s="4837"/>
      <c r="BF32" s="4798">
        <f>+AB32+AD32</f>
        <v>3173</v>
      </c>
      <c r="BG32" s="4798">
        <f>+AC32+AE32</f>
        <v>266</v>
      </c>
      <c r="BH32" s="4798">
        <v>6</v>
      </c>
      <c r="BI32" s="4825">
        <f>+SUM(X32:X40)</f>
        <v>34132000</v>
      </c>
      <c r="BJ32" s="4825">
        <f>+SUM(Y32:Y40)</f>
        <v>1800000</v>
      </c>
      <c r="BK32" s="4828">
        <f>+BI32/S32</f>
        <v>0.20540283104702425</v>
      </c>
      <c r="BL32" s="1326" t="s">
        <v>1107</v>
      </c>
      <c r="BM32" s="4798" t="s">
        <v>1161</v>
      </c>
      <c r="BN32" s="4820">
        <v>43480</v>
      </c>
      <c r="BO32" s="4820">
        <v>43480</v>
      </c>
      <c r="BP32" s="4820">
        <v>43830</v>
      </c>
      <c r="BQ32" s="4820">
        <v>43830</v>
      </c>
      <c r="BR32" s="4840" t="s">
        <v>1102</v>
      </c>
    </row>
    <row r="33" spans="1:70" s="1283" customFormat="1" ht="45" customHeight="1" x14ac:dyDescent="0.2">
      <c r="A33" s="1300"/>
      <c r="B33" s="1301"/>
      <c r="C33" s="1302"/>
      <c r="D33" s="1318"/>
      <c r="E33" s="1319"/>
      <c r="F33" s="1319"/>
      <c r="G33" s="1318"/>
      <c r="H33" s="1319"/>
      <c r="I33" s="1319"/>
      <c r="J33" s="4804"/>
      <c r="K33" s="2982"/>
      <c r="L33" s="2982"/>
      <c r="M33" s="4807"/>
      <c r="N33" s="4807"/>
      <c r="O33" s="1321" t="s">
        <v>1162</v>
      </c>
      <c r="P33" s="4807"/>
      <c r="Q33" s="4793"/>
      <c r="R33" s="1322">
        <f t="shared" ref="R33:R40" si="2">+W33/$S$32</f>
        <v>0.15044740349746885</v>
      </c>
      <c r="S33" s="4810"/>
      <c r="T33" s="4793"/>
      <c r="U33" s="4793"/>
      <c r="V33" s="4793"/>
      <c r="W33" s="1323">
        <v>25000000</v>
      </c>
      <c r="X33" s="1324">
        <v>0</v>
      </c>
      <c r="Y33" s="1324">
        <v>0</v>
      </c>
      <c r="Z33" s="1325">
        <v>7</v>
      </c>
      <c r="AA33" s="1326" t="s">
        <v>1132</v>
      </c>
      <c r="AB33" s="4799"/>
      <c r="AC33" s="4799"/>
      <c r="AD33" s="4799"/>
      <c r="AE33" s="4799"/>
      <c r="AF33" s="4799"/>
      <c r="AG33" s="4799"/>
      <c r="AH33" s="4799"/>
      <c r="AI33" s="4799"/>
      <c r="AJ33" s="4799"/>
      <c r="AK33" s="4799"/>
      <c r="AL33" s="4799"/>
      <c r="AM33" s="4799"/>
      <c r="AN33" s="4799"/>
      <c r="AO33" s="4799"/>
      <c r="AP33" s="4799"/>
      <c r="AQ33" s="4799"/>
      <c r="AR33" s="4799"/>
      <c r="AS33" s="4799"/>
      <c r="AT33" s="4799"/>
      <c r="AU33" s="4799"/>
      <c r="AV33" s="4799"/>
      <c r="AW33" s="4799"/>
      <c r="AX33" s="4799"/>
      <c r="AY33" s="4799"/>
      <c r="AZ33" s="4799"/>
      <c r="BA33" s="4799"/>
      <c r="BB33" s="4799"/>
      <c r="BC33" s="4799"/>
      <c r="BD33" s="4838"/>
      <c r="BE33" s="4838"/>
      <c r="BF33" s="4799"/>
      <c r="BG33" s="4799"/>
      <c r="BH33" s="4799"/>
      <c r="BI33" s="4826"/>
      <c r="BJ33" s="4826"/>
      <c r="BK33" s="4829"/>
      <c r="BL33" s="1326" t="s">
        <v>1132</v>
      </c>
      <c r="BM33" s="4799"/>
      <c r="BN33" s="4821"/>
      <c r="BO33" s="4821"/>
      <c r="BP33" s="4821"/>
      <c r="BQ33" s="4821"/>
      <c r="BR33" s="4841"/>
    </row>
    <row r="34" spans="1:70" s="1283" customFormat="1" ht="45" customHeight="1" x14ac:dyDescent="0.2">
      <c r="A34" s="1300"/>
      <c r="B34" s="1301"/>
      <c r="C34" s="1302"/>
      <c r="D34" s="1318"/>
      <c r="E34" s="1319"/>
      <c r="F34" s="1319"/>
      <c r="G34" s="1318"/>
      <c r="H34" s="1319"/>
      <c r="I34" s="1319"/>
      <c r="J34" s="4804"/>
      <c r="K34" s="2982"/>
      <c r="L34" s="2982"/>
      <c r="M34" s="4807"/>
      <c r="N34" s="4807"/>
      <c r="O34" s="28" t="s">
        <v>1163</v>
      </c>
      <c r="P34" s="4807"/>
      <c r="Q34" s="4793"/>
      <c r="R34" s="1322">
        <f t="shared" si="2"/>
        <v>0.12035792279797508</v>
      </c>
      <c r="S34" s="4810"/>
      <c r="T34" s="4793"/>
      <c r="U34" s="4793"/>
      <c r="V34" s="4793"/>
      <c r="W34" s="1348">
        <v>20000000</v>
      </c>
      <c r="X34" s="1324">
        <v>0</v>
      </c>
      <c r="Y34" s="1324">
        <v>0</v>
      </c>
      <c r="Z34" s="1325">
        <v>3</v>
      </c>
      <c r="AA34" s="1349" t="s">
        <v>1164</v>
      </c>
      <c r="AB34" s="4799"/>
      <c r="AC34" s="4799"/>
      <c r="AD34" s="4799"/>
      <c r="AE34" s="4799"/>
      <c r="AF34" s="4799"/>
      <c r="AG34" s="4799"/>
      <c r="AH34" s="4799"/>
      <c r="AI34" s="4799"/>
      <c r="AJ34" s="4799"/>
      <c r="AK34" s="4799"/>
      <c r="AL34" s="4799"/>
      <c r="AM34" s="4799"/>
      <c r="AN34" s="4799"/>
      <c r="AO34" s="4799"/>
      <c r="AP34" s="4799"/>
      <c r="AQ34" s="4799"/>
      <c r="AR34" s="4799"/>
      <c r="AS34" s="4799"/>
      <c r="AT34" s="4799"/>
      <c r="AU34" s="4799"/>
      <c r="AV34" s="4799"/>
      <c r="AW34" s="4799"/>
      <c r="AX34" s="4799"/>
      <c r="AY34" s="4799"/>
      <c r="AZ34" s="4799"/>
      <c r="BA34" s="4799"/>
      <c r="BB34" s="4799"/>
      <c r="BC34" s="4799"/>
      <c r="BD34" s="4838"/>
      <c r="BE34" s="4838"/>
      <c r="BF34" s="4799"/>
      <c r="BG34" s="4799"/>
      <c r="BH34" s="4799"/>
      <c r="BI34" s="4826"/>
      <c r="BJ34" s="4826"/>
      <c r="BK34" s="4829"/>
      <c r="BL34" s="1349" t="s">
        <v>1164</v>
      </c>
      <c r="BM34" s="4799"/>
      <c r="BN34" s="4821"/>
      <c r="BO34" s="4821"/>
      <c r="BP34" s="4821"/>
      <c r="BQ34" s="4821"/>
      <c r="BR34" s="4841"/>
    </row>
    <row r="35" spans="1:70" s="1283" customFormat="1" ht="39" customHeight="1" x14ac:dyDescent="0.2">
      <c r="A35" s="1300"/>
      <c r="B35" s="1301"/>
      <c r="C35" s="1302"/>
      <c r="D35" s="1318"/>
      <c r="E35" s="1319"/>
      <c r="F35" s="1319"/>
      <c r="G35" s="1318"/>
      <c r="H35" s="1319"/>
      <c r="I35" s="1319"/>
      <c r="J35" s="4806">
        <v>210</v>
      </c>
      <c r="K35" s="2978" t="s">
        <v>1165</v>
      </c>
      <c r="L35" s="2978" t="s">
        <v>1166</v>
      </c>
      <c r="M35" s="4806">
        <v>1</v>
      </c>
      <c r="N35" s="4806">
        <v>0.5</v>
      </c>
      <c r="O35" s="1321" t="s">
        <v>1167</v>
      </c>
      <c r="P35" s="4807"/>
      <c r="Q35" s="4793"/>
      <c r="R35" s="1322">
        <f t="shared" si="2"/>
        <v>5.4161065259088786E-2</v>
      </c>
      <c r="S35" s="4810"/>
      <c r="T35" s="4793"/>
      <c r="U35" s="4793"/>
      <c r="V35" s="4792" t="s">
        <v>1168</v>
      </c>
      <c r="W35" s="1323">
        <v>9000000</v>
      </c>
      <c r="X35" s="1324">
        <v>3604000</v>
      </c>
      <c r="Y35" s="1324">
        <v>0</v>
      </c>
      <c r="Z35" s="1325">
        <v>4</v>
      </c>
      <c r="AA35" s="1326" t="s">
        <v>1109</v>
      </c>
      <c r="AB35" s="4799"/>
      <c r="AC35" s="4799"/>
      <c r="AD35" s="4799"/>
      <c r="AE35" s="4799"/>
      <c r="AF35" s="4799"/>
      <c r="AG35" s="4799"/>
      <c r="AH35" s="4799"/>
      <c r="AI35" s="4799"/>
      <c r="AJ35" s="4799"/>
      <c r="AK35" s="4799"/>
      <c r="AL35" s="4799"/>
      <c r="AM35" s="4799"/>
      <c r="AN35" s="4799"/>
      <c r="AO35" s="4799"/>
      <c r="AP35" s="4799"/>
      <c r="AQ35" s="4799"/>
      <c r="AR35" s="4799"/>
      <c r="AS35" s="4799"/>
      <c r="AT35" s="4799"/>
      <c r="AU35" s="4799"/>
      <c r="AV35" s="4799"/>
      <c r="AW35" s="4799"/>
      <c r="AX35" s="4799"/>
      <c r="AY35" s="4799"/>
      <c r="AZ35" s="4799"/>
      <c r="BA35" s="4799"/>
      <c r="BB35" s="4799"/>
      <c r="BC35" s="4799"/>
      <c r="BD35" s="4838"/>
      <c r="BE35" s="4838"/>
      <c r="BF35" s="4799"/>
      <c r="BG35" s="4799"/>
      <c r="BH35" s="4799"/>
      <c r="BI35" s="4826"/>
      <c r="BJ35" s="4826"/>
      <c r="BK35" s="4829"/>
      <c r="BL35" s="1326" t="s">
        <v>1109</v>
      </c>
      <c r="BM35" s="4799"/>
      <c r="BN35" s="4821"/>
      <c r="BO35" s="4821"/>
      <c r="BP35" s="4821"/>
      <c r="BQ35" s="4821"/>
      <c r="BR35" s="4841"/>
    </row>
    <row r="36" spans="1:70" s="1283" customFormat="1" ht="31.5" customHeight="1" x14ac:dyDescent="0.2">
      <c r="A36" s="1300"/>
      <c r="B36" s="1301"/>
      <c r="C36" s="1302"/>
      <c r="D36" s="1318"/>
      <c r="E36" s="1319"/>
      <c r="F36" s="1319"/>
      <c r="G36" s="1318"/>
      <c r="H36" s="1319"/>
      <c r="I36" s="1319"/>
      <c r="J36" s="4807"/>
      <c r="K36" s="2982"/>
      <c r="L36" s="2982"/>
      <c r="M36" s="4807"/>
      <c r="N36" s="4807"/>
      <c r="O36" s="1321" t="s">
        <v>1169</v>
      </c>
      <c r="P36" s="4807"/>
      <c r="Q36" s="4793"/>
      <c r="R36" s="1322">
        <f t="shared" si="2"/>
        <v>0.15044740349746885</v>
      </c>
      <c r="S36" s="4810"/>
      <c r="T36" s="4793"/>
      <c r="U36" s="4793"/>
      <c r="V36" s="4793"/>
      <c r="W36" s="1323">
        <v>25000000</v>
      </c>
      <c r="X36" s="1324">
        <v>7406000</v>
      </c>
      <c r="Y36" s="1324">
        <v>500000</v>
      </c>
      <c r="Z36" s="1325">
        <v>3</v>
      </c>
      <c r="AA36" s="1326" t="s">
        <v>1107</v>
      </c>
      <c r="AB36" s="4799"/>
      <c r="AC36" s="4799"/>
      <c r="AD36" s="4799"/>
      <c r="AE36" s="4799"/>
      <c r="AF36" s="4799"/>
      <c r="AG36" s="4799"/>
      <c r="AH36" s="4799"/>
      <c r="AI36" s="4799"/>
      <c r="AJ36" s="4799"/>
      <c r="AK36" s="4799"/>
      <c r="AL36" s="4799"/>
      <c r="AM36" s="4799"/>
      <c r="AN36" s="4799"/>
      <c r="AO36" s="4799"/>
      <c r="AP36" s="4799"/>
      <c r="AQ36" s="4799"/>
      <c r="AR36" s="4799"/>
      <c r="AS36" s="4799"/>
      <c r="AT36" s="4799"/>
      <c r="AU36" s="4799"/>
      <c r="AV36" s="4799"/>
      <c r="AW36" s="4799"/>
      <c r="AX36" s="4799"/>
      <c r="AY36" s="4799"/>
      <c r="AZ36" s="4799"/>
      <c r="BA36" s="4799"/>
      <c r="BB36" s="4799"/>
      <c r="BC36" s="4799"/>
      <c r="BD36" s="4838"/>
      <c r="BE36" s="4838"/>
      <c r="BF36" s="4799"/>
      <c r="BG36" s="4799"/>
      <c r="BH36" s="4799"/>
      <c r="BI36" s="4826"/>
      <c r="BJ36" s="4826"/>
      <c r="BK36" s="4829"/>
      <c r="BL36" s="1326" t="s">
        <v>1107</v>
      </c>
      <c r="BM36" s="4799"/>
      <c r="BN36" s="4821"/>
      <c r="BO36" s="4821"/>
      <c r="BP36" s="4821"/>
      <c r="BQ36" s="4821"/>
      <c r="BR36" s="4841"/>
    </row>
    <row r="37" spans="1:70" s="1283" customFormat="1" ht="31.5" customHeight="1" x14ac:dyDescent="0.2">
      <c r="A37" s="1300"/>
      <c r="B37" s="1301"/>
      <c r="C37" s="1302"/>
      <c r="D37" s="1318"/>
      <c r="E37" s="1319"/>
      <c r="F37" s="1319"/>
      <c r="G37" s="1318"/>
      <c r="H37" s="1319"/>
      <c r="I37" s="1319"/>
      <c r="J37" s="4807"/>
      <c r="K37" s="2982"/>
      <c r="L37" s="2982"/>
      <c r="M37" s="4807"/>
      <c r="N37" s="4807"/>
      <c r="O37" s="1321" t="s">
        <v>1170</v>
      </c>
      <c r="P37" s="4807"/>
      <c r="Q37" s="4793"/>
      <c r="R37" s="1322">
        <f t="shared" si="2"/>
        <v>6.017896139898754E-2</v>
      </c>
      <c r="S37" s="4810"/>
      <c r="T37" s="4793"/>
      <c r="U37" s="4793"/>
      <c r="V37" s="4793"/>
      <c r="W37" s="1323">
        <v>10000000</v>
      </c>
      <c r="X37" s="1324">
        <v>0</v>
      </c>
      <c r="Y37" s="1324">
        <v>0</v>
      </c>
      <c r="Z37" s="1325">
        <v>7</v>
      </c>
      <c r="AA37" s="1326" t="s">
        <v>1132</v>
      </c>
      <c r="AB37" s="4799"/>
      <c r="AC37" s="4799"/>
      <c r="AD37" s="4799"/>
      <c r="AE37" s="4799"/>
      <c r="AF37" s="4799"/>
      <c r="AG37" s="4799"/>
      <c r="AH37" s="4799"/>
      <c r="AI37" s="4799"/>
      <c r="AJ37" s="4799"/>
      <c r="AK37" s="4799"/>
      <c r="AL37" s="4799"/>
      <c r="AM37" s="4799"/>
      <c r="AN37" s="4799"/>
      <c r="AO37" s="4799"/>
      <c r="AP37" s="4799"/>
      <c r="AQ37" s="4799"/>
      <c r="AR37" s="4799"/>
      <c r="AS37" s="4799"/>
      <c r="AT37" s="4799"/>
      <c r="AU37" s="4799"/>
      <c r="AV37" s="4799"/>
      <c r="AW37" s="4799"/>
      <c r="AX37" s="4799"/>
      <c r="AY37" s="4799"/>
      <c r="AZ37" s="4799"/>
      <c r="BA37" s="4799"/>
      <c r="BB37" s="4799"/>
      <c r="BC37" s="4799"/>
      <c r="BD37" s="4838"/>
      <c r="BE37" s="4838"/>
      <c r="BF37" s="4799"/>
      <c r="BG37" s="4799"/>
      <c r="BH37" s="4799"/>
      <c r="BI37" s="4826"/>
      <c r="BJ37" s="4826"/>
      <c r="BK37" s="4829"/>
      <c r="BL37" s="1326" t="s">
        <v>1132</v>
      </c>
      <c r="BM37" s="4799"/>
      <c r="BN37" s="4821"/>
      <c r="BO37" s="4821"/>
      <c r="BP37" s="4821"/>
      <c r="BQ37" s="4821"/>
      <c r="BR37" s="4841"/>
    </row>
    <row r="38" spans="1:70" s="1283" customFormat="1" ht="31.5" customHeight="1" x14ac:dyDescent="0.2">
      <c r="A38" s="1300"/>
      <c r="B38" s="1301"/>
      <c r="C38" s="1302"/>
      <c r="D38" s="1318"/>
      <c r="E38" s="1319"/>
      <c r="F38" s="1319"/>
      <c r="G38" s="1318"/>
      <c r="H38" s="1319"/>
      <c r="I38" s="1319"/>
      <c r="J38" s="4807"/>
      <c r="K38" s="2982"/>
      <c r="L38" s="2982"/>
      <c r="M38" s="4807"/>
      <c r="N38" s="4807"/>
      <c r="O38" s="28" t="s">
        <v>1171</v>
      </c>
      <c r="P38" s="4807"/>
      <c r="Q38" s="4793"/>
      <c r="R38" s="1322">
        <f t="shared" si="2"/>
        <v>7.3243994455591932E-2</v>
      </c>
      <c r="S38" s="4810"/>
      <c r="T38" s="4793"/>
      <c r="U38" s="4793"/>
      <c r="V38" s="4793"/>
      <c r="W38" s="1348">
        <v>12171030</v>
      </c>
      <c r="X38" s="1324">
        <v>0</v>
      </c>
      <c r="Y38" s="1324">
        <v>0</v>
      </c>
      <c r="Z38" s="1325">
        <v>3</v>
      </c>
      <c r="AA38" s="1349" t="s">
        <v>1164</v>
      </c>
      <c r="AB38" s="4799"/>
      <c r="AC38" s="4799"/>
      <c r="AD38" s="4799"/>
      <c r="AE38" s="4799"/>
      <c r="AF38" s="4799"/>
      <c r="AG38" s="4799"/>
      <c r="AH38" s="4799"/>
      <c r="AI38" s="4799"/>
      <c r="AJ38" s="4799"/>
      <c r="AK38" s="4799"/>
      <c r="AL38" s="4799"/>
      <c r="AM38" s="4799"/>
      <c r="AN38" s="4799"/>
      <c r="AO38" s="4799"/>
      <c r="AP38" s="4799"/>
      <c r="AQ38" s="4799"/>
      <c r="AR38" s="4799"/>
      <c r="AS38" s="4799"/>
      <c r="AT38" s="4799"/>
      <c r="AU38" s="4799"/>
      <c r="AV38" s="4799"/>
      <c r="AW38" s="4799"/>
      <c r="AX38" s="4799"/>
      <c r="AY38" s="4799"/>
      <c r="AZ38" s="4799"/>
      <c r="BA38" s="4799"/>
      <c r="BB38" s="4799"/>
      <c r="BC38" s="4799"/>
      <c r="BD38" s="4838"/>
      <c r="BE38" s="4838"/>
      <c r="BF38" s="4799"/>
      <c r="BG38" s="4799"/>
      <c r="BH38" s="4799"/>
      <c r="BI38" s="4826"/>
      <c r="BJ38" s="4826"/>
      <c r="BK38" s="4829"/>
      <c r="BL38" s="1349" t="s">
        <v>1164</v>
      </c>
      <c r="BM38" s="4799"/>
      <c r="BN38" s="4821"/>
      <c r="BO38" s="4821"/>
      <c r="BP38" s="4821"/>
      <c r="BQ38" s="4821"/>
      <c r="BR38" s="4841"/>
    </row>
    <row r="39" spans="1:70" s="1283" customFormat="1" ht="27" customHeight="1" x14ac:dyDescent="0.2">
      <c r="A39" s="1300"/>
      <c r="B39" s="1301"/>
      <c r="C39" s="1302"/>
      <c r="D39" s="1318"/>
      <c r="E39" s="1319"/>
      <c r="F39" s="1319"/>
      <c r="G39" s="1318"/>
      <c r="H39" s="1319"/>
      <c r="I39" s="1319"/>
      <c r="J39" s="4806">
        <v>211</v>
      </c>
      <c r="K39" s="4842" t="s">
        <v>1172</v>
      </c>
      <c r="L39" s="2759" t="s">
        <v>1173</v>
      </c>
      <c r="M39" s="4806">
        <v>1</v>
      </c>
      <c r="N39" s="4844">
        <v>1</v>
      </c>
      <c r="O39" s="1321" t="s">
        <v>1174</v>
      </c>
      <c r="P39" s="4807"/>
      <c r="Q39" s="4793"/>
      <c r="R39" s="1322">
        <f t="shared" si="2"/>
        <v>0.15044740349746885</v>
      </c>
      <c r="S39" s="4810"/>
      <c r="T39" s="4793"/>
      <c r="U39" s="4793"/>
      <c r="V39" s="4792" t="s">
        <v>1175</v>
      </c>
      <c r="W39" s="1323">
        <v>25000000</v>
      </c>
      <c r="X39" s="1324">
        <v>9010000</v>
      </c>
      <c r="Y39" s="1324">
        <v>0</v>
      </c>
      <c r="Z39" s="1325">
        <v>3</v>
      </c>
      <c r="AA39" s="1326" t="s">
        <v>1107</v>
      </c>
      <c r="AB39" s="4799"/>
      <c r="AC39" s="4799"/>
      <c r="AD39" s="4799"/>
      <c r="AE39" s="4799"/>
      <c r="AF39" s="4799"/>
      <c r="AG39" s="4799"/>
      <c r="AH39" s="4799"/>
      <c r="AI39" s="4799"/>
      <c r="AJ39" s="4799"/>
      <c r="AK39" s="4799"/>
      <c r="AL39" s="4799"/>
      <c r="AM39" s="4799"/>
      <c r="AN39" s="4799"/>
      <c r="AO39" s="4799"/>
      <c r="AP39" s="4799"/>
      <c r="AQ39" s="4799"/>
      <c r="AR39" s="4799"/>
      <c r="AS39" s="4799"/>
      <c r="AT39" s="4799"/>
      <c r="AU39" s="4799"/>
      <c r="AV39" s="4799"/>
      <c r="AW39" s="4799"/>
      <c r="AX39" s="4799"/>
      <c r="AY39" s="4799"/>
      <c r="AZ39" s="4799"/>
      <c r="BA39" s="4799"/>
      <c r="BB39" s="4799"/>
      <c r="BC39" s="4799"/>
      <c r="BD39" s="4838"/>
      <c r="BE39" s="4838"/>
      <c r="BF39" s="4799"/>
      <c r="BG39" s="4799"/>
      <c r="BH39" s="4799"/>
      <c r="BI39" s="4826"/>
      <c r="BJ39" s="4826"/>
      <c r="BK39" s="4829"/>
      <c r="BL39" s="1326" t="s">
        <v>1107</v>
      </c>
      <c r="BM39" s="4799"/>
      <c r="BN39" s="4821"/>
      <c r="BO39" s="4821"/>
      <c r="BP39" s="4821"/>
      <c r="BQ39" s="4821"/>
      <c r="BR39" s="4841"/>
    </row>
    <row r="40" spans="1:70" s="1283" customFormat="1" ht="27" customHeight="1" x14ac:dyDescent="0.2">
      <c r="A40" s="1300"/>
      <c r="B40" s="1301"/>
      <c r="C40" s="1302"/>
      <c r="D40" s="1318"/>
      <c r="E40" s="1319"/>
      <c r="F40" s="1319"/>
      <c r="G40" s="1318"/>
      <c r="H40" s="1319"/>
      <c r="I40" s="1319"/>
      <c r="J40" s="4807"/>
      <c r="K40" s="4843"/>
      <c r="L40" s="2784"/>
      <c r="M40" s="4807"/>
      <c r="N40" s="4845"/>
      <c r="O40" s="1321" t="s">
        <v>1176</v>
      </c>
      <c r="P40" s="4807"/>
      <c r="Q40" s="4793"/>
      <c r="R40" s="1322">
        <f t="shared" si="2"/>
        <v>6.017896139898754E-2</v>
      </c>
      <c r="S40" s="4810"/>
      <c r="T40" s="4793"/>
      <c r="U40" s="4793"/>
      <c r="V40" s="4793"/>
      <c r="W40" s="1323">
        <v>10000000</v>
      </c>
      <c r="X40" s="1324">
        <v>0</v>
      </c>
      <c r="Y40" s="1324">
        <v>0</v>
      </c>
      <c r="Z40" s="1325">
        <v>7</v>
      </c>
      <c r="AA40" s="1326" t="s">
        <v>1132</v>
      </c>
      <c r="AB40" s="4799"/>
      <c r="AC40" s="4799"/>
      <c r="AD40" s="4799"/>
      <c r="AE40" s="4799"/>
      <c r="AF40" s="4799"/>
      <c r="AG40" s="4799"/>
      <c r="AH40" s="4799"/>
      <c r="AI40" s="4799"/>
      <c r="AJ40" s="4799"/>
      <c r="AK40" s="4799"/>
      <c r="AL40" s="4799"/>
      <c r="AM40" s="4799"/>
      <c r="AN40" s="4799"/>
      <c r="AO40" s="4799"/>
      <c r="AP40" s="4799"/>
      <c r="AQ40" s="4799"/>
      <c r="AR40" s="4799"/>
      <c r="AS40" s="4799"/>
      <c r="AT40" s="4799"/>
      <c r="AU40" s="4799"/>
      <c r="AV40" s="4799"/>
      <c r="AW40" s="4799"/>
      <c r="AX40" s="4799"/>
      <c r="AY40" s="4799"/>
      <c r="AZ40" s="4799"/>
      <c r="BA40" s="4799"/>
      <c r="BB40" s="4799"/>
      <c r="BC40" s="4799"/>
      <c r="BD40" s="4839"/>
      <c r="BE40" s="4839"/>
      <c r="BF40" s="4799"/>
      <c r="BG40" s="4799"/>
      <c r="BH40" s="4799"/>
      <c r="BI40" s="4826"/>
      <c r="BJ40" s="4826"/>
      <c r="BK40" s="4829"/>
      <c r="BL40" s="1326" t="s">
        <v>1132</v>
      </c>
      <c r="BM40" s="4799"/>
      <c r="BN40" s="4821"/>
      <c r="BO40" s="4821"/>
      <c r="BP40" s="4821"/>
      <c r="BQ40" s="4821"/>
      <c r="BR40" s="4841"/>
    </row>
    <row r="41" spans="1:70" s="1283" customFormat="1" ht="23.25" customHeight="1" x14ac:dyDescent="0.2">
      <c r="A41" s="1300"/>
      <c r="B41" s="1301"/>
      <c r="C41" s="1302"/>
      <c r="D41" s="1318"/>
      <c r="E41" s="1319"/>
      <c r="F41" s="1319"/>
      <c r="G41" s="1305">
        <v>73</v>
      </c>
      <c r="H41" s="1306" t="s">
        <v>1177</v>
      </c>
      <c r="I41" s="1306"/>
      <c r="J41" s="1306"/>
      <c r="K41" s="1307"/>
      <c r="L41" s="1306"/>
      <c r="M41" s="1306"/>
      <c r="N41" s="1306"/>
      <c r="O41" s="1306"/>
      <c r="P41" s="1308"/>
      <c r="Q41" s="1307"/>
      <c r="R41" s="1309"/>
      <c r="S41" s="1335"/>
      <c r="T41" s="1307" t="s">
        <v>816</v>
      </c>
      <c r="U41" s="1307" t="s">
        <v>816</v>
      </c>
      <c r="V41" s="1307"/>
      <c r="W41" s="1336">
        <f>+SUM(W32:W40)</f>
        <v>166171030</v>
      </c>
      <c r="X41" s="1336">
        <f>+SUM(X32:X40)</f>
        <v>34132000</v>
      </c>
      <c r="Y41" s="1336">
        <f>+SUM(Y32:Y40)</f>
        <v>1800000</v>
      </c>
      <c r="Z41" s="1312"/>
      <c r="AA41" s="1308"/>
      <c r="AB41" s="1337"/>
      <c r="AC41" s="1337"/>
      <c r="AD41" s="1337"/>
      <c r="AE41" s="1337"/>
      <c r="AF41" s="1337"/>
      <c r="AG41" s="1337"/>
      <c r="AH41" s="1337"/>
      <c r="AI41" s="1337"/>
      <c r="AJ41" s="1337"/>
      <c r="AK41" s="1337"/>
      <c r="AL41" s="1337"/>
      <c r="AM41" s="1337"/>
      <c r="AN41" s="1337"/>
      <c r="AO41" s="1337"/>
      <c r="AP41" s="1337"/>
      <c r="AQ41" s="1337"/>
      <c r="AR41" s="1337"/>
      <c r="AS41" s="1337"/>
      <c r="AT41" s="1337"/>
      <c r="AU41" s="1337"/>
      <c r="AV41" s="1337"/>
      <c r="AW41" s="1337"/>
      <c r="AX41" s="1337"/>
      <c r="AY41" s="1337"/>
      <c r="AZ41" s="1337"/>
      <c r="BA41" s="1337"/>
      <c r="BB41" s="1337"/>
      <c r="BC41" s="1337"/>
      <c r="BD41" s="1337"/>
      <c r="BE41" s="1337"/>
      <c r="BF41" s="1337"/>
      <c r="BG41" s="1337"/>
      <c r="BH41" s="1337"/>
      <c r="BI41" s="1337"/>
      <c r="BJ41" s="1337"/>
      <c r="BK41" s="1338"/>
      <c r="BL41" s="1308"/>
      <c r="BM41" s="1337"/>
      <c r="BN41" s="1316"/>
      <c r="BO41" s="1316"/>
      <c r="BP41" s="1316"/>
      <c r="BQ41" s="1316"/>
      <c r="BR41" s="1339"/>
    </row>
    <row r="42" spans="1:70" s="1283" customFormat="1" ht="68.25" customHeight="1" x14ac:dyDescent="0.2">
      <c r="A42" s="1300"/>
      <c r="B42" s="1301"/>
      <c r="C42" s="1302"/>
      <c r="D42" s="1318"/>
      <c r="E42" s="1319"/>
      <c r="F42" s="1319"/>
      <c r="G42" s="1318"/>
      <c r="H42" s="1319"/>
      <c r="I42" s="1319"/>
      <c r="J42" s="4804">
        <v>212</v>
      </c>
      <c r="K42" s="4805" t="s">
        <v>1178</v>
      </c>
      <c r="L42" s="4824" t="s">
        <v>1179</v>
      </c>
      <c r="M42" s="4804">
        <v>1</v>
      </c>
      <c r="N42" s="4804">
        <v>0</v>
      </c>
      <c r="O42" s="1321" t="s">
        <v>1180</v>
      </c>
      <c r="P42" s="4804" t="s">
        <v>1181</v>
      </c>
      <c r="Q42" s="4805" t="s">
        <v>1182</v>
      </c>
      <c r="R42" s="1322">
        <f>+W42/S42</f>
        <v>0.22857142857142856</v>
      </c>
      <c r="S42" s="4833">
        <f>SUM(W42:W43)</f>
        <v>175000000</v>
      </c>
      <c r="T42" s="4792" t="s">
        <v>1183</v>
      </c>
      <c r="U42" s="4792" t="s">
        <v>1184</v>
      </c>
      <c r="V42" s="4805" t="s">
        <v>1185</v>
      </c>
      <c r="W42" s="1330">
        <v>40000000</v>
      </c>
      <c r="X42" s="1330">
        <v>0</v>
      </c>
      <c r="Y42" s="1330">
        <v>0</v>
      </c>
      <c r="Z42" s="1345">
        <v>3</v>
      </c>
      <c r="AA42" s="1331" t="s">
        <v>1107</v>
      </c>
      <c r="AB42" s="4798">
        <v>3380</v>
      </c>
      <c r="AC42" s="4846"/>
      <c r="AD42" s="4798">
        <v>460</v>
      </c>
      <c r="AE42" s="4846"/>
      <c r="AF42" s="4846"/>
      <c r="AG42" s="4846"/>
      <c r="AH42" s="4846"/>
      <c r="AI42" s="4846"/>
      <c r="AJ42" s="4798">
        <v>3840</v>
      </c>
      <c r="AK42" s="4798"/>
      <c r="AL42" s="4798"/>
      <c r="AM42" s="4798"/>
      <c r="AN42" s="4798"/>
      <c r="AO42" s="4798"/>
      <c r="AP42" s="4798"/>
      <c r="AQ42" s="4798"/>
      <c r="AR42" s="4798"/>
      <c r="AS42" s="4798"/>
      <c r="AT42" s="4798"/>
      <c r="AU42" s="4798"/>
      <c r="AV42" s="4798"/>
      <c r="AW42" s="4798"/>
      <c r="AX42" s="4798"/>
      <c r="AY42" s="4798"/>
      <c r="AZ42" s="4798"/>
      <c r="BA42" s="4798"/>
      <c r="BB42" s="4798"/>
      <c r="BC42" s="4798"/>
      <c r="BE42" s="4798"/>
      <c r="BF42" s="4798">
        <f>+AD42+AB42</f>
        <v>3840</v>
      </c>
      <c r="BG42" s="4798"/>
      <c r="BH42" s="4798">
        <v>0</v>
      </c>
      <c r="BI42" s="4825">
        <f>+SUM(X42:X43)</f>
        <v>0</v>
      </c>
      <c r="BJ42" s="4825">
        <f>+SUM(Y42:Y43)</f>
        <v>0</v>
      </c>
      <c r="BK42" s="4828">
        <f>+BI42/S42</f>
        <v>0</v>
      </c>
      <c r="BL42" s="1331" t="s">
        <v>1107</v>
      </c>
      <c r="BM42" s="4798" t="s">
        <v>1161</v>
      </c>
      <c r="BN42" s="4820">
        <v>43480</v>
      </c>
      <c r="BO42" s="4820"/>
      <c r="BP42" s="4820">
        <v>43830</v>
      </c>
      <c r="BQ42" s="4820"/>
      <c r="BR42" s="4795" t="s">
        <v>1102</v>
      </c>
    </row>
    <row r="43" spans="1:70" s="1283" customFormat="1" ht="68.25" customHeight="1" x14ac:dyDescent="0.2">
      <c r="A43" s="1300"/>
      <c r="B43" s="1301"/>
      <c r="C43" s="1302"/>
      <c r="D43" s="1318"/>
      <c r="E43" s="1319"/>
      <c r="F43" s="1319"/>
      <c r="G43" s="1318"/>
      <c r="H43" s="1319"/>
      <c r="I43" s="1319"/>
      <c r="J43" s="4804"/>
      <c r="K43" s="4805"/>
      <c r="L43" s="4824"/>
      <c r="M43" s="4804"/>
      <c r="N43" s="4804"/>
      <c r="O43" s="1321" t="s">
        <v>1186</v>
      </c>
      <c r="P43" s="4804"/>
      <c r="Q43" s="4805"/>
      <c r="R43" s="1322">
        <f>+W43/S42</f>
        <v>0.77142857142857146</v>
      </c>
      <c r="S43" s="4833"/>
      <c r="T43" s="4793"/>
      <c r="U43" s="4793"/>
      <c r="V43" s="4805"/>
      <c r="W43" s="1330">
        <v>135000000</v>
      </c>
      <c r="X43" s="1330">
        <v>0</v>
      </c>
      <c r="Y43" s="1330">
        <v>0</v>
      </c>
      <c r="Z43" s="1345">
        <v>7</v>
      </c>
      <c r="AA43" s="1331" t="s">
        <v>1132</v>
      </c>
      <c r="AB43" s="4799"/>
      <c r="AC43" s="4847"/>
      <c r="AD43" s="4799"/>
      <c r="AE43" s="4847"/>
      <c r="AF43" s="4847"/>
      <c r="AG43" s="4847"/>
      <c r="AH43" s="4847"/>
      <c r="AI43" s="4847"/>
      <c r="AJ43" s="4799"/>
      <c r="AK43" s="4799"/>
      <c r="AL43" s="4799"/>
      <c r="AM43" s="4799"/>
      <c r="AN43" s="4799"/>
      <c r="AO43" s="4799"/>
      <c r="AP43" s="4799"/>
      <c r="AQ43" s="4799"/>
      <c r="AR43" s="4799"/>
      <c r="AS43" s="4799"/>
      <c r="AT43" s="4799"/>
      <c r="AU43" s="4799"/>
      <c r="AV43" s="4799"/>
      <c r="AW43" s="4799"/>
      <c r="AX43" s="4799"/>
      <c r="AY43" s="4799"/>
      <c r="AZ43" s="4799"/>
      <c r="BA43" s="4799"/>
      <c r="BB43" s="4799"/>
      <c r="BC43" s="4799"/>
      <c r="BE43" s="4799"/>
      <c r="BF43" s="4799"/>
      <c r="BG43" s="4799"/>
      <c r="BH43" s="4799"/>
      <c r="BI43" s="4826"/>
      <c r="BJ43" s="4826"/>
      <c r="BK43" s="4829"/>
      <c r="BL43" s="1331" t="s">
        <v>1132</v>
      </c>
      <c r="BM43" s="4799"/>
      <c r="BN43" s="4821"/>
      <c r="BO43" s="4821"/>
      <c r="BP43" s="4821"/>
      <c r="BQ43" s="4821"/>
      <c r="BR43" s="4796"/>
    </row>
    <row r="44" spans="1:70" s="1283" customFormat="1" ht="20.25" customHeight="1" x14ac:dyDescent="0.2">
      <c r="A44" s="1284"/>
      <c r="B44" s="1285"/>
      <c r="C44" s="1286"/>
      <c r="D44" s="1287">
        <v>22</v>
      </c>
      <c r="E44" s="1288" t="s">
        <v>1187</v>
      </c>
      <c r="F44" s="1288"/>
      <c r="G44" s="1288"/>
      <c r="H44" s="1288"/>
      <c r="I44" s="1288"/>
      <c r="J44" s="1288"/>
      <c r="K44" s="1289"/>
      <c r="L44" s="1288"/>
      <c r="M44" s="1288"/>
      <c r="N44" s="1288"/>
      <c r="O44" s="1288"/>
      <c r="P44" s="1290"/>
      <c r="Q44" s="1289"/>
      <c r="R44" s="1291"/>
      <c r="S44" s="1346"/>
      <c r="T44" s="1289" t="s">
        <v>816</v>
      </c>
      <c r="U44" s="1289" t="s">
        <v>816</v>
      </c>
      <c r="V44" s="1289"/>
      <c r="W44" s="1347">
        <f>+SUM(W42:W43)</f>
        <v>175000000</v>
      </c>
      <c r="X44" s="1347">
        <f>+SUM(X42:X43)</f>
        <v>0</v>
      </c>
      <c r="Y44" s="1347">
        <f>+SUM(Y42:Y43)</f>
        <v>0</v>
      </c>
      <c r="Z44" s="1294"/>
      <c r="AA44" s="1290"/>
      <c r="AB44" s="1288"/>
      <c r="AC44" s="1288"/>
      <c r="AD44" s="1288"/>
      <c r="AE44" s="1288"/>
      <c r="AF44" s="1288"/>
      <c r="AG44" s="1288"/>
      <c r="AH44" s="1288"/>
      <c r="AI44" s="1288"/>
      <c r="AJ44" s="1288"/>
      <c r="AK44" s="1288"/>
      <c r="AL44" s="1288"/>
      <c r="AM44" s="1288"/>
      <c r="AN44" s="1288"/>
      <c r="AO44" s="1288"/>
      <c r="AP44" s="1288"/>
      <c r="AQ44" s="1288"/>
      <c r="AR44" s="1288"/>
      <c r="AS44" s="1288"/>
      <c r="AT44" s="1288"/>
      <c r="AU44" s="1288"/>
      <c r="AV44" s="1288"/>
      <c r="AW44" s="1288"/>
      <c r="AX44" s="1288"/>
      <c r="AY44" s="1288"/>
      <c r="AZ44" s="1288"/>
      <c r="BA44" s="1288"/>
      <c r="BB44" s="1288"/>
      <c r="BC44" s="1288"/>
      <c r="BD44" s="1288"/>
      <c r="BE44" s="1288"/>
      <c r="BF44" s="1288"/>
      <c r="BG44" s="1288"/>
      <c r="BH44" s="1295"/>
      <c r="BI44" s="1295"/>
      <c r="BJ44" s="1295"/>
      <c r="BK44" s="1296"/>
      <c r="BL44" s="1297"/>
      <c r="BM44" s="1295"/>
      <c r="BN44" s="1298"/>
      <c r="BO44" s="1298"/>
      <c r="BP44" s="1298"/>
      <c r="BQ44" s="1298"/>
      <c r="BR44" s="1299"/>
    </row>
    <row r="45" spans="1:70" s="1283" customFormat="1" ht="23.25" customHeight="1" x14ac:dyDescent="0.2">
      <c r="A45" s="1300"/>
      <c r="B45" s="1301"/>
      <c r="C45" s="1302"/>
      <c r="D45" s="1318"/>
      <c r="E45" s="1319"/>
      <c r="F45" s="1319"/>
      <c r="G45" s="1305">
        <v>74</v>
      </c>
      <c r="H45" s="1306" t="s">
        <v>1177</v>
      </c>
      <c r="I45" s="1306"/>
      <c r="J45" s="1306"/>
      <c r="K45" s="1307"/>
      <c r="L45" s="1306"/>
      <c r="M45" s="1306"/>
      <c r="N45" s="1306"/>
      <c r="O45" s="1306"/>
      <c r="P45" s="1308"/>
      <c r="Q45" s="1307"/>
      <c r="R45" s="1309"/>
      <c r="S45" s="1335"/>
      <c r="T45" s="1307" t="s">
        <v>816</v>
      </c>
      <c r="U45" s="1307" t="s">
        <v>816</v>
      </c>
      <c r="V45" s="1307"/>
      <c r="W45" s="1336"/>
      <c r="X45" s="1336"/>
      <c r="Y45" s="1336"/>
      <c r="Z45" s="1312"/>
      <c r="AA45" s="1308"/>
      <c r="AB45" s="1337"/>
      <c r="AC45" s="1337"/>
      <c r="AD45" s="1337"/>
      <c r="AE45" s="1337"/>
      <c r="AF45" s="1337"/>
      <c r="AG45" s="1337"/>
      <c r="AH45" s="1337"/>
      <c r="AI45" s="1337"/>
      <c r="AJ45" s="1337"/>
      <c r="AK45" s="1337"/>
      <c r="AL45" s="1337"/>
      <c r="AM45" s="1337"/>
      <c r="AN45" s="1337"/>
      <c r="AO45" s="1337"/>
      <c r="AP45" s="1337"/>
      <c r="AQ45" s="1337"/>
      <c r="AR45" s="1337"/>
      <c r="AS45" s="1337"/>
      <c r="AT45" s="1337"/>
      <c r="AU45" s="1337"/>
      <c r="AV45" s="1337"/>
      <c r="AW45" s="1337"/>
      <c r="AX45" s="1337"/>
      <c r="AY45" s="1337"/>
      <c r="AZ45" s="1337"/>
      <c r="BA45" s="1337"/>
      <c r="BB45" s="1337"/>
      <c r="BC45" s="1337"/>
      <c r="BD45" s="1337"/>
      <c r="BE45" s="1337"/>
      <c r="BF45" s="1337"/>
      <c r="BG45" s="1337"/>
      <c r="BH45" s="1337"/>
      <c r="BI45" s="1337"/>
      <c r="BJ45" s="1337"/>
      <c r="BK45" s="1338"/>
      <c r="BL45" s="1337"/>
      <c r="BM45" s="1337"/>
      <c r="BN45" s="1316"/>
      <c r="BO45" s="1316"/>
      <c r="BP45" s="1316"/>
      <c r="BQ45" s="1316"/>
      <c r="BR45" s="1339"/>
    </row>
    <row r="46" spans="1:70" s="1283" customFormat="1" ht="58.5" customHeight="1" x14ac:dyDescent="0.2">
      <c r="A46" s="1300"/>
      <c r="B46" s="1301"/>
      <c r="C46" s="1302"/>
      <c r="D46" s="1318"/>
      <c r="E46" s="1319"/>
      <c r="F46" s="1319"/>
      <c r="G46" s="1318"/>
      <c r="H46" s="1319"/>
      <c r="I46" s="1319"/>
      <c r="J46" s="4806">
        <v>213</v>
      </c>
      <c r="K46" s="4792" t="s">
        <v>1188</v>
      </c>
      <c r="L46" s="2978" t="s">
        <v>1189</v>
      </c>
      <c r="M46" s="4806">
        <v>12</v>
      </c>
      <c r="N46" s="4806">
        <v>0</v>
      </c>
      <c r="O46" s="4806" t="s">
        <v>1190</v>
      </c>
      <c r="P46" s="4806" t="s">
        <v>1191</v>
      </c>
      <c r="Q46" s="4850" t="s">
        <v>1192</v>
      </c>
      <c r="R46" s="4848">
        <f>+W46/S46</f>
        <v>1</v>
      </c>
      <c r="S46" s="4809">
        <f>+W46</f>
        <v>182000000</v>
      </c>
      <c r="T46" s="4792" t="s">
        <v>1193</v>
      </c>
      <c r="U46" s="4792" t="s">
        <v>1194</v>
      </c>
      <c r="V46" s="4792" t="s">
        <v>1195</v>
      </c>
      <c r="W46" s="4809">
        <v>182000000</v>
      </c>
      <c r="X46" s="4809">
        <v>0</v>
      </c>
      <c r="Y46" s="4809">
        <v>0</v>
      </c>
      <c r="Z46" s="4798">
        <v>2</v>
      </c>
      <c r="AA46" s="4806" t="s">
        <v>1196</v>
      </c>
      <c r="AB46" s="4798"/>
      <c r="AC46" s="4798"/>
      <c r="AD46" s="4798"/>
      <c r="AE46" s="4798"/>
      <c r="AF46" s="4798"/>
      <c r="AG46" s="4798"/>
      <c r="AH46" s="4798"/>
      <c r="AI46" s="4798"/>
      <c r="AJ46" s="4798"/>
      <c r="AK46" s="4798"/>
      <c r="AL46" s="4798"/>
      <c r="AM46" s="4798"/>
      <c r="AN46" s="4798"/>
      <c r="AO46" s="4798"/>
      <c r="AP46" s="4798"/>
      <c r="AQ46" s="4798"/>
      <c r="AR46" s="4798"/>
      <c r="AS46" s="4798"/>
      <c r="AT46" s="4798"/>
      <c r="AU46" s="4798"/>
      <c r="AV46" s="4798"/>
      <c r="AW46" s="4798"/>
      <c r="AX46" s="4798"/>
      <c r="AY46" s="4798"/>
      <c r="AZ46" s="4798"/>
      <c r="BA46" s="4798"/>
      <c r="BB46" s="4798"/>
      <c r="BC46" s="4798"/>
      <c r="BD46" s="4798"/>
      <c r="BE46" s="4798"/>
      <c r="BF46" s="4798"/>
      <c r="BG46" s="4798"/>
      <c r="BH46" s="4798"/>
      <c r="BI46" s="4798"/>
      <c r="BJ46" s="4798"/>
      <c r="BK46" s="4828"/>
      <c r="BL46" s="4798"/>
      <c r="BM46" s="4798"/>
      <c r="BN46" s="4820">
        <v>43101</v>
      </c>
      <c r="BO46" s="4820"/>
      <c r="BP46" s="4820">
        <v>43465</v>
      </c>
      <c r="BQ46" s="4820"/>
      <c r="BR46" s="4795" t="s">
        <v>1197</v>
      </c>
    </row>
    <row r="47" spans="1:70" ht="52.5" customHeight="1" x14ac:dyDescent="0.2">
      <c r="A47" s="1350"/>
      <c r="B47" s="1351"/>
      <c r="C47" s="1352"/>
      <c r="D47" s="1353"/>
      <c r="E47" s="4852"/>
      <c r="F47" s="4853"/>
      <c r="G47" s="1353"/>
      <c r="H47" s="4852"/>
      <c r="I47" s="4853"/>
      <c r="J47" s="4808"/>
      <c r="K47" s="4794"/>
      <c r="L47" s="2979"/>
      <c r="M47" s="4808"/>
      <c r="N47" s="4808"/>
      <c r="O47" s="4808"/>
      <c r="P47" s="4808"/>
      <c r="Q47" s="4851"/>
      <c r="R47" s="4849"/>
      <c r="S47" s="4811"/>
      <c r="T47" s="4794"/>
      <c r="U47" s="4794" t="s">
        <v>816</v>
      </c>
      <c r="V47" s="4794"/>
      <c r="W47" s="4811"/>
      <c r="X47" s="4811"/>
      <c r="Y47" s="4811"/>
      <c r="Z47" s="4800"/>
      <c r="AA47" s="4808"/>
      <c r="AB47" s="4800"/>
      <c r="AC47" s="4800"/>
      <c r="AD47" s="4800"/>
      <c r="AE47" s="4800"/>
      <c r="AF47" s="4800"/>
      <c r="AG47" s="4800"/>
      <c r="AH47" s="4800"/>
      <c r="AI47" s="4800"/>
      <c r="AJ47" s="4800"/>
      <c r="AK47" s="4800"/>
      <c r="AL47" s="4800"/>
      <c r="AM47" s="4800"/>
      <c r="AN47" s="4800"/>
      <c r="AO47" s="4800"/>
      <c r="AP47" s="4800"/>
      <c r="AQ47" s="4800"/>
      <c r="AR47" s="4800"/>
      <c r="AS47" s="4800"/>
      <c r="AT47" s="4800"/>
      <c r="AU47" s="4800"/>
      <c r="AV47" s="4800"/>
      <c r="AW47" s="4800"/>
      <c r="AX47" s="4800"/>
      <c r="AY47" s="4800"/>
      <c r="AZ47" s="4800"/>
      <c r="BA47" s="4800"/>
      <c r="BB47" s="4800"/>
      <c r="BC47" s="4800"/>
      <c r="BD47" s="4800"/>
      <c r="BE47" s="4800"/>
      <c r="BF47" s="4800"/>
      <c r="BG47" s="4800"/>
      <c r="BH47" s="4800"/>
      <c r="BI47" s="4800"/>
      <c r="BJ47" s="4800"/>
      <c r="BK47" s="4830"/>
      <c r="BL47" s="4800"/>
      <c r="BM47" s="4800"/>
      <c r="BN47" s="4822"/>
      <c r="BO47" s="4822"/>
      <c r="BP47" s="4822"/>
      <c r="BQ47" s="4822"/>
      <c r="BR47" s="4797"/>
    </row>
    <row r="48" spans="1:70" s="1373" customFormat="1" ht="15" x14ac:dyDescent="0.25">
      <c r="A48" s="1354"/>
      <c r="B48" s="1355"/>
      <c r="C48" s="1355"/>
      <c r="D48" s="1355"/>
      <c r="E48" s="1355"/>
      <c r="F48" s="1355"/>
      <c r="G48" s="1355"/>
      <c r="H48" s="1355"/>
      <c r="I48" s="1355"/>
      <c r="J48" s="1355"/>
      <c r="K48" s="1356"/>
      <c r="L48" s="1357"/>
      <c r="M48" s="1357"/>
      <c r="N48" s="1357"/>
      <c r="O48" s="1357"/>
      <c r="P48" s="1358"/>
      <c r="Q48" s="1356"/>
      <c r="R48" s="1359"/>
      <c r="S48" s="1360">
        <f>SUM(S13:S47)</f>
        <v>2063538025</v>
      </c>
      <c r="T48" s="1356"/>
      <c r="U48" s="1356"/>
      <c r="V48" s="1361"/>
      <c r="W48" s="1362">
        <f>+W44+W41+W30+W25+W21+W18+W46</f>
        <v>2063538025</v>
      </c>
      <c r="X48" s="1362">
        <f>+X44+X41+X30+X25+X21+X18</f>
        <v>585888727</v>
      </c>
      <c r="Y48" s="1362">
        <f>+Y44+Y41+Y30+Y25+Y21+Y18</f>
        <v>92576803</v>
      </c>
      <c r="Z48" s="1363"/>
      <c r="AA48" s="1364"/>
      <c r="AB48" s="1355"/>
      <c r="AC48" s="1355"/>
      <c r="AD48" s="1355"/>
      <c r="AE48" s="1355"/>
      <c r="AF48" s="1355"/>
      <c r="AG48" s="1355"/>
      <c r="AH48" s="1355"/>
      <c r="AI48" s="1355"/>
      <c r="AJ48" s="1355"/>
      <c r="AK48" s="1355"/>
      <c r="AL48" s="1355"/>
      <c r="AM48" s="1355"/>
      <c r="AN48" s="1355"/>
      <c r="AO48" s="1355"/>
      <c r="AP48" s="1355"/>
      <c r="AQ48" s="1355"/>
      <c r="AR48" s="1355"/>
      <c r="AS48" s="1355"/>
      <c r="AT48" s="1355"/>
      <c r="AU48" s="1355"/>
      <c r="AV48" s="1355"/>
      <c r="AW48" s="1355"/>
      <c r="AX48" s="1355"/>
      <c r="AY48" s="1355"/>
      <c r="AZ48" s="1355"/>
      <c r="BA48" s="1355"/>
      <c r="BB48" s="1355"/>
      <c r="BC48" s="1355"/>
      <c r="BD48" s="1355"/>
      <c r="BE48" s="1355"/>
      <c r="BF48" s="1355"/>
      <c r="BG48" s="1365"/>
      <c r="BH48" s="1366"/>
      <c r="BI48" s="1367">
        <f>SUM(BI13:BI47)</f>
        <v>585888727</v>
      </c>
      <c r="BJ48" s="1367">
        <f>SUM(BJ13:BJ47)</f>
        <v>92576803</v>
      </c>
      <c r="BK48" s="1368"/>
      <c r="BL48" s="1365"/>
      <c r="BM48" s="1369"/>
      <c r="BN48" s="1369"/>
      <c r="BO48" s="1370"/>
      <c r="BP48" s="1370"/>
      <c r="BQ48" s="1371"/>
      <c r="BR48" s="1372"/>
    </row>
    <row r="55" spans="19:25" ht="20.25" x14ac:dyDescent="0.2">
      <c r="S55" s="1374"/>
      <c r="T55" s="1374"/>
      <c r="U55" s="1374"/>
      <c r="V55" s="1374"/>
      <c r="W55" s="1375"/>
      <c r="X55" s="1376"/>
      <c r="Y55" s="1376"/>
    </row>
  </sheetData>
  <sheetProtection password="F3F4" sheet="1" objects="1" scenarios="1"/>
  <mergeCells count="450">
    <mergeCell ref="BN46:BN47"/>
    <mergeCell ref="BO46:BO47"/>
    <mergeCell ref="BP46:BP47"/>
    <mergeCell ref="BQ46:BQ47"/>
    <mergeCell ref="BR46:BR47"/>
    <mergeCell ref="E47:F47"/>
    <mergeCell ref="H47:I47"/>
    <mergeCell ref="BH46:BH47"/>
    <mergeCell ref="BI46:BI47"/>
    <mergeCell ref="BJ46:BJ47"/>
    <mergeCell ref="BK46:BK47"/>
    <mergeCell ref="BL46:BL47"/>
    <mergeCell ref="BM46:BM47"/>
    <mergeCell ref="BB46:BB47"/>
    <mergeCell ref="BC46:BC47"/>
    <mergeCell ref="BD46:BD47"/>
    <mergeCell ref="BE46:BE47"/>
    <mergeCell ref="BF46:BF47"/>
    <mergeCell ref="BG46:BG47"/>
    <mergeCell ref="AV46:AV47"/>
    <mergeCell ref="AW46:AW47"/>
    <mergeCell ref="AX46:AX47"/>
    <mergeCell ref="AY46:AY47"/>
    <mergeCell ref="AZ46:AZ47"/>
    <mergeCell ref="BA46:BA47"/>
    <mergeCell ref="AP46:AP47"/>
    <mergeCell ref="AQ46:AQ47"/>
    <mergeCell ref="AR46:AR47"/>
    <mergeCell ref="AS46:AS47"/>
    <mergeCell ref="AT46:AT47"/>
    <mergeCell ref="AU46:AU47"/>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A46:AA47"/>
    <mergeCell ref="AB46:AB47"/>
    <mergeCell ref="AC46:AC47"/>
    <mergeCell ref="R46:R47"/>
    <mergeCell ref="S46:S47"/>
    <mergeCell ref="T46:T47"/>
    <mergeCell ref="U46:U47"/>
    <mergeCell ref="V46:V47"/>
    <mergeCell ref="W46:W47"/>
    <mergeCell ref="BQ42:BQ43"/>
    <mergeCell ref="BR42:BR43"/>
    <mergeCell ref="J46:J47"/>
    <mergeCell ref="K46:K47"/>
    <mergeCell ref="L46:L47"/>
    <mergeCell ref="M46:M47"/>
    <mergeCell ref="N46:N47"/>
    <mergeCell ref="O46:O47"/>
    <mergeCell ref="P46:P47"/>
    <mergeCell ref="Q46:Q47"/>
    <mergeCell ref="BJ42:BJ43"/>
    <mergeCell ref="BK42:BK43"/>
    <mergeCell ref="BM42:BM43"/>
    <mergeCell ref="BN42:BN43"/>
    <mergeCell ref="BO42:BO43"/>
    <mergeCell ref="BP42:BP43"/>
    <mergeCell ref="BC42:BC43"/>
    <mergeCell ref="BE42:BE43"/>
    <mergeCell ref="BF42:BF43"/>
    <mergeCell ref="BG42:BG43"/>
    <mergeCell ref="BH42:BH43"/>
    <mergeCell ref="BI42:BI43"/>
    <mergeCell ref="AW42:AW43"/>
    <mergeCell ref="AX42:AX43"/>
    <mergeCell ref="AY42:AY43"/>
    <mergeCell ref="AZ42:AZ43"/>
    <mergeCell ref="BA42:BA43"/>
    <mergeCell ref="BB42:BB43"/>
    <mergeCell ref="AQ42:AQ43"/>
    <mergeCell ref="AR42:AR43"/>
    <mergeCell ref="AS42:AS43"/>
    <mergeCell ref="AT42:AT43"/>
    <mergeCell ref="AU42:AU43"/>
    <mergeCell ref="AV42:AV43"/>
    <mergeCell ref="AK42:AK43"/>
    <mergeCell ref="AL42:AL43"/>
    <mergeCell ref="AM42:AM43"/>
    <mergeCell ref="AN42:AN43"/>
    <mergeCell ref="AO42:AO43"/>
    <mergeCell ref="AP42:AP43"/>
    <mergeCell ref="AE42:AE43"/>
    <mergeCell ref="AF42:AF43"/>
    <mergeCell ref="AG42:AG43"/>
    <mergeCell ref="AH42:AH43"/>
    <mergeCell ref="AI42:AI43"/>
    <mergeCell ref="AJ42:AJ43"/>
    <mergeCell ref="T42:T43"/>
    <mergeCell ref="U42:U43"/>
    <mergeCell ref="V42:V43"/>
    <mergeCell ref="AB42:AB43"/>
    <mergeCell ref="AC42:AC43"/>
    <mergeCell ref="AD42:AD43"/>
    <mergeCell ref="J42:J43"/>
    <mergeCell ref="K42:K43"/>
    <mergeCell ref="L42:L43"/>
    <mergeCell ref="M42:M43"/>
    <mergeCell ref="N42:N43"/>
    <mergeCell ref="P42:P43"/>
    <mergeCell ref="Q42:Q43"/>
    <mergeCell ref="S42:S43"/>
    <mergeCell ref="Q32:Q40"/>
    <mergeCell ref="S32:S40"/>
    <mergeCell ref="BN32:BN40"/>
    <mergeCell ref="BO32:BO40"/>
    <mergeCell ref="BP32:BP40"/>
    <mergeCell ref="BQ32:BQ40"/>
    <mergeCell ref="BR32:BR40"/>
    <mergeCell ref="J35:J38"/>
    <mergeCell ref="K35:K38"/>
    <mergeCell ref="L35:L38"/>
    <mergeCell ref="M35:M38"/>
    <mergeCell ref="N35:N38"/>
    <mergeCell ref="BG32:BG40"/>
    <mergeCell ref="BH32:BH40"/>
    <mergeCell ref="BI32:BI40"/>
    <mergeCell ref="BJ32:BJ40"/>
    <mergeCell ref="BK32:BK40"/>
    <mergeCell ref="BM32:BM40"/>
    <mergeCell ref="BA32:BA40"/>
    <mergeCell ref="BB32:BB40"/>
    <mergeCell ref="BC32:BC40"/>
    <mergeCell ref="BD32:BD40"/>
    <mergeCell ref="BE32:BE40"/>
    <mergeCell ref="BF32:BF40"/>
    <mergeCell ref="AU32:AU40"/>
    <mergeCell ref="AV32:AV40"/>
    <mergeCell ref="AW32:AW40"/>
    <mergeCell ref="AX32:AX40"/>
    <mergeCell ref="AY32:AY40"/>
    <mergeCell ref="AZ32:AZ40"/>
    <mergeCell ref="AO32:AO40"/>
    <mergeCell ref="AP32:AP40"/>
    <mergeCell ref="AQ32:AQ40"/>
    <mergeCell ref="AR32:AR40"/>
    <mergeCell ref="AS32:AS40"/>
    <mergeCell ref="AT32:AT40"/>
    <mergeCell ref="AI32:AI40"/>
    <mergeCell ref="AJ32:AJ40"/>
    <mergeCell ref="AK32:AK40"/>
    <mergeCell ref="AL32:AL40"/>
    <mergeCell ref="AM32:AM40"/>
    <mergeCell ref="AN32:AN40"/>
    <mergeCell ref="AC32:AC40"/>
    <mergeCell ref="AD32:AD40"/>
    <mergeCell ref="AE32:AE40"/>
    <mergeCell ref="AF32:AF40"/>
    <mergeCell ref="AG32:AG40"/>
    <mergeCell ref="AH32:AH40"/>
    <mergeCell ref="AB32:AB40"/>
    <mergeCell ref="V35:V38"/>
    <mergeCell ref="J32:J34"/>
    <mergeCell ref="K32:K34"/>
    <mergeCell ref="L32:L34"/>
    <mergeCell ref="M32:M34"/>
    <mergeCell ref="N32:N34"/>
    <mergeCell ref="P32:P40"/>
    <mergeCell ref="J39:J40"/>
    <mergeCell ref="K39:K40"/>
    <mergeCell ref="L39:L40"/>
    <mergeCell ref="M39:M40"/>
    <mergeCell ref="N39:N40"/>
    <mergeCell ref="V39:V40"/>
    <mergeCell ref="T32:T40"/>
    <mergeCell ref="U32:U40"/>
    <mergeCell ref="V32:V34"/>
    <mergeCell ref="J28:J29"/>
    <mergeCell ref="K28:K29"/>
    <mergeCell ref="L28:L29"/>
    <mergeCell ref="M28:M29"/>
    <mergeCell ref="N28:N29"/>
    <mergeCell ref="V28:V29"/>
    <mergeCell ref="BM26:BM29"/>
    <mergeCell ref="BN26:BN29"/>
    <mergeCell ref="BO26:BO29"/>
    <mergeCell ref="AZ26:AZ29"/>
    <mergeCell ref="BA26:BA29"/>
    <mergeCell ref="BB26:BB29"/>
    <mergeCell ref="BC26:BC29"/>
    <mergeCell ref="BD26:BD29"/>
    <mergeCell ref="BE26:BE29"/>
    <mergeCell ref="AT26:AT29"/>
    <mergeCell ref="AU26:AU29"/>
    <mergeCell ref="AV26:AV29"/>
    <mergeCell ref="AW26:AW29"/>
    <mergeCell ref="AX26:AX29"/>
    <mergeCell ref="AY26:AY29"/>
    <mergeCell ref="AN26:AN29"/>
    <mergeCell ref="AO26:AO29"/>
    <mergeCell ref="AP26:AP29"/>
    <mergeCell ref="BP26:BP29"/>
    <mergeCell ref="BQ26:BQ29"/>
    <mergeCell ref="BR26:BR29"/>
    <mergeCell ref="BF26:BF29"/>
    <mergeCell ref="BG26:BG29"/>
    <mergeCell ref="BH26:BH29"/>
    <mergeCell ref="BI26:BI29"/>
    <mergeCell ref="BJ26:BJ29"/>
    <mergeCell ref="BK26:BK29"/>
    <mergeCell ref="AQ26:AQ29"/>
    <mergeCell ref="AR26:AR29"/>
    <mergeCell ref="AS26:AS29"/>
    <mergeCell ref="AH26:AH29"/>
    <mergeCell ref="AI26:AI29"/>
    <mergeCell ref="AJ26:AJ29"/>
    <mergeCell ref="AK26:AK29"/>
    <mergeCell ref="AL26:AL29"/>
    <mergeCell ref="AM26:AM29"/>
    <mergeCell ref="AB26:AB29"/>
    <mergeCell ref="AC26:AC29"/>
    <mergeCell ref="AD26:AD29"/>
    <mergeCell ref="AE26:AE29"/>
    <mergeCell ref="AF26:AF29"/>
    <mergeCell ref="AG26:AG29"/>
    <mergeCell ref="BN22:BN24"/>
    <mergeCell ref="BO22:BO24"/>
    <mergeCell ref="BP22:BP24"/>
    <mergeCell ref="AZ22:AZ24"/>
    <mergeCell ref="AO22:AO24"/>
    <mergeCell ref="AP22:AP24"/>
    <mergeCell ref="AQ22:AQ24"/>
    <mergeCell ref="AR22:AR24"/>
    <mergeCell ref="AS22:AS24"/>
    <mergeCell ref="AT22:AT24"/>
    <mergeCell ref="AI22:AI24"/>
    <mergeCell ref="AJ22:AJ24"/>
    <mergeCell ref="AK22:AK24"/>
    <mergeCell ref="AL22:AL24"/>
    <mergeCell ref="AM22:AM24"/>
    <mergeCell ref="AN22:AN24"/>
    <mergeCell ref="AC22:AC24"/>
    <mergeCell ref="AD22:AD24"/>
    <mergeCell ref="BQ22:BQ24"/>
    <mergeCell ref="BR22:BR24"/>
    <mergeCell ref="P26:P29"/>
    <mergeCell ref="Q26:Q29"/>
    <mergeCell ref="S26:S29"/>
    <mergeCell ref="T26:T29"/>
    <mergeCell ref="U26:U29"/>
    <mergeCell ref="BG22:BG24"/>
    <mergeCell ref="BH22:BH24"/>
    <mergeCell ref="BI22:BI24"/>
    <mergeCell ref="BJ22:BJ24"/>
    <mergeCell ref="BK22:BK24"/>
    <mergeCell ref="BM22:BM24"/>
    <mergeCell ref="BA22:BA24"/>
    <mergeCell ref="BB22:BB24"/>
    <mergeCell ref="BC22:BC24"/>
    <mergeCell ref="BD22:BD24"/>
    <mergeCell ref="BE22:BE24"/>
    <mergeCell ref="BF22:BF24"/>
    <mergeCell ref="AU22:AU24"/>
    <mergeCell ref="AV22:AV24"/>
    <mergeCell ref="AW22:AW24"/>
    <mergeCell ref="AX22:AX24"/>
    <mergeCell ref="AY22:AY24"/>
    <mergeCell ref="AE22:AE24"/>
    <mergeCell ref="AF22:AF24"/>
    <mergeCell ref="AG22:AG24"/>
    <mergeCell ref="AH22:AH24"/>
    <mergeCell ref="Q22:Q24"/>
    <mergeCell ref="S22:S24"/>
    <mergeCell ref="T22:T24"/>
    <mergeCell ref="U22:U24"/>
    <mergeCell ref="V22:V24"/>
    <mergeCell ref="AB22:AB24"/>
    <mergeCell ref="J22:J24"/>
    <mergeCell ref="K22:K24"/>
    <mergeCell ref="L22:L24"/>
    <mergeCell ref="M22:M24"/>
    <mergeCell ref="N22:N24"/>
    <mergeCell ref="P22:P24"/>
    <mergeCell ref="BM19:BM20"/>
    <mergeCell ref="BN19:BN20"/>
    <mergeCell ref="BO19:BO20"/>
    <mergeCell ref="AZ19:AZ20"/>
    <mergeCell ref="BA19:BA20"/>
    <mergeCell ref="BB19:BB20"/>
    <mergeCell ref="BC19:BC20"/>
    <mergeCell ref="BD19:BD20"/>
    <mergeCell ref="BE19:BE20"/>
    <mergeCell ref="AT19:AT20"/>
    <mergeCell ref="AU19:AU20"/>
    <mergeCell ref="AV19:AV20"/>
    <mergeCell ref="AW19:AW20"/>
    <mergeCell ref="AX19:AX20"/>
    <mergeCell ref="AY19:AY20"/>
    <mergeCell ref="AN19:AN20"/>
    <mergeCell ref="AO19:AO20"/>
    <mergeCell ref="AP19:AP20"/>
    <mergeCell ref="BP19:BP20"/>
    <mergeCell ref="BQ19:BQ20"/>
    <mergeCell ref="BR19:BR20"/>
    <mergeCell ref="BF19:BF20"/>
    <mergeCell ref="BG19:BG20"/>
    <mergeCell ref="BH19:BH20"/>
    <mergeCell ref="BI19:BI20"/>
    <mergeCell ref="BJ19:BJ20"/>
    <mergeCell ref="BK19:BK20"/>
    <mergeCell ref="AQ19:AQ20"/>
    <mergeCell ref="AR19:AR20"/>
    <mergeCell ref="AS19:AS20"/>
    <mergeCell ref="AH19:AH20"/>
    <mergeCell ref="AI19:AI20"/>
    <mergeCell ref="AJ19:AJ20"/>
    <mergeCell ref="AK19:AK20"/>
    <mergeCell ref="AL19:AL20"/>
    <mergeCell ref="AM19:AM20"/>
    <mergeCell ref="AB19:AB20"/>
    <mergeCell ref="AC19:AC20"/>
    <mergeCell ref="AD19:AD20"/>
    <mergeCell ref="AE19:AE20"/>
    <mergeCell ref="AF19:AF20"/>
    <mergeCell ref="AG19:AG20"/>
    <mergeCell ref="P19:P20"/>
    <mergeCell ref="Q19:Q20"/>
    <mergeCell ref="S19:S20"/>
    <mergeCell ref="T19:T20"/>
    <mergeCell ref="U19:U20"/>
    <mergeCell ref="V19:V20"/>
    <mergeCell ref="BP13:BP17"/>
    <mergeCell ref="BQ13:BQ17"/>
    <mergeCell ref="BR13:BR17"/>
    <mergeCell ref="E15:F15"/>
    <mergeCell ref="V15:V16"/>
    <mergeCell ref="J19:J20"/>
    <mergeCell ref="K19:K20"/>
    <mergeCell ref="L19:L20"/>
    <mergeCell ref="M19:M20"/>
    <mergeCell ref="N19:N20"/>
    <mergeCell ref="BI13:BI17"/>
    <mergeCell ref="BJ13:BJ17"/>
    <mergeCell ref="BK13:BK17"/>
    <mergeCell ref="BM13:BM17"/>
    <mergeCell ref="BN13:BN17"/>
    <mergeCell ref="BO13:BO17"/>
    <mergeCell ref="BC13:BC17"/>
    <mergeCell ref="BD13:BD17"/>
    <mergeCell ref="BE13:BE17"/>
    <mergeCell ref="BF13:BF17"/>
    <mergeCell ref="BG13:BG17"/>
    <mergeCell ref="BH13:BH17"/>
    <mergeCell ref="AW13:AW17"/>
    <mergeCell ref="AX13:AX17"/>
    <mergeCell ref="AY13:AY17"/>
    <mergeCell ref="AZ13:AZ17"/>
    <mergeCell ref="BA13:BA17"/>
    <mergeCell ref="BB13:BB17"/>
    <mergeCell ref="AQ13:AQ17"/>
    <mergeCell ref="AR13:AR17"/>
    <mergeCell ref="AS13:AS17"/>
    <mergeCell ref="AT13:AT17"/>
    <mergeCell ref="AU13:AU17"/>
    <mergeCell ref="AV13:AV17"/>
    <mergeCell ref="AK13:AK17"/>
    <mergeCell ref="AL13:AL17"/>
    <mergeCell ref="AM13:AM17"/>
    <mergeCell ref="AN13:AN17"/>
    <mergeCell ref="AO13:AO17"/>
    <mergeCell ref="AP13:AP17"/>
    <mergeCell ref="AE13:AE17"/>
    <mergeCell ref="AF13:AF17"/>
    <mergeCell ref="AG13:AG17"/>
    <mergeCell ref="AH13:AH17"/>
    <mergeCell ref="AI13:AI17"/>
    <mergeCell ref="AJ13:AJ17"/>
    <mergeCell ref="T13:T17"/>
    <mergeCell ref="U13:U17"/>
    <mergeCell ref="V13:V14"/>
    <mergeCell ref="AB13:AB17"/>
    <mergeCell ref="AC13:AC17"/>
    <mergeCell ref="AD13:AD17"/>
    <mergeCell ref="BL8:BL9"/>
    <mergeCell ref="BM8:BM9"/>
    <mergeCell ref="J13:J16"/>
    <mergeCell ref="K13:K16"/>
    <mergeCell ref="L13:L16"/>
    <mergeCell ref="M13:M16"/>
    <mergeCell ref="N13:N16"/>
    <mergeCell ref="P13:P17"/>
    <mergeCell ref="Q13:Q17"/>
    <mergeCell ref="S13:S17"/>
    <mergeCell ref="BB8:BC8"/>
    <mergeCell ref="BD8:BE8"/>
    <mergeCell ref="BH8:BH9"/>
    <mergeCell ref="BI8:BI9"/>
    <mergeCell ref="BJ8:BJ9"/>
    <mergeCell ref="BK8:BK9"/>
    <mergeCell ref="V7:V9"/>
    <mergeCell ref="W7:Y8"/>
    <mergeCell ref="T7:T9"/>
    <mergeCell ref="U7:U9"/>
    <mergeCell ref="BR7:BR9"/>
    <mergeCell ref="AB8:AC8"/>
    <mergeCell ref="AD8:AE8"/>
    <mergeCell ref="AF8:AG8"/>
    <mergeCell ref="AH8:AI8"/>
    <mergeCell ref="AJ8:AK8"/>
    <mergeCell ref="AL8:AM8"/>
    <mergeCell ref="AN8:AO8"/>
    <mergeCell ref="AP8:AQ8"/>
    <mergeCell ref="AR8:AS8"/>
    <mergeCell ref="AN7:AY7"/>
    <mergeCell ref="AZ7:BE7"/>
    <mergeCell ref="BF7:BG8"/>
    <mergeCell ref="BH7:BM7"/>
    <mergeCell ref="BN7:BO8"/>
    <mergeCell ref="BP7:BQ8"/>
    <mergeCell ref="AT8:AU8"/>
    <mergeCell ref="AV8:AW8"/>
    <mergeCell ref="AX8:AY8"/>
    <mergeCell ref="AZ8:BA8"/>
    <mergeCell ref="H7:I9"/>
    <mergeCell ref="J7:J9"/>
    <mergeCell ref="K7:K9"/>
    <mergeCell ref="L7:L9"/>
    <mergeCell ref="M7:N8"/>
    <mergeCell ref="O7:O9"/>
    <mergeCell ref="A1:BP4"/>
    <mergeCell ref="A5:N6"/>
    <mergeCell ref="O5:BR5"/>
    <mergeCell ref="O6:AA6"/>
    <mergeCell ref="BN6:BR6"/>
    <mergeCell ref="A7:A9"/>
    <mergeCell ref="B7:C9"/>
    <mergeCell ref="D7:D9"/>
    <mergeCell ref="E7:F9"/>
    <mergeCell ref="G7:G9"/>
    <mergeCell ref="Z7:Z9"/>
    <mergeCell ref="AA7:AA9"/>
    <mergeCell ref="AB7:AE7"/>
    <mergeCell ref="AF7:AM7"/>
    <mergeCell ref="P7:P9"/>
    <mergeCell ref="Q7:Q9"/>
    <mergeCell ref="R7:R9"/>
    <mergeCell ref="S7:S9"/>
  </mergeCells>
  <pageMargins left="0.70866141732283472" right="0.70866141732283472" top="0.74803149606299213" bottom="0.74803149606299213" header="0.31496062992125984" footer="0.31496062992125984"/>
  <pageSetup paperSize="5" scale="6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showGridLines="0" zoomScale="60" zoomScaleNormal="60" workbookViewId="0">
      <selection activeCell="H19" sqref="H19"/>
    </sheetView>
  </sheetViews>
  <sheetFormatPr baseColWidth="10" defaultColWidth="11.42578125" defaultRowHeight="14.25" x14ac:dyDescent="0.2"/>
  <cols>
    <col min="1" max="1" width="13.5703125" style="2" customWidth="1"/>
    <col min="2" max="2" width="8.42578125" style="2" customWidth="1"/>
    <col min="3" max="3" width="12" style="2" customWidth="1"/>
    <col min="4" max="4" width="16.7109375" style="2" customWidth="1"/>
    <col min="5" max="5" width="19.140625" style="2" customWidth="1"/>
    <col min="6" max="6" width="11.42578125" style="2" hidden="1" customWidth="1"/>
    <col min="7" max="7" width="18.85546875" style="2" customWidth="1"/>
    <col min="8" max="8" width="24" style="2" customWidth="1"/>
    <col min="9" max="9" width="1.28515625" style="2" customWidth="1"/>
    <col min="10" max="10" width="11.7109375" style="2" customWidth="1"/>
    <col min="11" max="11" width="35.42578125" style="2" customWidth="1"/>
    <col min="12" max="12" width="18.28515625" style="2" customWidth="1"/>
    <col min="13" max="13" width="9.7109375" style="2320" customWidth="1"/>
    <col min="14" max="14" width="9.85546875" style="2320" customWidth="1"/>
    <col min="15" max="15" width="26.7109375" style="2" customWidth="1"/>
    <col min="16" max="16" width="22.85546875" style="2" customWidth="1"/>
    <col min="17" max="17" width="27.42578125" style="2" customWidth="1"/>
    <col min="18" max="18" width="14.7109375" style="2" customWidth="1"/>
    <col min="19" max="19" width="27.7109375" style="2" customWidth="1"/>
    <col min="20" max="20" width="25.7109375" style="2" customWidth="1"/>
    <col min="21" max="21" width="27.5703125" style="2" customWidth="1"/>
    <col min="22" max="22" width="31" style="2" customWidth="1"/>
    <col min="23" max="23" width="25.42578125" style="2" customWidth="1"/>
    <col min="24" max="25" width="22.7109375" style="2" customWidth="1"/>
    <col min="26" max="26" width="10.7109375" style="2" customWidth="1"/>
    <col min="27" max="27" width="24" style="2" customWidth="1"/>
    <col min="28" max="59" width="8" style="2" customWidth="1"/>
    <col min="60" max="60" width="13.42578125" style="2320" customWidth="1"/>
    <col min="61" max="62" width="22.7109375" style="2" bestFit="1" customWidth="1"/>
    <col min="63" max="63" width="17.5703125" style="2" customWidth="1"/>
    <col min="64" max="64" width="20.7109375" style="2" customWidth="1"/>
    <col min="65" max="65" width="18.7109375" style="2" customWidth="1"/>
    <col min="66" max="69" width="9.7109375" style="2320" customWidth="1"/>
    <col min="70" max="70" width="19.85546875" style="2" customWidth="1"/>
    <col min="71" max="83" width="14.85546875" style="2" customWidth="1"/>
    <col min="84" max="16384" width="11.42578125" style="2"/>
  </cols>
  <sheetData>
    <row r="1" spans="1:70" ht="15" customHeight="1" x14ac:dyDescent="0.25">
      <c r="A1" s="4859" t="s">
        <v>1927</v>
      </c>
      <c r="B1" s="4859"/>
      <c r="C1" s="4859"/>
      <c r="D1" s="4859"/>
      <c r="E1" s="4859"/>
      <c r="F1" s="4859"/>
      <c r="G1" s="4859"/>
      <c r="H1" s="4859"/>
      <c r="I1" s="4859"/>
      <c r="J1" s="4859"/>
      <c r="K1" s="4859"/>
      <c r="L1" s="4859"/>
      <c r="M1" s="4859"/>
      <c r="N1" s="4859"/>
      <c r="O1" s="4859"/>
      <c r="P1" s="4859"/>
      <c r="Q1" s="4859"/>
      <c r="R1" s="4859"/>
      <c r="S1" s="4859"/>
      <c r="T1" s="4859"/>
      <c r="U1" s="4859"/>
      <c r="V1" s="4859"/>
      <c r="W1" s="4859"/>
      <c r="X1" s="4859"/>
      <c r="Y1" s="4859"/>
      <c r="Z1" s="4859"/>
      <c r="AA1" s="4859"/>
      <c r="AB1" s="4859"/>
      <c r="AC1" s="4859"/>
      <c r="AD1" s="4859"/>
      <c r="AE1" s="4859"/>
      <c r="AF1" s="4859"/>
      <c r="AG1" s="4859"/>
      <c r="AH1" s="4859"/>
      <c r="AI1" s="4859"/>
      <c r="AJ1" s="4859"/>
      <c r="AK1" s="4859"/>
      <c r="AL1" s="4859"/>
      <c r="AM1" s="4859"/>
      <c r="AN1" s="4859"/>
      <c r="AO1" s="4859"/>
      <c r="AP1" s="4859"/>
      <c r="AQ1" s="4859"/>
      <c r="AR1" s="4859"/>
      <c r="AS1" s="4859"/>
      <c r="AT1" s="4859"/>
      <c r="AU1" s="4859"/>
      <c r="AV1" s="4859"/>
      <c r="AW1" s="4859"/>
      <c r="AX1" s="4859"/>
      <c r="AY1" s="4859"/>
      <c r="AZ1" s="4859"/>
      <c r="BA1" s="4859"/>
      <c r="BB1" s="4859"/>
      <c r="BC1" s="4859"/>
      <c r="BD1" s="4859"/>
      <c r="BE1" s="4859"/>
      <c r="BF1" s="4859"/>
      <c r="BG1" s="4859"/>
      <c r="BH1" s="4859"/>
      <c r="BI1" s="4859"/>
      <c r="BJ1" s="4859"/>
      <c r="BK1" s="4859"/>
      <c r="BL1" s="4859"/>
      <c r="BM1" s="4859"/>
      <c r="BN1" s="4859"/>
      <c r="BO1" s="2234"/>
      <c r="BP1" s="2235" t="s">
        <v>1</v>
      </c>
      <c r="BQ1" s="2236"/>
      <c r="BR1" s="3" t="s">
        <v>2</v>
      </c>
    </row>
    <row r="2" spans="1:70" ht="15" x14ac:dyDescent="0.25">
      <c r="A2" s="4859"/>
      <c r="B2" s="4859"/>
      <c r="C2" s="4859"/>
      <c r="D2" s="4859"/>
      <c r="E2" s="4859"/>
      <c r="F2" s="4859"/>
      <c r="G2" s="4859"/>
      <c r="H2" s="4859"/>
      <c r="I2" s="4859"/>
      <c r="J2" s="4859"/>
      <c r="K2" s="4859"/>
      <c r="L2" s="4859"/>
      <c r="M2" s="4859"/>
      <c r="N2" s="4859"/>
      <c r="O2" s="4859"/>
      <c r="P2" s="4859"/>
      <c r="Q2" s="4859"/>
      <c r="R2" s="4859"/>
      <c r="S2" s="4859"/>
      <c r="T2" s="4859"/>
      <c r="U2" s="4859"/>
      <c r="V2" s="4859"/>
      <c r="W2" s="4859"/>
      <c r="X2" s="4859"/>
      <c r="Y2" s="4859"/>
      <c r="Z2" s="4859"/>
      <c r="AA2" s="4859"/>
      <c r="AB2" s="4859"/>
      <c r="AC2" s="4859"/>
      <c r="AD2" s="4859"/>
      <c r="AE2" s="4859"/>
      <c r="AF2" s="4859"/>
      <c r="AG2" s="4859"/>
      <c r="AH2" s="4859"/>
      <c r="AI2" s="4859"/>
      <c r="AJ2" s="4859"/>
      <c r="AK2" s="4859"/>
      <c r="AL2" s="4859"/>
      <c r="AM2" s="4859"/>
      <c r="AN2" s="4859"/>
      <c r="AO2" s="4859"/>
      <c r="AP2" s="4859"/>
      <c r="AQ2" s="4859"/>
      <c r="AR2" s="4859"/>
      <c r="AS2" s="4859"/>
      <c r="AT2" s="4859"/>
      <c r="AU2" s="4859"/>
      <c r="AV2" s="4859"/>
      <c r="AW2" s="4859"/>
      <c r="AX2" s="4859"/>
      <c r="AY2" s="4859"/>
      <c r="AZ2" s="4859"/>
      <c r="BA2" s="4859"/>
      <c r="BB2" s="4859"/>
      <c r="BC2" s="4859"/>
      <c r="BD2" s="4859"/>
      <c r="BE2" s="4859"/>
      <c r="BF2" s="4859"/>
      <c r="BG2" s="4859"/>
      <c r="BH2" s="4859"/>
      <c r="BI2" s="4859"/>
      <c r="BJ2" s="4859"/>
      <c r="BK2" s="4859"/>
      <c r="BL2" s="4859"/>
      <c r="BM2" s="4859"/>
      <c r="BN2" s="4859"/>
      <c r="BO2" s="2234"/>
      <c r="BP2" s="2235" t="s">
        <v>3</v>
      </c>
      <c r="BQ2" s="2236"/>
      <c r="BR2" s="5">
        <v>6</v>
      </c>
    </row>
    <row r="3" spans="1:70" ht="15" x14ac:dyDescent="0.25">
      <c r="A3" s="4859"/>
      <c r="B3" s="4859"/>
      <c r="C3" s="4859"/>
      <c r="D3" s="4859"/>
      <c r="E3" s="4859"/>
      <c r="F3" s="4859"/>
      <c r="G3" s="4859"/>
      <c r="H3" s="4859"/>
      <c r="I3" s="4859"/>
      <c r="J3" s="4859"/>
      <c r="K3" s="4859"/>
      <c r="L3" s="4859"/>
      <c r="M3" s="4859"/>
      <c r="N3" s="4859"/>
      <c r="O3" s="4859"/>
      <c r="P3" s="4859"/>
      <c r="Q3" s="4859"/>
      <c r="R3" s="4859"/>
      <c r="S3" s="4859"/>
      <c r="T3" s="4859"/>
      <c r="U3" s="4859"/>
      <c r="V3" s="4859"/>
      <c r="W3" s="4859"/>
      <c r="X3" s="4859"/>
      <c r="Y3" s="4859"/>
      <c r="Z3" s="4859"/>
      <c r="AA3" s="4859"/>
      <c r="AB3" s="4859"/>
      <c r="AC3" s="4859"/>
      <c r="AD3" s="4859"/>
      <c r="AE3" s="4859"/>
      <c r="AF3" s="4859"/>
      <c r="AG3" s="4859"/>
      <c r="AH3" s="4859"/>
      <c r="AI3" s="4859"/>
      <c r="AJ3" s="4859"/>
      <c r="AK3" s="4859"/>
      <c r="AL3" s="4859"/>
      <c r="AM3" s="4859"/>
      <c r="AN3" s="4859"/>
      <c r="AO3" s="4859"/>
      <c r="AP3" s="4859"/>
      <c r="AQ3" s="4859"/>
      <c r="AR3" s="4859"/>
      <c r="AS3" s="4859"/>
      <c r="AT3" s="4859"/>
      <c r="AU3" s="4859"/>
      <c r="AV3" s="4859"/>
      <c r="AW3" s="4859"/>
      <c r="AX3" s="4859"/>
      <c r="AY3" s="4859"/>
      <c r="AZ3" s="4859"/>
      <c r="BA3" s="4859"/>
      <c r="BB3" s="4859"/>
      <c r="BC3" s="4859"/>
      <c r="BD3" s="4859"/>
      <c r="BE3" s="4859"/>
      <c r="BF3" s="4859"/>
      <c r="BG3" s="4859"/>
      <c r="BH3" s="4859"/>
      <c r="BI3" s="4859"/>
      <c r="BJ3" s="4859"/>
      <c r="BK3" s="4859"/>
      <c r="BL3" s="4859"/>
      <c r="BM3" s="4859"/>
      <c r="BN3" s="4859"/>
      <c r="BO3" s="2234"/>
      <c r="BP3" s="2235" t="s">
        <v>4</v>
      </c>
      <c r="BQ3" s="2236"/>
      <c r="BR3" s="6" t="s">
        <v>5</v>
      </c>
    </row>
    <row r="4" spans="1:70" s="8" customFormat="1" ht="15" x14ac:dyDescent="0.2">
      <c r="A4" s="2685"/>
      <c r="B4" s="2685"/>
      <c r="C4" s="2685"/>
      <c r="D4" s="2685"/>
      <c r="E4" s="2685"/>
      <c r="F4" s="2685"/>
      <c r="G4" s="2685"/>
      <c r="H4" s="2685"/>
      <c r="I4" s="2685"/>
      <c r="J4" s="2685"/>
      <c r="K4" s="2685"/>
      <c r="L4" s="2685"/>
      <c r="M4" s="2685"/>
      <c r="N4" s="2685"/>
      <c r="O4" s="2685"/>
      <c r="P4" s="2685"/>
      <c r="Q4" s="2685"/>
      <c r="R4" s="2685"/>
      <c r="S4" s="2685"/>
      <c r="T4" s="2685"/>
      <c r="U4" s="2685"/>
      <c r="V4" s="2685"/>
      <c r="W4" s="2685"/>
      <c r="X4" s="2685"/>
      <c r="Y4" s="2685"/>
      <c r="Z4" s="2685"/>
      <c r="AA4" s="2685"/>
      <c r="AB4" s="2685"/>
      <c r="AC4" s="2685"/>
      <c r="AD4" s="2685"/>
      <c r="AE4" s="2685"/>
      <c r="AF4" s="2685"/>
      <c r="AG4" s="2685"/>
      <c r="AH4" s="2685"/>
      <c r="AI4" s="2685"/>
      <c r="AJ4" s="2685"/>
      <c r="AK4" s="2685"/>
      <c r="AL4" s="2685"/>
      <c r="AM4" s="2685"/>
      <c r="AN4" s="2685"/>
      <c r="AO4" s="2685"/>
      <c r="AP4" s="2685"/>
      <c r="AQ4" s="2685"/>
      <c r="AR4" s="2685"/>
      <c r="AS4" s="2685"/>
      <c r="AT4" s="2685"/>
      <c r="AU4" s="2685"/>
      <c r="AV4" s="2685"/>
      <c r="AW4" s="2685"/>
      <c r="AX4" s="2685"/>
      <c r="AY4" s="2685"/>
      <c r="AZ4" s="2685"/>
      <c r="BA4" s="2685"/>
      <c r="BB4" s="2685"/>
      <c r="BC4" s="2685"/>
      <c r="BD4" s="2685"/>
      <c r="BE4" s="2685"/>
      <c r="BF4" s="2685"/>
      <c r="BG4" s="2685"/>
      <c r="BH4" s="2685"/>
      <c r="BI4" s="2685"/>
      <c r="BJ4" s="2685"/>
      <c r="BK4" s="2685"/>
      <c r="BL4" s="2685"/>
      <c r="BM4" s="2685"/>
      <c r="BN4" s="2685"/>
      <c r="BO4" s="7"/>
      <c r="BP4" s="2237" t="s">
        <v>6</v>
      </c>
      <c r="BQ4" s="2238"/>
      <c r="BR4" s="10" t="s">
        <v>7</v>
      </c>
    </row>
    <row r="5" spans="1:70" ht="15" x14ac:dyDescent="0.2">
      <c r="A5" s="2686" t="s">
        <v>8</v>
      </c>
      <c r="B5" s="2686"/>
      <c r="C5" s="2686"/>
      <c r="D5" s="2686"/>
      <c r="E5" s="2686"/>
      <c r="F5" s="2686"/>
      <c r="G5" s="2686"/>
      <c r="H5" s="2686"/>
      <c r="I5" s="2686"/>
      <c r="J5" s="2686"/>
      <c r="K5" s="2686"/>
      <c r="L5" s="2686"/>
      <c r="M5" s="2686"/>
      <c r="N5" s="2237"/>
      <c r="O5" s="2237"/>
      <c r="P5" s="2237"/>
      <c r="Q5" s="2686" t="s">
        <v>9</v>
      </c>
      <c r="R5" s="2686"/>
      <c r="S5" s="2686"/>
      <c r="T5" s="2686"/>
      <c r="U5" s="2686"/>
      <c r="V5" s="2686"/>
      <c r="W5" s="2686"/>
      <c r="X5" s="2686"/>
      <c r="Y5" s="2686"/>
      <c r="Z5" s="2686"/>
      <c r="AA5" s="2686"/>
      <c r="AB5" s="2686"/>
      <c r="AC5" s="2686"/>
      <c r="AD5" s="2686"/>
      <c r="AE5" s="2686"/>
      <c r="AF5" s="2686"/>
      <c r="AG5" s="2686"/>
      <c r="AH5" s="2686"/>
      <c r="AI5" s="2686"/>
      <c r="AJ5" s="2686"/>
      <c r="AK5" s="2686"/>
      <c r="AL5" s="2686"/>
      <c r="AM5" s="2686"/>
      <c r="AN5" s="2686"/>
      <c r="AO5" s="2686"/>
      <c r="AP5" s="2686"/>
      <c r="AQ5" s="2686"/>
      <c r="AR5" s="2686"/>
      <c r="AS5" s="2686"/>
      <c r="AT5" s="2686"/>
      <c r="AU5" s="2686"/>
      <c r="AV5" s="2686"/>
      <c r="AW5" s="2686"/>
      <c r="AX5" s="2686"/>
      <c r="AY5" s="2686"/>
      <c r="AZ5" s="2686"/>
      <c r="BA5" s="2686"/>
      <c r="BB5" s="2686"/>
      <c r="BC5" s="2686"/>
      <c r="BD5" s="2686"/>
      <c r="BE5" s="2686"/>
      <c r="BF5" s="2686"/>
      <c r="BG5" s="2686"/>
      <c r="BH5" s="2686"/>
      <c r="BI5" s="2686"/>
      <c r="BJ5" s="2686"/>
      <c r="BK5" s="2686"/>
      <c r="BL5" s="2686"/>
      <c r="BM5" s="2686"/>
      <c r="BN5" s="2686"/>
      <c r="BO5" s="2686"/>
      <c r="BP5" s="2686"/>
      <c r="BQ5" s="2686"/>
      <c r="BR5" s="2686"/>
    </row>
    <row r="6" spans="1:70" ht="15.75" thickBot="1" x14ac:dyDescent="0.25">
      <c r="A6" s="4860"/>
      <c r="B6" s="4860"/>
      <c r="C6" s="4860"/>
      <c r="D6" s="4860"/>
      <c r="E6" s="4860"/>
      <c r="F6" s="4860"/>
      <c r="G6" s="4860"/>
      <c r="H6" s="4860"/>
      <c r="I6" s="4860"/>
      <c r="J6" s="4860"/>
      <c r="K6" s="4860"/>
      <c r="L6" s="4860"/>
      <c r="M6" s="4860"/>
      <c r="N6" s="2239"/>
      <c r="O6" s="2239"/>
      <c r="P6" s="2240"/>
      <c r="Q6" s="4861"/>
      <c r="R6" s="4862"/>
      <c r="S6" s="4862"/>
      <c r="T6" s="4862"/>
      <c r="U6" s="4862"/>
      <c r="V6" s="4862"/>
      <c r="W6" s="4862"/>
      <c r="X6" s="4862"/>
      <c r="Y6" s="4862"/>
      <c r="Z6" s="4862"/>
      <c r="AA6" s="4863"/>
      <c r="AB6" s="2241"/>
      <c r="AC6" s="2241"/>
      <c r="AD6" s="2241"/>
      <c r="AE6" s="2241"/>
      <c r="AF6" s="2241"/>
      <c r="AG6" s="2241"/>
      <c r="AH6" s="2241"/>
      <c r="AI6" s="2241"/>
      <c r="AJ6" s="2241"/>
      <c r="AK6" s="2241"/>
      <c r="AL6" s="2241"/>
      <c r="AM6" s="2241"/>
      <c r="AN6" s="2241"/>
      <c r="AO6" s="2241"/>
      <c r="AP6" s="2241"/>
      <c r="AQ6" s="2241"/>
      <c r="AR6" s="2241"/>
      <c r="AS6" s="2241"/>
      <c r="AT6" s="2241"/>
      <c r="AU6" s="2241"/>
      <c r="AV6" s="2241"/>
      <c r="AW6" s="2241"/>
      <c r="AX6" s="2241"/>
      <c r="AY6" s="2241"/>
      <c r="AZ6" s="2241"/>
      <c r="BA6" s="2241"/>
      <c r="BB6" s="2241"/>
      <c r="BC6" s="2241"/>
      <c r="BD6" s="2241"/>
      <c r="BE6" s="2241"/>
      <c r="BF6" s="2241"/>
      <c r="BG6" s="2241"/>
      <c r="BH6" s="2241"/>
      <c r="BI6" s="2241"/>
      <c r="BJ6" s="2241"/>
      <c r="BK6" s="2241"/>
      <c r="BL6" s="2241"/>
      <c r="BM6" s="2241"/>
      <c r="BN6" s="4861"/>
      <c r="BO6" s="4862"/>
      <c r="BP6" s="4862"/>
      <c r="BQ6" s="4862"/>
      <c r="BR6" s="4863"/>
    </row>
    <row r="7" spans="1:70" s="13" customFormat="1" ht="16.5" customHeight="1" x14ac:dyDescent="0.2">
      <c r="A7" s="4854" t="s">
        <v>10</v>
      </c>
      <c r="B7" s="4857" t="s">
        <v>11</v>
      </c>
      <c r="C7" s="4857"/>
      <c r="D7" s="4857" t="s">
        <v>10</v>
      </c>
      <c r="E7" s="4857" t="s">
        <v>12</v>
      </c>
      <c r="F7" s="4857"/>
      <c r="G7" s="4857" t="s">
        <v>10</v>
      </c>
      <c r="H7" s="4857" t="s">
        <v>13</v>
      </c>
      <c r="I7" s="4857"/>
      <c r="J7" s="4857" t="s">
        <v>10</v>
      </c>
      <c r="K7" s="4857" t="s">
        <v>14</v>
      </c>
      <c r="L7" s="4857" t="s">
        <v>15</v>
      </c>
      <c r="M7" s="4864" t="s">
        <v>16</v>
      </c>
      <c r="N7" s="4865"/>
      <c r="O7" s="4857" t="s">
        <v>17</v>
      </c>
      <c r="P7" s="4866" t="s">
        <v>18</v>
      </c>
      <c r="Q7" s="4857" t="s">
        <v>9</v>
      </c>
      <c r="R7" s="4857" t="s">
        <v>19</v>
      </c>
      <c r="S7" s="4857" t="s">
        <v>20</v>
      </c>
      <c r="T7" s="4857" t="s">
        <v>21</v>
      </c>
      <c r="U7" s="4857" t="s">
        <v>22</v>
      </c>
      <c r="V7" s="4857" t="s">
        <v>23</v>
      </c>
      <c r="W7" s="4864" t="s">
        <v>20</v>
      </c>
      <c r="X7" s="4867"/>
      <c r="Y7" s="4865"/>
      <c r="Z7" s="4866" t="s">
        <v>10</v>
      </c>
      <c r="AA7" s="4857" t="s">
        <v>24</v>
      </c>
      <c r="AB7" s="4868" t="s">
        <v>25</v>
      </c>
      <c r="AC7" s="4869"/>
      <c r="AD7" s="4869"/>
      <c r="AE7" s="4870"/>
      <c r="AF7" s="4871" t="s">
        <v>26</v>
      </c>
      <c r="AG7" s="4872"/>
      <c r="AH7" s="4872"/>
      <c r="AI7" s="4872"/>
      <c r="AJ7" s="4872"/>
      <c r="AK7" s="4872"/>
      <c r="AL7" s="4872"/>
      <c r="AM7" s="4873"/>
      <c r="AN7" s="4878" t="s">
        <v>27</v>
      </c>
      <c r="AO7" s="4879"/>
      <c r="AP7" s="4879"/>
      <c r="AQ7" s="4879"/>
      <c r="AR7" s="4879"/>
      <c r="AS7" s="4879"/>
      <c r="AT7" s="4879"/>
      <c r="AU7" s="4879"/>
      <c r="AV7" s="4879"/>
      <c r="AW7" s="4879"/>
      <c r="AX7" s="4879"/>
      <c r="AY7" s="4880"/>
      <c r="AZ7" s="4871" t="s">
        <v>28</v>
      </c>
      <c r="BA7" s="4872"/>
      <c r="BB7" s="4872"/>
      <c r="BC7" s="4872"/>
      <c r="BD7" s="4872"/>
      <c r="BE7" s="4873"/>
      <c r="BF7" s="4881" t="s">
        <v>29</v>
      </c>
      <c r="BG7" s="4882"/>
      <c r="BH7" s="2711" t="s">
        <v>30</v>
      </c>
      <c r="BI7" s="2712"/>
      <c r="BJ7" s="2712"/>
      <c r="BK7" s="2712"/>
      <c r="BL7" s="2712"/>
      <c r="BM7" s="2713"/>
      <c r="BN7" s="4883" t="s">
        <v>31</v>
      </c>
      <c r="BO7" s="4884"/>
      <c r="BP7" s="4883" t="s">
        <v>32</v>
      </c>
      <c r="BQ7" s="4884"/>
      <c r="BR7" s="4874" t="s">
        <v>33</v>
      </c>
    </row>
    <row r="8" spans="1:70" s="13" customFormat="1" ht="109.5" customHeight="1" x14ac:dyDescent="0.2">
      <c r="A8" s="4855"/>
      <c r="B8" s="2676"/>
      <c r="C8" s="2676"/>
      <c r="D8" s="2676"/>
      <c r="E8" s="2676"/>
      <c r="F8" s="2676"/>
      <c r="G8" s="2676"/>
      <c r="H8" s="2676"/>
      <c r="I8" s="2676"/>
      <c r="J8" s="2676"/>
      <c r="K8" s="2676"/>
      <c r="L8" s="2676"/>
      <c r="M8" s="2682"/>
      <c r="N8" s="2683"/>
      <c r="O8" s="2676"/>
      <c r="P8" s="2695"/>
      <c r="Q8" s="2676"/>
      <c r="R8" s="2676"/>
      <c r="S8" s="2676"/>
      <c r="T8" s="2676"/>
      <c r="U8" s="2676"/>
      <c r="V8" s="2676"/>
      <c r="W8" s="2691"/>
      <c r="X8" s="2692"/>
      <c r="Y8" s="2693"/>
      <c r="Z8" s="2695"/>
      <c r="AA8" s="2676"/>
      <c r="AB8" s="2718" t="s">
        <v>34</v>
      </c>
      <c r="AC8" s="2718"/>
      <c r="AD8" s="4877" t="s">
        <v>35</v>
      </c>
      <c r="AE8" s="4877"/>
      <c r="AF8" s="2718" t="s">
        <v>36</v>
      </c>
      <c r="AG8" s="2718"/>
      <c r="AH8" s="2718" t="s">
        <v>37</v>
      </c>
      <c r="AI8" s="2718"/>
      <c r="AJ8" s="2718" t="s">
        <v>131</v>
      </c>
      <c r="AK8" s="2718"/>
      <c r="AL8" s="2718" t="s">
        <v>39</v>
      </c>
      <c r="AM8" s="2718"/>
      <c r="AN8" s="2718" t="s">
        <v>40</v>
      </c>
      <c r="AO8" s="2718"/>
      <c r="AP8" s="2718" t="s">
        <v>41</v>
      </c>
      <c r="AQ8" s="2718"/>
      <c r="AR8" s="2718" t="s">
        <v>42</v>
      </c>
      <c r="AS8" s="2718"/>
      <c r="AT8" s="2718" t="s">
        <v>43</v>
      </c>
      <c r="AU8" s="2718"/>
      <c r="AV8" s="2718" t="s">
        <v>44</v>
      </c>
      <c r="AW8" s="2718"/>
      <c r="AX8" s="2718" t="s">
        <v>45</v>
      </c>
      <c r="AY8" s="2718"/>
      <c r="AZ8" s="2718" t="s">
        <v>46</v>
      </c>
      <c r="BA8" s="2718"/>
      <c r="BB8" s="2718" t="s">
        <v>47</v>
      </c>
      <c r="BC8" s="2718"/>
      <c r="BD8" s="2718" t="s">
        <v>48</v>
      </c>
      <c r="BE8" s="2718"/>
      <c r="BF8" s="2709"/>
      <c r="BG8" s="2710"/>
      <c r="BH8" s="2719" t="s">
        <v>49</v>
      </c>
      <c r="BI8" s="2734" t="s">
        <v>50</v>
      </c>
      <c r="BJ8" s="2719" t="s">
        <v>51</v>
      </c>
      <c r="BK8" s="2735" t="s">
        <v>52</v>
      </c>
      <c r="BL8" s="2719" t="s">
        <v>53</v>
      </c>
      <c r="BM8" s="2720" t="s">
        <v>54</v>
      </c>
      <c r="BN8" s="2716"/>
      <c r="BO8" s="2717"/>
      <c r="BP8" s="2716"/>
      <c r="BQ8" s="2717"/>
      <c r="BR8" s="4875"/>
    </row>
    <row r="9" spans="1:70" s="16" customFormat="1" ht="12.75" x14ac:dyDescent="0.2">
      <c r="A9" s="4855"/>
      <c r="B9" s="2676"/>
      <c r="C9" s="2676"/>
      <c r="D9" s="2676"/>
      <c r="E9" s="2676"/>
      <c r="F9" s="2676"/>
      <c r="G9" s="2676"/>
      <c r="H9" s="2676"/>
      <c r="I9" s="2676"/>
      <c r="J9" s="2676"/>
      <c r="K9" s="2676"/>
      <c r="L9" s="2676"/>
      <c r="M9" s="14" t="s">
        <v>55</v>
      </c>
      <c r="N9" s="14" t="s">
        <v>56</v>
      </c>
      <c r="O9" s="2676"/>
      <c r="P9" s="2696"/>
      <c r="Q9" s="2676"/>
      <c r="R9" s="2676"/>
      <c r="S9" s="2676"/>
      <c r="T9" s="2676"/>
      <c r="U9" s="2676"/>
      <c r="V9" s="2676"/>
      <c r="W9" s="14" t="s">
        <v>57</v>
      </c>
      <c r="X9" s="14" t="s">
        <v>58</v>
      </c>
      <c r="Y9" s="14" t="s">
        <v>59</v>
      </c>
      <c r="Z9" s="2696"/>
      <c r="AA9" s="2676"/>
      <c r="AB9" s="14" t="s">
        <v>55</v>
      </c>
      <c r="AC9" s="14" t="s">
        <v>56</v>
      </c>
      <c r="AD9" s="14" t="s">
        <v>55</v>
      </c>
      <c r="AE9" s="14" t="s">
        <v>56</v>
      </c>
      <c r="AF9" s="14" t="s">
        <v>55</v>
      </c>
      <c r="AG9" s="14" t="s">
        <v>56</v>
      </c>
      <c r="AH9" s="14" t="s">
        <v>55</v>
      </c>
      <c r="AI9" s="14" t="s">
        <v>56</v>
      </c>
      <c r="AJ9" s="14" t="s">
        <v>55</v>
      </c>
      <c r="AK9" s="14" t="s">
        <v>56</v>
      </c>
      <c r="AL9" s="14" t="s">
        <v>55</v>
      </c>
      <c r="AM9" s="14" t="s">
        <v>56</v>
      </c>
      <c r="AN9" s="14" t="s">
        <v>55</v>
      </c>
      <c r="AO9" s="14" t="s">
        <v>56</v>
      </c>
      <c r="AP9" s="14" t="s">
        <v>55</v>
      </c>
      <c r="AQ9" s="14" t="s">
        <v>56</v>
      </c>
      <c r="AR9" s="14" t="s">
        <v>55</v>
      </c>
      <c r="AS9" s="14" t="s">
        <v>56</v>
      </c>
      <c r="AT9" s="14" t="s">
        <v>55</v>
      </c>
      <c r="AU9" s="14" t="s">
        <v>56</v>
      </c>
      <c r="AV9" s="14" t="s">
        <v>55</v>
      </c>
      <c r="AW9" s="14" t="s">
        <v>56</v>
      </c>
      <c r="AX9" s="14" t="s">
        <v>55</v>
      </c>
      <c r="AY9" s="14" t="s">
        <v>56</v>
      </c>
      <c r="AZ9" s="14" t="s">
        <v>55</v>
      </c>
      <c r="BA9" s="14" t="s">
        <v>56</v>
      </c>
      <c r="BB9" s="14" t="s">
        <v>55</v>
      </c>
      <c r="BC9" s="14" t="s">
        <v>56</v>
      </c>
      <c r="BD9" s="14" t="s">
        <v>55</v>
      </c>
      <c r="BE9" s="14" t="s">
        <v>56</v>
      </c>
      <c r="BF9" s="14" t="s">
        <v>55</v>
      </c>
      <c r="BG9" s="14" t="s">
        <v>56</v>
      </c>
      <c r="BH9" s="2719"/>
      <c r="BI9" s="2734"/>
      <c r="BJ9" s="2719"/>
      <c r="BK9" s="2735"/>
      <c r="BL9" s="2719"/>
      <c r="BM9" s="2721"/>
      <c r="BN9" s="15" t="s">
        <v>55</v>
      </c>
      <c r="BO9" s="15" t="s">
        <v>56</v>
      </c>
      <c r="BP9" s="15" t="s">
        <v>55</v>
      </c>
      <c r="BQ9" s="15" t="s">
        <v>56</v>
      </c>
      <c r="BR9" s="4875"/>
    </row>
    <row r="10" spans="1:70" ht="15" hidden="1" x14ac:dyDescent="0.2">
      <c r="A10" s="4855"/>
      <c r="B10" s="2676"/>
      <c r="C10" s="2676"/>
      <c r="D10" s="2676"/>
      <c r="E10" s="2676"/>
      <c r="F10" s="2676"/>
      <c r="G10" s="2676"/>
      <c r="H10" s="2676"/>
      <c r="I10" s="2676"/>
      <c r="J10" s="2676"/>
      <c r="K10" s="2676"/>
      <c r="L10" s="2676"/>
      <c r="M10" s="2242"/>
      <c r="N10" s="2243"/>
      <c r="O10" s="2676"/>
      <c r="P10" s="19"/>
      <c r="Q10" s="2676"/>
      <c r="R10" s="2676"/>
      <c r="S10" s="2676"/>
      <c r="T10" s="2676"/>
      <c r="U10" s="2676"/>
      <c r="V10" s="2676"/>
      <c r="W10" s="20"/>
      <c r="X10" s="20"/>
      <c r="Y10" s="19"/>
      <c r="Z10" s="19"/>
      <c r="AA10" s="2676"/>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21"/>
      <c r="BI10" s="21"/>
      <c r="BJ10" s="21"/>
      <c r="BK10" s="21"/>
      <c r="BL10" s="21"/>
      <c r="BM10" s="21"/>
      <c r="BN10" s="21"/>
      <c r="BO10" s="21"/>
      <c r="BP10" s="21"/>
      <c r="BQ10" s="21"/>
      <c r="BR10" s="4875"/>
    </row>
    <row r="11" spans="1:70" ht="15" hidden="1" x14ac:dyDescent="0.2">
      <c r="A11" s="4855"/>
      <c r="B11" s="2676"/>
      <c r="C11" s="2676"/>
      <c r="D11" s="2676"/>
      <c r="E11" s="2676"/>
      <c r="F11" s="2676"/>
      <c r="G11" s="2676"/>
      <c r="H11" s="2676"/>
      <c r="I11" s="2676"/>
      <c r="J11" s="2676"/>
      <c r="K11" s="2676"/>
      <c r="L11" s="2676"/>
      <c r="M11" s="2242"/>
      <c r="N11" s="2243"/>
      <c r="O11" s="2676"/>
      <c r="P11" s="19"/>
      <c r="Q11" s="2676"/>
      <c r="R11" s="2676"/>
      <c r="S11" s="2676"/>
      <c r="T11" s="2676"/>
      <c r="U11" s="2676"/>
      <c r="V11" s="2676"/>
      <c r="W11" s="20"/>
      <c r="X11" s="20"/>
      <c r="Y11" s="19"/>
      <c r="Z11" s="19"/>
      <c r="AA11" s="2676"/>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21"/>
      <c r="BI11" s="21"/>
      <c r="BJ11" s="21"/>
      <c r="BK11" s="21"/>
      <c r="BL11" s="21"/>
      <c r="BM11" s="21"/>
      <c r="BN11" s="21"/>
      <c r="BO11" s="21"/>
      <c r="BP11" s="21"/>
      <c r="BQ11" s="21"/>
      <c r="BR11" s="4875"/>
    </row>
    <row r="12" spans="1:70" ht="15" hidden="1" x14ac:dyDescent="0.2">
      <c r="A12" s="4855"/>
      <c r="B12" s="2676"/>
      <c r="C12" s="2676"/>
      <c r="D12" s="2676"/>
      <c r="E12" s="2676"/>
      <c r="F12" s="2676"/>
      <c r="G12" s="2676"/>
      <c r="H12" s="2676"/>
      <c r="I12" s="2676"/>
      <c r="J12" s="2676"/>
      <c r="K12" s="2676"/>
      <c r="L12" s="2676"/>
      <c r="M12" s="2242"/>
      <c r="N12" s="2243"/>
      <c r="O12" s="2676"/>
      <c r="P12" s="19"/>
      <c r="Q12" s="2676"/>
      <c r="R12" s="2676"/>
      <c r="S12" s="2676"/>
      <c r="T12" s="2676"/>
      <c r="U12" s="2676"/>
      <c r="V12" s="2676"/>
      <c r="W12" s="20"/>
      <c r="X12" s="20"/>
      <c r="Y12" s="19"/>
      <c r="Z12" s="19"/>
      <c r="AA12" s="2676"/>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21"/>
      <c r="BI12" s="21"/>
      <c r="BJ12" s="21"/>
      <c r="BK12" s="21"/>
      <c r="BL12" s="21"/>
      <c r="BM12" s="21"/>
      <c r="BN12" s="21"/>
      <c r="BO12" s="21"/>
      <c r="BP12" s="21"/>
      <c r="BQ12" s="21"/>
      <c r="BR12" s="4875"/>
    </row>
    <row r="13" spans="1:70" ht="15" hidden="1" x14ac:dyDescent="0.2">
      <c r="A13" s="4855"/>
      <c r="B13" s="2676"/>
      <c r="C13" s="2676"/>
      <c r="D13" s="2676"/>
      <c r="E13" s="2676"/>
      <c r="F13" s="2676"/>
      <c r="G13" s="2676"/>
      <c r="H13" s="2676"/>
      <c r="I13" s="2676"/>
      <c r="J13" s="2676"/>
      <c r="K13" s="2676"/>
      <c r="L13" s="2676"/>
      <c r="M13" s="2242"/>
      <c r="N13" s="2243"/>
      <c r="O13" s="2676"/>
      <c r="P13" s="19"/>
      <c r="Q13" s="2676"/>
      <c r="R13" s="2676"/>
      <c r="S13" s="2676"/>
      <c r="T13" s="2676"/>
      <c r="U13" s="2676"/>
      <c r="V13" s="2676"/>
      <c r="W13" s="20"/>
      <c r="X13" s="20"/>
      <c r="Y13" s="19"/>
      <c r="Z13" s="19"/>
      <c r="AA13" s="2676"/>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21"/>
      <c r="BI13" s="21"/>
      <c r="BJ13" s="21"/>
      <c r="BK13" s="21"/>
      <c r="BL13" s="21"/>
      <c r="BM13" s="21"/>
      <c r="BN13" s="21"/>
      <c r="BO13" s="21"/>
      <c r="BP13" s="21"/>
      <c r="BQ13" s="21"/>
      <c r="BR13" s="4875"/>
    </row>
    <row r="14" spans="1:70" ht="15" hidden="1" x14ac:dyDescent="0.2">
      <c r="A14" s="4855"/>
      <c r="B14" s="2676"/>
      <c r="C14" s="2676"/>
      <c r="D14" s="2676"/>
      <c r="E14" s="2676"/>
      <c r="F14" s="2676"/>
      <c r="G14" s="2676"/>
      <c r="H14" s="2676"/>
      <c r="I14" s="2676"/>
      <c r="J14" s="2676"/>
      <c r="K14" s="2676"/>
      <c r="L14" s="2676"/>
      <c r="M14" s="2242"/>
      <c r="N14" s="2243"/>
      <c r="O14" s="2676"/>
      <c r="P14" s="19"/>
      <c r="Q14" s="2676"/>
      <c r="R14" s="2676"/>
      <c r="S14" s="2676"/>
      <c r="T14" s="2676"/>
      <c r="U14" s="2676"/>
      <c r="V14" s="2676"/>
      <c r="W14" s="20"/>
      <c r="X14" s="20"/>
      <c r="Y14" s="19"/>
      <c r="Z14" s="19"/>
      <c r="AA14" s="2676"/>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21"/>
      <c r="BI14" s="21"/>
      <c r="BJ14" s="21"/>
      <c r="BK14" s="21"/>
      <c r="BL14" s="21"/>
      <c r="BM14" s="21"/>
      <c r="BN14" s="21"/>
      <c r="BO14" s="21"/>
      <c r="BP14" s="21"/>
      <c r="BQ14" s="21"/>
      <c r="BR14" s="4875"/>
    </row>
    <row r="15" spans="1:70" ht="15.75" thickBot="1" x14ac:dyDescent="0.25">
      <c r="A15" s="4856"/>
      <c r="B15" s="4858"/>
      <c r="C15" s="4858"/>
      <c r="D15" s="4858"/>
      <c r="E15" s="4858"/>
      <c r="F15" s="4858"/>
      <c r="G15" s="4858"/>
      <c r="H15" s="4858"/>
      <c r="I15" s="4858"/>
      <c r="J15" s="4858"/>
      <c r="K15" s="4858"/>
      <c r="L15" s="4858"/>
      <c r="M15" s="2244"/>
      <c r="N15" s="2245"/>
      <c r="O15" s="4858"/>
      <c r="P15" s="2246"/>
      <c r="Q15" s="4858"/>
      <c r="R15" s="4858"/>
      <c r="S15" s="4858"/>
      <c r="T15" s="4858"/>
      <c r="U15" s="4858"/>
      <c r="V15" s="4858"/>
      <c r="W15" s="2247"/>
      <c r="X15" s="2247"/>
      <c r="Y15" s="2246"/>
      <c r="Z15" s="2246"/>
      <c r="AA15" s="4858"/>
      <c r="AB15" s="2246"/>
      <c r="AC15" s="2246"/>
      <c r="AD15" s="2246"/>
      <c r="AE15" s="2246"/>
      <c r="AF15" s="2246"/>
      <c r="AG15" s="2246"/>
      <c r="AH15" s="2246"/>
      <c r="AI15" s="2246"/>
      <c r="AJ15" s="2246"/>
      <c r="AK15" s="2246"/>
      <c r="AL15" s="2246"/>
      <c r="AM15" s="2246"/>
      <c r="AN15" s="2246"/>
      <c r="AO15" s="2246"/>
      <c r="AP15" s="2246"/>
      <c r="AQ15" s="2246"/>
      <c r="AR15" s="2246"/>
      <c r="AS15" s="2246"/>
      <c r="AT15" s="2246"/>
      <c r="AU15" s="2246"/>
      <c r="AV15" s="2246"/>
      <c r="AW15" s="2246"/>
      <c r="AX15" s="2246"/>
      <c r="AY15" s="2246"/>
      <c r="AZ15" s="2246"/>
      <c r="BA15" s="2246"/>
      <c r="BB15" s="2246"/>
      <c r="BC15" s="2246"/>
      <c r="BD15" s="2246"/>
      <c r="BE15" s="2246"/>
      <c r="BF15" s="2246"/>
      <c r="BG15" s="2246"/>
      <c r="BH15" s="2248"/>
      <c r="BI15" s="2248"/>
      <c r="BJ15" s="2248"/>
      <c r="BK15" s="2248"/>
      <c r="BL15" s="2248"/>
      <c r="BM15" s="2248"/>
      <c r="BN15" s="2248"/>
      <c r="BO15" s="2248"/>
      <c r="BP15" s="2248"/>
      <c r="BQ15" s="2248"/>
      <c r="BR15" s="4876"/>
    </row>
    <row r="16" spans="1:70" s="2254" customFormat="1" ht="18" x14ac:dyDescent="0.25">
      <c r="A16" s="2249">
        <v>2</v>
      </c>
      <c r="B16" s="2250" t="s">
        <v>206</v>
      </c>
      <c r="C16" s="2250"/>
      <c r="D16" s="2250"/>
      <c r="E16" s="2250"/>
      <c r="F16" s="2251"/>
      <c r="G16" s="2251"/>
      <c r="H16" s="2251"/>
      <c r="I16" s="2251"/>
      <c r="J16" s="2251"/>
      <c r="K16" s="2251"/>
      <c r="L16" s="2251"/>
      <c r="M16" s="2252"/>
      <c r="N16" s="2252"/>
      <c r="O16" s="2251"/>
      <c r="P16" s="2251"/>
      <c r="Q16" s="2251"/>
      <c r="R16" s="2251"/>
      <c r="S16" s="2251"/>
      <c r="T16" s="2251"/>
      <c r="U16" s="2251"/>
      <c r="V16" s="2251"/>
      <c r="W16" s="2251"/>
      <c r="X16" s="2251"/>
      <c r="Y16" s="2251"/>
      <c r="Z16" s="2251"/>
      <c r="AA16" s="2251"/>
      <c r="AB16" s="2251"/>
      <c r="AC16" s="2251"/>
      <c r="AD16" s="2251"/>
      <c r="AE16" s="2251"/>
      <c r="AF16" s="2251"/>
      <c r="AG16" s="2251"/>
      <c r="AH16" s="2251"/>
      <c r="AI16" s="2251"/>
      <c r="AJ16" s="2251"/>
      <c r="AK16" s="2251"/>
      <c r="AL16" s="2251"/>
      <c r="AM16" s="2251"/>
      <c r="AN16" s="2251"/>
      <c r="AO16" s="2251"/>
      <c r="AP16" s="2251"/>
      <c r="AQ16" s="2251"/>
      <c r="AR16" s="2251"/>
      <c r="AS16" s="2251"/>
      <c r="AT16" s="2251"/>
      <c r="AU16" s="2251"/>
      <c r="AV16" s="2251"/>
      <c r="AW16" s="2251"/>
      <c r="AX16" s="2251"/>
      <c r="AY16" s="2251"/>
      <c r="AZ16" s="2251"/>
      <c r="BA16" s="2251"/>
      <c r="BB16" s="2251"/>
      <c r="BC16" s="2251"/>
      <c r="BD16" s="2251"/>
      <c r="BE16" s="2251"/>
      <c r="BF16" s="2251"/>
      <c r="BG16" s="2251"/>
      <c r="BH16" s="2252"/>
      <c r="BI16" s="2251"/>
      <c r="BJ16" s="2251"/>
      <c r="BK16" s="2251"/>
      <c r="BL16" s="2251"/>
      <c r="BM16" s="2251"/>
      <c r="BN16" s="2252"/>
      <c r="BO16" s="2252"/>
      <c r="BP16" s="2252"/>
      <c r="BQ16" s="2252"/>
      <c r="BR16" s="2253"/>
    </row>
    <row r="17" spans="1:70" s="2254" customFormat="1" ht="18" x14ac:dyDescent="0.25">
      <c r="A17" s="2255"/>
      <c r="B17" s="2256"/>
      <c r="C17" s="2256"/>
      <c r="D17" s="2257">
        <v>4</v>
      </c>
      <c r="E17" s="2258" t="s">
        <v>1928</v>
      </c>
      <c r="F17" s="2259"/>
      <c r="G17" s="2260"/>
      <c r="H17" s="2259"/>
      <c r="I17" s="2259"/>
      <c r="J17" s="2259"/>
      <c r="K17" s="2259"/>
      <c r="L17" s="2259"/>
      <c r="M17" s="2261"/>
      <c r="N17" s="2261"/>
      <c r="O17" s="2259"/>
      <c r="P17" s="2259"/>
      <c r="Q17" s="2259"/>
      <c r="R17" s="2259"/>
      <c r="S17" s="2259"/>
      <c r="T17" s="2259"/>
      <c r="U17" s="2259"/>
      <c r="V17" s="2259"/>
      <c r="W17" s="2259"/>
      <c r="X17" s="2259"/>
      <c r="Y17" s="2259"/>
      <c r="Z17" s="2259"/>
      <c r="AA17" s="2259"/>
      <c r="AB17" s="2259"/>
      <c r="AC17" s="2259"/>
      <c r="AD17" s="2259"/>
      <c r="AE17" s="2259"/>
      <c r="AF17" s="2259"/>
      <c r="AG17" s="2259"/>
      <c r="AH17" s="2259"/>
      <c r="AI17" s="2259"/>
      <c r="AJ17" s="2259"/>
      <c r="AK17" s="2259"/>
      <c r="AL17" s="2259"/>
      <c r="AM17" s="2259"/>
      <c r="AN17" s="2259"/>
      <c r="AO17" s="2259"/>
      <c r="AP17" s="2259"/>
      <c r="AQ17" s="2259"/>
      <c r="AR17" s="2259"/>
      <c r="AS17" s="2259"/>
      <c r="AT17" s="2259"/>
      <c r="AU17" s="2259"/>
      <c r="AV17" s="2259"/>
      <c r="AW17" s="2259"/>
      <c r="AX17" s="2259"/>
      <c r="AY17" s="2259"/>
      <c r="AZ17" s="2259"/>
      <c r="BA17" s="2259"/>
      <c r="BB17" s="2259"/>
      <c r="BC17" s="2259"/>
      <c r="BD17" s="2259"/>
      <c r="BE17" s="2259"/>
      <c r="BF17" s="2259"/>
      <c r="BG17" s="2259"/>
      <c r="BH17" s="2261"/>
      <c r="BI17" s="2259"/>
      <c r="BJ17" s="2259"/>
      <c r="BK17" s="2259"/>
      <c r="BL17" s="2259"/>
      <c r="BM17" s="2259"/>
      <c r="BN17" s="2261"/>
      <c r="BO17" s="2261"/>
      <c r="BP17" s="2261"/>
      <c r="BQ17" s="2261"/>
      <c r="BR17" s="2262"/>
    </row>
    <row r="18" spans="1:70" s="2254" customFormat="1" ht="18" x14ac:dyDescent="0.25">
      <c r="A18" s="2255"/>
      <c r="B18" s="2256"/>
      <c r="C18" s="2256"/>
      <c r="D18" s="2256"/>
      <c r="E18" s="2256"/>
      <c r="F18" s="2263"/>
      <c r="G18" s="2264">
        <v>14</v>
      </c>
      <c r="H18" s="2265" t="s">
        <v>1929</v>
      </c>
      <c r="I18" s="2266"/>
      <c r="J18" s="2267"/>
      <c r="K18" s="2267"/>
      <c r="L18" s="2267"/>
      <c r="M18" s="2268"/>
      <c r="N18" s="2268"/>
      <c r="O18" s="2267"/>
      <c r="P18" s="2267"/>
      <c r="Q18" s="2267"/>
      <c r="R18" s="2267"/>
      <c r="S18" s="2267"/>
      <c r="T18" s="2267"/>
      <c r="U18" s="2267"/>
      <c r="V18" s="2267"/>
      <c r="W18" s="2267"/>
      <c r="X18" s="2267"/>
      <c r="Y18" s="2267"/>
      <c r="Z18" s="2267"/>
      <c r="AA18" s="2267"/>
      <c r="AB18" s="2267"/>
      <c r="AC18" s="2267"/>
      <c r="AD18" s="2267"/>
      <c r="AE18" s="2267"/>
      <c r="AF18" s="2267"/>
      <c r="AG18" s="2267"/>
      <c r="AH18" s="2267"/>
      <c r="AI18" s="2267"/>
      <c r="AJ18" s="2267"/>
      <c r="AK18" s="2267"/>
      <c r="AL18" s="2267"/>
      <c r="AM18" s="2267"/>
      <c r="AN18" s="2267"/>
      <c r="AO18" s="2267"/>
      <c r="AP18" s="2267"/>
      <c r="AQ18" s="2267"/>
      <c r="AR18" s="2267"/>
      <c r="AS18" s="2267"/>
      <c r="AT18" s="2267"/>
      <c r="AU18" s="2267"/>
      <c r="AV18" s="2267"/>
      <c r="AW18" s="2267"/>
      <c r="AX18" s="2267"/>
      <c r="AY18" s="2267"/>
      <c r="AZ18" s="2267"/>
      <c r="BA18" s="2267"/>
      <c r="BB18" s="2267"/>
      <c r="BC18" s="2267"/>
      <c r="BD18" s="2267"/>
      <c r="BE18" s="2267"/>
      <c r="BF18" s="2267"/>
      <c r="BG18" s="2267"/>
      <c r="BH18" s="2268"/>
      <c r="BI18" s="2267"/>
      <c r="BJ18" s="2267"/>
      <c r="BK18" s="2267"/>
      <c r="BL18" s="2267"/>
      <c r="BM18" s="2267"/>
      <c r="BN18" s="2268"/>
      <c r="BO18" s="2268"/>
      <c r="BP18" s="2268"/>
      <c r="BQ18" s="2268"/>
      <c r="BR18" s="2269"/>
    </row>
    <row r="19" spans="1:70" s="2254" customFormat="1" ht="270" x14ac:dyDescent="0.25">
      <c r="A19" s="2255"/>
      <c r="B19" s="2256"/>
      <c r="C19" s="2256"/>
      <c r="D19" s="2256"/>
      <c r="E19" s="2256"/>
      <c r="F19" s="2263"/>
      <c r="G19" s="2270"/>
      <c r="H19" s="2271"/>
      <c r="I19" s="2272"/>
      <c r="J19" s="2273">
        <v>54</v>
      </c>
      <c r="K19" s="2274" t="s">
        <v>1261</v>
      </c>
      <c r="L19" s="2274" t="s">
        <v>1262</v>
      </c>
      <c r="M19" s="2273">
        <v>3</v>
      </c>
      <c r="N19" s="2273">
        <v>1</v>
      </c>
      <c r="O19" s="2273" t="s">
        <v>1930</v>
      </c>
      <c r="P19" s="2275" t="s">
        <v>1931</v>
      </c>
      <c r="Q19" s="2274" t="s">
        <v>1932</v>
      </c>
      <c r="R19" s="2276">
        <f>+S19/$S$26</f>
        <v>0.11900775829275259</v>
      </c>
      <c r="S19" s="2277">
        <f>+W19</f>
        <v>313916293</v>
      </c>
      <c r="T19" s="2274" t="s">
        <v>1933</v>
      </c>
      <c r="U19" s="2275" t="s">
        <v>1934</v>
      </c>
      <c r="V19" s="2278" t="s">
        <v>1935</v>
      </c>
      <c r="W19" s="2279">
        <v>313916293</v>
      </c>
      <c r="X19" s="2279">
        <v>129424200.02</v>
      </c>
      <c r="Y19" s="2279">
        <v>14499000</v>
      </c>
      <c r="Z19" s="2280">
        <v>4</v>
      </c>
      <c r="AA19" s="2273" t="s">
        <v>1936</v>
      </c>
      <c r="AB19" s="2273">
        <v>1382.4</v>
      </c>
      <c r="AC19" s="2273"/>
      <c r="AD19" s="2273">
        <v>1317.6</v>
      </c>
      <c r="AE19" s="2273"/>
      <c r="AF19" s="2273">
        <v>459</v>
      </c>
      <c r="AG19" s="2273"/>
      <c r="AH19" s="2273">
        <v>248</v>
      </c>
      <c r="AI19" s="2273"/>
      <c r="AJ19" s="2273">
        <v>1615</v>
      </c>
      <c r="AK19" s="2273"/>
      <c r="AL19" s="2273">
        <v>378</v>
      </c>
      <c r="AM19" s="2273"/>
      <c r="AN19" s="2273"/>
      <c r="AO19" s="2273"/>
      <c r="AP19" s="2273"/>
      <c r="AQ19" s="2273"/>
      <c r="AR19" s="2273"/>
      <c r="AS19" s="2273"/>
      <c r="AT19" s="2273"/>
      <c r="AU19" s="2273"/>
      <c r="AV19" s="2273"/>
      <c r="AW19" s="2273"/>
      <c r="AX19" s="2273"/>
      <c r="AY19" s="2273"/>
      <c r="AZ19" s="2273"/>
      <c r="BA19" s="2273"/>
      <c r="BB19" s="2273"/>
      <c r="BC19" s="2273"/>
      <c r="BD19" s="2273"/>
      <c r="BE19" s="2273"/>
      <c r="BF19" s="2273">
        <v>2700</v>
      </c>
      <c r="BG19" s="2273"/>
      <c r="BH19" s="2281">
        <v>3</v>
      </c>
      <c r="BI19" s="2282">
        <v>129424200.02</v>
      </c>
      <c r="BJ19" s="2282">
        <v>14499000</v>
      </c>
      <c r="BK19" s="2283">
        <f>+BJ19/BI19</f>
        <v>0.11202696248274636</v>
      </c>
      <c r="BL19" s="2281" t="s">
        <v>1937</v>
      </c>
      <c r="BM19" s="2281" t="s">
        <v>1938</v>
      </c>
      <c r="BN19" s="2284">
        <v>43466</v>
      </c>
      <c r="BO19" s="2284">
        <v>43466</v>
      </c>
      <c r="BP19" s="2284">
        <v>43555</v>
      </c>
      <c r="BQ19" s="2284">
        <v>43555</v>
      </c>
      <c r="BR19" s="2285" t="s">
        <v>1939</v>
      </c>
    </row>
    <row r="20" spans="1:70" s="2254" customFormat="1" ht="18" x14ac:dyDescent="0.25">
      <c r="A20" s="2255"/>
      <c r="B20" s="2256"/>
      <c r="C20" s="2256"/>
      <c r="D20" s="2256"/>
      <c r="E20" s="2256"/>
      <c r="F20" s="2272"/>
      <c r="G20" s="2286">
        <v>15</v>
      </c>
      <c r="H20" s="2287" t="s">
        <v>1940</v>
      </c>
      <c r="I20" s="2288"/>
      <c r="J20" s="2289"/>
      <c r="K20" s="2289"/>
      <c r="L20" s="2289"/>
      <c r="M20" s="2290"/>
      <c r="N20" s="2290"/>
      <c r="O20" s="2290"/>
      <c r="P20" s="2289"/>
      <c r="Q20" s="2289"/>
      <c r="R20" s="2289"/>
      <c r="S20" s="2291"/>
      <c r="T20" s="2289"/>
      <c r="U20" s="2289"/>
      <c r="V20" s="2289"/>
      <c r="W20" s="2292"/>
      <c r="X20" s="2292"/>
      <c r="Y20" s="2292"/>
      <c r="Z20" s="2289"/>
      <c r="AA20" s="2290"/>
      <c r="AB20" s="2289"/>
      <c r="AC20" s="2289"/>
      <c r="AD20" s="2289"/>
      <c r="AE20" s="2289"/>
      <c r="AF20" s="2289"/>
      <c r="AG20" s="2289"/>
      <c r="AH20" s="2289"/>
      <c r="AI20" s="2289"/>
      <c r="AJ20" s="2289"/>
      <c r="AK20" s="2289"/>
      <c r="AL20" s="2289"/>
      <c r="AM20" s="2289"/>
      <c r="AN20" s="2289"/>
      <c r="AO20" s="2289"/>
      <c r="AP20" s="2289"/>
      <c r="AQ20" s="2289"/>
      <c r="AR20" s="2289"/>
      <c r="AS20" s="2289"/>
      <c r="AT20" s="2289"/>
      <c r="AU20" s="2289"/>
      <c r="AV20" s="2289"/>
      <c r="AW20" s="2289"/>
      <c r="AX20" s="2289"/>
      <c r="AY20" s="2289"/>
      <c r="AZ20" s="2289"/>
      <c r="BA20" s="2289"/>
      <c r="BB20" s="2289"/>
      <c r="BC20" s="2289"/>
      <c r="BD20" s="2289"/>
      <c r="BE20" s="2289"/>
      <c r="BF20" s="2289"/>
      <c r="BG20" s="2289"/>
      <c r="BH20" s="2293"/>
      <c r="BI20" s="2294"/>
      <c r="BJ20" s="2294"/>
      <c r="BK20" s="2293"/>
      <c r="BL20" s="2293"/>
      <c r="BM20" s="2295"/>
      <c r="BN20" s="2293"/>
      <c r="BO20" s="2293"/>
      <c r="BP20" s="2293"/>
      <c r="BQ20" s="2293"/>
      <c r="BR20" s="2296"/>
    </row>
    <row r="21" spans="1:70" s="2254" customFormat="1" ht="126" x14ac:dyDescent="0.25">
      <c r="A21" s="2255"/>
      <c r="B21" s="2256"/>
      <c r="C21" s="2256"/>
      <c r="D21" s="2256"/>
      <c r="E21" s="2256"/>
      <c r="F21" s="2263"/>
      <c r="G21" s="2297"/>
      <c r="H21" s="2298"/>
      <c r="I21" s="2263"/>
      <c r="J21" s="2299">
        <v>59</v>
      </c>
      <c r="K21" s="2278" t="s">
        <v>1313</v>
      </c>
      <c r="L21" s="2278" t="s">
        <v>1314</v>
      </c>
      <c r="M21" s="2300">
        <v>10</v>
      </c>
      <c r="N21" s="2300">
        <v>1</v>
      </c>
      <c r="O21" s="2299" t="s">
        <v>1941</v>
      </c>
      <c r="P21" s="4885" t="s">
        <v>1931</v>
      </c>
      <c r="Q21" s="4886" t="s">
        <v>1932</v>
      </c>
      <c r="R21" s="2301">
        <f>+S21/$S$26</f>
        <v>0.21729676462374667</v>
      </c>
      <c r="S21" s="2302">
        <f>+W21</f>
        <v>573181075</v>
      </c>
      <c r="T21" s="4887" t="s">
        <v>1933</v>
      </c>
      <c r="U21" s="4886" t="s">
        <v>1942</v>
      </c>
      <c r="V21" s="2278" t="s">
        <v>1943</v>
      </c>
      <c r="W21" s="2303">
        <v>573181075</v>
      </c>
      <c r="X21" s="2303">
        <v>93412000</v>
      </c>
      <c r="Y21" s="2303">
        <v>35009333.333333336</v>
      </c>
      <c r="Z21" s="2304">
        <v>3</v>
      </c>
      <c r="AA21" s="2299" t="s">
        <v>1212</v>
      </c>
      <c r="AB21" s="2273">
        <v>1382.4</v>
      </c>
      <c r="AC21" s="2273"/>
      <c r="AD21" s="2273">
        <v>1317.6</v>
      </c>
      <c r="AE21" s="2273"/>
      <c r="AF21" s="2273">
        <v>459</v>
      </c>
      <c r="AG21" s="2273"/>
      <c r="AH21" s="2273">
        <v>248</v>
      </c>
      <c r="AI21" s="2273"/>
      <c r="AJ21" s="2273">
        <v>1615</v>
      </c>
      <c r="AK21" s="2273"/>
      <c r="AL21" s="2273">
        <v>378</v>
      </c>
      <c r="AM21" s="2299"/>
      <c r="AN21" s="2299"/>
      <c r="AO21" s="2299"/>
      <c r="AP21" s="2299"/>
      <c r="AQ21" s="2299"/>
      <c r="AR21" s="2299"/>
      <c r="AS21" s="2299"/>
      <c r="AT21" s="2299"/>
      <c r="AU21" s="2299"/>
      <c r="AV21" s="2299"/>
      <c r="AW21" s="2299"/>
      <c r="AX21" s="2299"/>
      <c r="AY21" s="2299"/>
      <c r="AZ21" s="2299"/>
      <c r="BA21" s="2299"/>
      <c r="BB21" s="2299"/>
      <c r="BC21" s="2299"/>
      <c r="BD21" s="2299"/>
      <c r="BE21" s="2299"/>
      <c r="BF21" s="2299">
        <f>+AL21+AJ21+AH21+AF21</f>
        <v>2700</v>
      </c>
      <c r="BG21" s="2299"/>
      <c r="BH21" s="4889">
        <v>38</v>
      </c>
      <c r="BI21" s="4892">
        <f>+X26-BI19</f>
        <v>577101841.38</v>
      </c>
      <c r="BJ21" s="4892">
        <f>+Y26-BJ19</f>
        <v>161280033.16</v>
      </c>
      <c r="BK21" s="4895">
        <f>+BJ21/BI21</f>
        <v>0.27946546275842349</v>
      </c>
      <c r="BL21" s="4889" t="s">
        <v>1937</v>
      </c>
      <c r="BM21" s="4889" t="s">
        <v>1938</v>
      </c>
      <c r="BN21" s="2284">
        <v>43466</v>
      </c>
      <c r="BO21" s="2284">
        <v>43466</v>
      </c>
      <c r="BP21" s="2284">
        <v>43555</v>
      </c>
      <c r="BQ21" s="2284">
        <v>43555</v>
      </c>
      <c r="BR21" s="2285" t="s">
        <v>1939</v>
      </c>
    </row>
    <row r="22" spans="1:70" s="2254" customFormat="1" ht="126" x14ac:dyDescent="0.25">
      <c r="A22" s="2255"/>
      <c r="B22" s="2256"/>
      <c r="C22" s="2256"/>
      <c r="D22" s="2256"/>
      <c r="E22" s="2256"/>
      <c r="F22" s="2263"/>
      <c r="G22" s="2297"/>
      <c r="H22" s="2298"/>
      <c r="I22" s="2263"/>
      <c r="J22" s="2299">
        <v>57</v>
      </c>
      <c r="K22" s="2278" t="s">
        <v>1293</v>
      </c>
      <c r="L22" s="2278" t="s">
        <v>1294</v>
      </c>
      <c r="M22" s="2300">
        <v>10</v>
      </c>
      <c r="N22" s="2300">
        <v>3</v>
      </c>
      <c r="O22" s="2299" t="s">
        <v>1941</v>
      </c>
      <c r="P22" s="4885"/>
      <c r="Q22" s="4886"/>
      <c r="R22" s="2301">
        <f>+S22/$S$26</f>
        <v>0.21729676462374667</v>
      </c>
      <c r="S22" s="2302">
        <f>+W22</f>
        <v>573181075</v>
      </c>
      <c r="T22" s="4888"/>
      <c r="U22" s="4886"/>
      <c r="V22" s="2278" t="s">
        <v>1944</v>
      </c>
      <c r="W22" s="2303">
        <v>573181075</v>
      </c>
      <c r="X22" s="2303">
        <v>93412000</v>
      </c>
      <c r="Y22" s="2303">
        <v>35009333.333333336</v>
      </c>
      <c r="Z22" s="2304">
        <v>3</v>
      </c>
      <c r="AA22" s="2299" t="s">
        <v>1212</v>
      </c>
      <c r="AB22" s="2273">
        <v>1382.4</v>
      </c>
      <c r="AC22" s="2273"/>
      <c r="AD22" s="2273">
        <v>1317.6</v>
      </c>
      <c r="AE22" s="2273"/>
      <c r="AF22" s="2273">
        <v>459</v>
      </c>
      <c r="AG22" s="2273"/>
      <c r="AH22" s="2273">
        <v>248</v>
      </c>
      <c r="AI22" s="2273"/>
      <c r="AJ22" s="2273">
        <v>1615</v>
      </c>
      <c r="AK22" s="2273"/>
      <c r="AL22" s="2273">
        <v>378</v>
      </c>
      <c r="AM22" s="2299"/>
      <c r="AN22" s="2299"/>
      <c r="AO22" s="2299"/>
      <c r="AP22" s="2299"/>
      <c r="AQ22" s="2299"/>
      <c r="AR22" s="2299"/>
      <c r="AS22" s="2299"/>
      <c r="AT22" s="2299"/>
      <c r="AU22" s="2299"/>
      <c r="AV22" s="2299"/>
      <c r="AW22" s="2299"/>
      <c r="AX22" s="2299"/>
      <c r="AY22" s="2299"/>
      <c r="AZ22" s="2299"/>
      <c r="BA22" s="2299"/>
      <c r="BB22" s="2299"/>
      <c r="BC22" s="2299"/>
      <c r="BD22" s="2299"/>
      <c r="BE22" s="2299"/>
      <c r="BF22" s="2299">
        <f t="shared" ref="BF22:BF25" si="0">+AL22+AJ22+AH22+AF22</f>
        <v>2700</v>
      </c>
      <c r="BG22" s="2299"/>
      <c r="BH22" s="4890"/>
      <c r="BI22" s="4893"/>
      <c r="BJ22" s="4893"/>
      <c r="BK22" s="4896"/>
      <c r="BL22" s="4890"/>
      <c r="BM22" s="4890"/>
      <c r="BN22" s="2284">
        <v>43466</v>
      </c>
      <c r="BO22" s="2284">
        <v>43466</v>
      </c>
      <c r="BP22" s="2284">
        <v>43555</v>
      </c>
      <c r="BQ22" s="2284">
        <v>43555</v>
      </c>
      <c r="BR22" s="2285" t="s">
        <v>1939</v>
      </c>
    </row>
    <row r="23" spans="1:70" s="2254" customFormat="1" ht="144" x14ac:dyDescent="0.25">
      <c r="A23" s="2255"/>
      <c r="B23" s="2256"/>
      <c r="C23" s="2256"/>
      <c r="D23" s="2256"/>
      <c r="E23" s="2256"/>
      <c r="F23" s="2263"/>
      <c r="G23" s="2297"/>
      <c r="H23" s="2298"/>
      <c r="I23" s="2263"/>
      <c r="J23" s="2299">
        <v>60</v>
      </c>
      <c r="K23" s="2278" t="s">
        <v>1945</v>
      </c>
      <c r="L23" s="2278" t="s">
        <v>1946</v>
      </c>
      <c r="M23" s="2300">
        <v>10</v>
      </c>
      <c r="N23" s="2300">
        <v>2</v>
      </c>
      <c r="O23" s="2299" t="s">
        <v>1930</v>
      </c>
      <c r="P23" s="4885"/>
      <c r="Q23" s="4886"/>
      <c r="R23" s="2301">
        <f>+S23/$S$26</f>
        <v>0.11891070054221768</v>
      </c>
      <c r="S23" s="2302">
        <f>+W23</f>
        <v>313660276</v>
      </c>
      <c r="T23" s="4888"/>
      <c r="U23" s="4886"/>
      <c r="V23" s="2274" t="s">
        <v>1947</v>
      </c>
      <c r="W23" s="2303">
        <v>313660276</v>
      </c>
      <c r="X23" s="2303">
        <v>240777841.38</v>
      </c>
      <c r="Y23" s="2303">
        <v>42383033.159999996</v>
      </c>
      <c r="Z23" s="2304">
        <v>4</v>
      </c>
      <c r="AA23" s="2273" t="s">
        <v>1936</v>
      </c>
      <c r="AB23" s="2273">
        <v>1382.4</v>
      </c>
      <c r="AC23" s="2273"/>
      <c r="AD23" s="2273">
        <v>1317.6</v>
      </c>
      <c r="AE23" s="2273"/>
      <c r="AF23" s="2273">
        <v>459</v>
      </c>
      <c r="AG23" s="2273"/>
      <c r="AH23" s="2273">
        <v>248</v>
      </c>
      <c r="AI23" s="2273"/>
      <c r="AJ23" s="2273">
        <v>1615</v>
      </c>
      <c r="AK23" s="2273"/>
      <c r="AL23" s="2273">
        <v>378</v>
      </c>
      <c r="AM23" s="2299"/>
      <c r="AN23" s="2299"/>
      <c r="AO23" s="2299"/>
      <c r="AP23" s="2299"/>
      <c r="AQ23" s="2299"/>
      <c r="AR23" s="2299"/>
      <c r="AS23" s="2299"/>
      <c r="AT23" s="2299"/>
      <c r="AU23" s="2299"/>
      <c r="AV23" s="2299"/>
      <c r="AW23" s="2299"/>
      <c r="AX23" s="2299"/>
      <c r="AY23" s="2299"/>
      <c r="AZ23" s="2299"/>
      <c r="BA23" s="2299"/>
      <c r="BB23" s="2299"/>
      <c r="BC23" s="2299"/>
      <c r="BD23" s="2299"/>
      <c r="BE23" s="2299"/>
      <c r="BF23" s="2299">
        <f t="shared" si="0"/>
        <v>2700</v>
      </c>
      <c r="BG23" s="2299"/>
      <c r="BH23" s="4890"/>
      <c r="BI23" s="4893"/>
      <c r="BJ23" s="4893"/>
      <c r="BK23" s="4896"/>
      <c r="BL23" s="4890"/>
      <c r="BM23" s="4890"/>
      <c r="BN23" s="2284">
        <v>43466</v>
      </c>
      <c r="BO23" s="2284">
        <v>43466</v>
      </c>
      <c r="BP23" s="2284">
        <v>43555</v>
      </c>
      <c r="BQ23" s="2284">
        <v>43555</v>
      </c>
      <c r="BR23" s="2285" t="s">
        <v>1939</v>
      </c>
    </row>
    <row r="24" spans="1:70" s="2254" customFormat="1" ht="48.75" customHeight="1" x14ac:dyDescent="0.25">
      <c r="A24" s="2255"/>
      <c r="B24" s="2256"/>
      <c r="C24" s="2256"/>
      <c r="D24" s="2256"/>
      <c r="E24" s="2256"/>
      <c r="F24" s="2263"/>
      <c r="G24" s="2297"/>
      <c r="H24" s="2298"/>
      <c r="I24" s="2263"/>
      <c r="J24" s="4901">
        <v>63</v>
      </c>
      <c r="K24" s="4887" t="s">
        <v>1329</v>
      </c>
      <c r="L24" s="4887" t="s">
        <v>1330</v>
      </c>
      <c r="M24" s="4902">
        <v>250</v>
      </c>
      <c r="N24" s="4902">
        <v>20</v>
      </c>
      <c r="O24" s="2299" t="s">
        <v>1930</v>
      </c>
      <c r="P24" s="4885"/>
      <c r="Q24" s="4886"/>
      <c r="R24" s="4903">
        <f>+S24/$S$26</f>
        <v>0.3274880119175364</v>
      </c>
      <c r="S24" s="4905">
        <f>+W24+W25</f>
        <v>863841351</v>
      </c>
      <c r="T24" s="4888"/>
      <c r="U24" s="4886"/>
      <c r="V24" s="4886" t="s">
        <v>1948</v>
      </c>
      <c r="W24" s="2279">
        <v>290660276</v>
      </c>
      <c r="X24" s="2303">
        <v>47088000</v>
      </c>
      <c r="Y24" s="2303">
        <v>13869000</v>
      </c>
      <c r="Z24" s="2304">
        <v>4</v>
      </c>
      <c r="AA24" s="2273" t="s">
        <v>1936</v>
      </c>
      <c r="AB24" s="2273">
        <v>1382.4</v>
      </c>
      <c r="AC24" s="2273"/>
      <c r="AD24" s="2273">
        <v>1317.6</v>
      </c>
      <c r="AE24" s="2273"/>
      <c r="AF24" s="2273">
        <v>459</v>
      </c>
      <c r="AG24" s="2273"/>
      <c r="AH24" s="2273">
        <v>248</v>
      </c>
      <c r="AI24" s="2273"/>
      <c r="AJ24" s="2273">
        <v>1615</v>
      </c>
      <c r="AK24" s="2273"/>
      <c r="AL24" s="2273">
        <v>378</v>
      </c>
      <c r="AM24" s="2299"/>
      <c r="AN24" s="2299"/>
      <c r="AO24" s="2299"/>
      <c r="AP24" s="2299"/>
      <c r="AQ24" s="2299"/>
      <c r="AR24" s="2299"/>
      <c r="AS24" s="2299"/>
      <c r="AT24" s="2299"/>
      <c r="AU24" s="2299"/>
      <c r="AV24" s="2299"/>
      <c r="AW24" s="2299"/>
      <c r="AX24" s="2299"/>
      <c r="AY24" s="2299"/>
      <c r="AZ24" s="2299"/>
      <c r="BA24" s="2299"/>
      <c r="BB24" s="2299"/>
      <c r="BC24" s="2299"/>
      <c r="BD24" s="2299"/>
      <c r="BE24" s="2299"/>
      <c r="BF24" s="2299">
        <f t="shared" si="0"/>
        <v>2700</v>
      </c>
      <c r="BG24" s="2299"/>
      <c r="BH24" s="4890"/>
      <c r="BI24" s="4893"/>
      <c r="BJ24" s="4893"/>
      <c r="BK24" s="4896"/>
      <c r="BL24" s="4890"/>
      <c r="BM24" s="4890"/>
      <c r="BN24" s="4907">
        <v>43466</v>
      </c>
      <c r="BO24" s="4907">
        <v>43466</v>
      </c>
      <c r="BP24" s="4907">
        <v>43555</v>
      </c>
      <c r="BQ24" s="4907">
        <v>43555</v>
      </c>
      <c r="BR24" s="4908" t="s">
        <v>1939</v>
      </c>
    </row>
    <row r="25" spans="1:70" s="2254" customFormat="1" ht="45" customHeight="1" thickBot="1" x14ac:dyDescent="0.3">
      <c r="A25" s="2255"/>
      <c r="B25" s="2256"/>
      <c r="C25" s="2256"/>
      <c r="D25" s="2256"/>
      <c r="E25" s="2256"/>
      <c r="F25" s="2263"/>
      <c r="G25" s="2297"/>
      <c r="H25" s="2298"/>
      <c r="I25" s="2263"/>
      <c r="J25" s="4901"/>
      <c r="K25" s="4888"/>
      <c r="L25" s="4888"/>
      <c r="M25" s="4902"/>
      <c r="N25" s="4902"/>
      <c r="O25" s="2299" t="s">
        <v>1941</v>
      </c>
      <c r="P25" s="4885"/>
      <c r="Q25" s="4886"/>
      <c r="R25" s="4904"/>
      <c r="S25" s="4906"/>
      <c r="T25" s="4888"/>
      <c r="U25" s="4886"/>
      <c r="V25" s="4886"/>
      <c r="W25" s="2279">
        <v>573181075</v>
      </c>
      <c r="X25" s="2303">
        <v>102412000</v>
      </c>
      <c r="Y25" s="2303">
        <v>35009333.333333336</v>
      </c>
      <c r="Z25" s="2304">
        <v>3</v>
      </c>
      <c r="AA25" s="2299" t="s">
        <v>1212</v>
      </c>
      <c r="AB25" s="2273">
        <v>1382.4</v>
      </c>
      <c r="AC25" s="2273"/>
      <c r="AD25" s="2273">
        <v>1317.6</v>
      </c>
      <c r="AE25" s="2273"/>
      <c r="AF25" s="2273">
        <v>459</v>
      </c>
      <c r="AG25" s="2273"/>
      <c r="AH25" s="2273">
        <v>248</v>
      </c>
      <c r="AI25" s="2273"/>
      <c r="AJ25" s="2273">
        <v>1615</v>
      </c>
      <c r="AK25" s="2273"/>
      <c r="AL25" s="2273">
        <v>378</v>
      </c>
      <c r="AM25" s="2299"/>
      <c r="AN25" s="2299"/>
      <c r="AO25" s="2299"/>
      <c r="AP25" s="2299"/>
      <c r="AQ25" s="2299"/>
      <c r="AR25" s="2299"/>
      <c r="AS25" s="2299"/>
      <c r="AT25" s="2299"/>
      <c r="AU25" s="2299"/>
      <c r="AV25" s="2299"/>
      <c r="AW25" s="2299"/>
      <c r="AX25" s="2299"/>
      <c r="AY25" s="2299"/>
      <c r="AZ25" s="2299"/>
      <c r="BA25" s="2299"/>
      <c r="BB25" s="2299"/>
      <c r="BC25" s="2299"/>
      <c r="BD25" s="2299"/>
      <c r="BE25" s="2299"/>
      <c r="BF25" s="2299">
        <f t="shared" si="0"/>
        <v>2700</v>
      </c>
      <c r="BG25" s="2299"/>
      <c r="BH25" s="4891"/>
      <c r="BI25" s="4894"/>
      <c r="BJ25" s="4894"/>
      <c r="BK25" s="4897"/>
      <c r="BL25" s="4891"/>
      <c r="BM25" s="4891"/>
      <c r="BN25" s="4907"/>
      <c r="BO25" s="4907"/>
      <c r="BP25" s="4907"/>
      <c r="BQ25" s="4907"/>
      <c r="BR25" s="4908"/>
    </row>
    <row r="26" spans="1:70" s="2319" customFormat="1" ht="24" customHeight="1" thickBot="1" x14ac:dyDescent="0.3">
      <c r="A26" s="2305"/>
      <c r="B26" s="2306"/>
      <c r="C26" s="2306"/>
      <c r="D26" s="2306"/>
      <c r="E26" s="2307"/>
      <c r="F26" s="2308"/>
      <c r="G26" s="4898" t="s">
        <v>334</v>
      </c>
      <c r="H26" s="4899"/>
      <c r="I26" s="4899"/>
      <c r="J26" s="4899"/>
      <c r="K26" s="4899"/>
      <c r="L26" s="4899"/>
      <c r="M26" s="4899"/>
      <c r="N26" s="4899"/>
      <c r="O26" s="4899"/>
      <c r="P26" s="4899"/>
      <c r="Q26" s="4900"/>
      <c r="R26" s="2309">
        <f>SUM(R19:R25)</f>
        <v>1</v>
      </c>
      <c r="S26" s="2310">
        <f>SUM(S19:S25)</f>
        <v>2637780070</v>
      </c>
      <c r="T26" s="2308"/>
      <c r="U26" s="2308"/>
      <c r="V26" s="2311"/>
      <c r="W26" s="2312">
        <f>SUM(W19:W25)</f>
        <v>2637780070</v>
      </c>
      <c r="X26" s="2312">
        <f>SUM(X19:X25)</f>
        <v>706526041.39999998</v>
      </c>
      <c r="Y26" s="2312">
        <f>SUM(Y19:Y25)</f>
        <v>175779033.16</v>
      </c>
      <c r="Z26" s="2313"/>
      <c r="AA26" s="2314"/>
      <c r="AB26" s="2314"/>
      <c r="AC26" s="2314"/>
      <c r="AD26" s="2314"/>
      <c r="AE26" s="2314"/>
      <c r="AF26" s="2314"/>
      <c r="AG26" s="2314"/>
      <c r="AH26" s="2314"/>
      <c r="AI26" s="2314"/>
      <c r="AJ26" s="2314"/>
      <c r="AK26" s="2314"/>
      <c r="AL26" s="2314"/>
      <c r="AM26" s="2314"/>
      <c r="AN26" s="2314"/>
      <c r="AO26" s="2314"/>
      <c r="AP26" s="2314"/>
      <c r="AQ26" s="2314"/>
      <c r="AR26" s="2314"/>
      <c r="AS26" s="2314"/>
      <c r="AT26" s="2314"/>
      <c r="AU26" s="2314"/>
      <c r="AV26" s="2314"/>
      <c r="AW26" s="2314"/>
      <c r="AX26" s="2314"/>
      <c r="AY26" s="2314"/>
      <c r="AZ26" s="2314"/>
      <c r="BA26" s="2314"/>
      <c r="BB26" s="2314"/>
      <c r="BC26" s="2314"/>
      <c r="BD26" s="2314"/>
      <c r="BE26" s="2314"/>
      <c r="BF26" s="2314"/>
      <c r="BG26" s="2314"/>
      <c r="BH26" s="2315"/>
      <c r="BI26" s="2316">
        <f>SUM(BI19:BI25)</f>
        <v>706526041.39999998</v>
      </c>
      <c r="BJ26" s="2316">
        <f>SUM(BJ19:BJ25)</f>
        <v>175779033.16</v>
      </c>
      <c r="BK26" s="2308"/>
      <c r="BL26" s="2308"/>
      <c r="BM26" s="2308"/>
      <c r="BN26" s="2315"/>
      <c r="BO26" s="2315"/>
      <c r="BP26" s="2317"/>
      <c r="BQ26" s="2317"/>
      <c r="BR26" s="2318"/>
    </row>
    <row r="27" spans="1:70" ht="14.25" customHeight="1" x14ac:dyDescent="0.2">
      <c r="S27" s="2321"/>
    </row>
    <row r="28" spans="1:70" ht="15" x14ac:dyDescent="0.25">
      <c r="S28" s="2322"/>
      <c r="W28" s="1103"/>
      <c r="X28" s="2323"/>
    </row>
    <row r="29" spans="1:70" x14ac:dyDescent="0.2">
      <c r="N29" s="2324"/>
      <c r="O29" s="2325"/>
      <c r="P29" s="2325"/>
      <c r="Q29" s="2325"/>
      <c r="W29" s="2322"/>
    </row>
    <row r="30" spans="1:70" x14ac:dyDescent="0.2">
      <c r="N30" s="2324"/>
      <c r="O30" s="2325"/>
      <c r="P30" s="2325"/>
      <c r="Q30" s="2325"/>
    </row>
    <row r="31" spans="1:70" x14ac:dyDescent="0.2">
      <c r="N31" s="2326"/>
      <c r="O31" s="2327"/>
      <c r="P31" s="2327"/>
      <c r="Q31" s="2325"/>
    </row>
    <row r="32" spans="1:70" x14ac:dyDescent="0.2">
      <c r="N32" s="2326"/>
      <c r="O32" s="2327"/>
      <c r="P32" s="2327"/>
      <c r="Q32" s="2325"/>
    </row>
    <row r="33" spans="13:17" x14ac:dyDescent="0.2">
      <c r="N33" s="2326"/>
      <c r="O33" s="2327"/>
      <c r="P33" s="2327"/>
      <c r="Q33" s="2325"/>
    </row>
    <row r="34" spans="13:17" x14ac:dyDescent="0.2">
      <c r="N34" s="2326"/>
      <c r="O34" s="2327"/>
      <c r="P34" s="2327"/>
      <c r="Q34" s="2325"/>
    </row>
    <row r="35" spans="13:17" x14ac:dyDescent="0.2">
      <c r="N35" s="2326"/>
      <c r="O35" s="2327"/>
      <c r="P35" s="2327"/>
      <c r="Q35" s="2325"/>
    </row>
    <row r="36" spans="13:17" x14ac:dyDescent="0.2">
      <c r="N36" s="2326"/>
      <c r="O36" s="2327"/>
      <c r="P36" s="2327"/>
      <c r="Q36" s="2325"/>
    </row>
    <row r="37" spans="13:17" x14ac:dyDescent="0.2">
      <c r="N37" s="2326"/>
      <c r="O37" s="2327"/>
      <c r="P37" s="2327"/>
      <c r="Q37" s="2325"/>
    </row>
    <row r="38" spans="13:17" x14ac:dyDescent="0.2">
      <c r="N38" s="2326"/>
      <c r="O38" s="2327"/>
      <c r="P38" s="2327"/>
      <c r="Q38" s="2325"/>
    </row>
    <row r="39" spans="13:17" x14ac:dyDescent="0.2">
      <c r="N39" s="2326"/>
      <c r="O39" s="2327"/>
      <c r="P39" s="2327"/>
      <c r="Q39" s="2325"/>
    </row>
    <row r="40" spans="13:17" x14ac:dyDescent="0.2">
      <c r="N40" s="2326"/>
      <c r="O40" s="2327"/>
      <c r="P40" s="2327"/>
      <c r="Q40" s="2325"/>
    </row>
    <row r="41" spans="13:17" x14ac:dyDescent="0.2">
      <c r="N41" s="2326"/>
      <c r="O41" s="2327"/>
      <c r="P41" s="2327"/>
      <c r="Q41" s="2325"/>
    </row>
    <row r="42" spans="13:17" ht="15" x14ac:dyDescent="0.25">
      <c r="M42" s="2"/>
      <c r="N42" s="2328"/>
      <c r="O42" s="2329"/>
      <c r="P42" s="2329"/>
      <c r="Q42" s="2325"/>
    </row>
    <row r="43" spans="13:17" ht="15" x14ac:dyDescent="0.25">
      <c r="M43" s="2"/>
      <c r="N43" s="2330"/>
      <c r="O43" s="2329"/>
      <c r="P43" s="2325"/>
      <c r="Q43" s="2325"/>
    </row>
    <row r="44" spans="13:17" x14ac:dyDescent="0.2">
      <c r="N44" s="2324"/>
      <c r="O44" s="2325"/>
      <c r="P44" s="2325"/>
      <c r="Q44" s="2325"/>
    </row>
    <row r="45" spans="13:17" x14ac:dyDescent="0.2">
      <c r="N45" s="2324"/>
      <c r="O45" s="2325"/>
      <c r="P45" s="2325"/>
      <c r="Q45" s="2325"/>
    </row>
    <row r="46" spans="13:17" x14ac:dyDescent="0.2">
      <c r="N46" s="2324"/>
      <c r="O46" s="2325"/>
      <c r="P46" s="2325"/>
      <c r="Q46" s="2325"/>
    </row>
    <row r="47" spans="13:17" x14ac:dyDescent="0.2">
      <c r="N47" s="2324"/>
      <c r="O47" s="2325"/>
      <c r="P47" s="2325"/>
      <c r="Q47" s="2325"/>
    </row>
    <row r="51" spans="1:1" ht="60" x14ac:dyDescent="0.8">
      <c r="A51" s="2331" t="s">
        <v>1938</v>
      </c>
    </row>
    <row r="52" spans="1:1" ht="60" x14ac:dyDescent="0.8">
      <c r="A52" s="2332" t="s">
        <v>1949</v>
      </c>
    </row>
    <row r="53" spans="1:1" ht="60" x14ac:dyDescent="0.8">
      <c r="A53" s="2332"/>
    </row>
    <row r="54" spans="1:1" ht="45.75" x14ac:dyDescent="0.65">
      <c r="A54" s="2333"/>
    </row>
    <row r="55" spans="1:1" ht="45.75" x14ac:dyDescent="0.65">
      <c r="A55" s="2334" t="s">
        <v>1950</v>
      </c>
    </row>
    <row r="56" spans="1:1" ht="45.75" x14ac:dyDescent="0.65">
      <c r="A56" s="2334" t="s">
        <v>1951</v>
      </c>
    </row>
  </sheetData>
  <sheetProtection password="F3F4" sheet="1" objects="1" scenarios="1"/>
  <mergeCells count="80">
    <mergeCell ref="BN24:BN25"/>
    <mergeCell ref="BO24:BO25"/>
    <mergeCell ref="BP24:BP25"/>
    <mergeCell ref="BQ24:BQ25"/>
    <mergeCell ref="BR24:BR25"/>
    <mergeCell ref="G26:Q26"/>
    <mergeCell ref="BL21:BL25"/>
    <mergeCell ref="BM21:BM25"/>
    <mergeCell ref="J24:J25"/>
    <mergeCell ref="K24:K25"/>
    <mergeCell ref="L24:L25"/>
    <mergeCell ref="M24:M25"/>
    <mergeCell ref="N24:N25"/>
    <mergeCell ref="R24:R25"/>
    <mergeCell ref="S24:S25"/>
    <mergeCell ref="V24:V25"/>
    <mergeCell ref="BL8:BL9"/>
    <mergeCell ref="BM8:BM9"/>
    <mergeCell ref="P21:P25"/>
    <mergeCell ref="Q21:Q25"/>
    <mergeCell ref="T21:T25"/>
    <mergeCell ref="U21:U25"/>
    <mergeCell ref="BH21:BH25"/>
    <mergeCell ref="BI21:BI25"/>
    <mergeCell ref="BJ21:BJ25"/>
    <mergeCell ref="BK21:BK25"/>
    <mergeCell ref="BB8:BC8"/>
    <mergeCell ref="BD8:BE8"/>
    <mergeCell ref="BH8:BH9"/>
    <mergeCell ref="BI8:BI9"/>
    <mergeCell ref="BJ8:BJ9"/>
    <mergeCell ref="BK8:BK9"/>
    <mergeCell ref="BR7:BR15"/>
    <mergeCell ref="AB8:AC8"/>
    <mergeCell ref="AD8:AE8"/>
    <mergeCell ref="AF8:AG8"/>
    <mergeCell ref="AH8:AI8"/>
    <mergeCell ref="AJ8:AK8"/>
    <mergeCell ref="AL8:AM8"/>
    <mergeCell ref="AN8:AO8"/>
    <mergeCell ref="AP8:AQ8"/>
    <mergeCell ref="AR8:AS8"/>
    <mergeCell ref="AN7:AY7"/>
    <mergeCell ref="AZ7:BE7"/>
    <mergeCell ref="BF7:BG8"/>
    <mergeCell ref="BH7:BM7"/>
    <mergeCell ref="BN7:BO8"/>
    <mergeCell ref="BP7:BQ8"/>
    <mergeCell ref="AT8:AU8"/>
    <mergeCell ref="AV8:AW8"/>
    <mergeCell ref="AX8:AY8"/>
    <mergeCell ref="AZ8:BA8"/>
    <mergeCell ref="V7:V15"/>
    <mergeCell ref="W7:Y8"/>
    <mergeCell ref="Z7:Z9"/>
    <mergeCell ref="AA7:AA15"/>
    <mergeCell ref="AB7:AE7"/>
    <mergeCell ref="AF7:AM7"/>
    <mergeCell ref="U7:U15"/>
    <mergeCell ref="H7:I15"/>
    <mergeCell ref="J7:J15"/>
    <mergeCell ref="K7:K15"/>
    <mergeCell ref="L7:L15"/>
    <mergeCell ref="M7:N8"/>
    <mergeCell ref="O7:O15"/>
    <mergeCell ref="P7:P9"/>
    <mergeCell ref="Q7:Q15"/>
    <mergeCell ref="R7:R15"/>
    <mergeCell ref="S7:S15"/>
    <mergeCell ref="T7:T15"/>
    <mergeCell ref="A1:BN4"/>
    <mergeCell ref="A5:M6"/>
    <mergeCell ref="Q5:BR5"/>
    <mergeCell ref="Q6:AA6"/>
    <mergeCell ref="BN6:BR6"/>
    <mergeCell ref="A7:A15"/>
    <mergeCell ref="B7:C15"/>
    <mergeCell ref="D7:D15"/>
    <mergeCell ref="E7:F15"/>
    <mergeCell ref="G7:G15"/>
  </mergeCells>
  <printOptions horizontalCentered="1"/>
  <pageMargins left="0.31496062992125984" right="0.31496062992125984" top="0.55118110236220474" bottom="0.35433070866141736" header="0.31496062992125984" footer="0.31496062992125984"/>
  <pageSetup paperSize="196" scale="22"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32"/>
  <sheetViews>
    <sheetView showGridLines="0" zoomScale="70" zoomScaleNormal="70" workbookViewId="0">
      <selection activeCell="E18" sqref="E18:F24"/>
    </sheetView>
  </sheetViews>
  <sheetFormatPr baseColWidth="10" defaultColWidth="11.42578125" defaultRowHeight="14.25" x14ac:dyDescent="0.2"/>
  <cols>
    <col min="1" max="1" width="13.85546875" style="571" customWidth="1"/>
    <col min="2" max="2" width="8.42578125" style="571" customWidth="1"/>
    <col min="3" max="3" width="10" style="571" customWidth="1"/>
    <col min="4" max="4" width="11" style="571" customWidth="1"/>
    <col min="5" max="5" width="16.28515625" style="571" customWidth="1"/>
    <col min="6" max="6" width="11.42578125" style="571" hidden="1" customWidth="1"/>
    <col min="7" max="7" width="10.5703125" style="571" customWidth="1"/>
    <col min="8" max="8" width="19" style="571" customWidth="1"/>
    <col min="9" max="9" width="1.28515625" style="571" customWidth="1"/>
    <col min="10" max="10" width="11.7109375" style="571" customWidth="1"/>
    <col min="11" max="11" width="21.140625" style="571" customWidth="1"/>
    <col min="12" max="12" width="14.85546875" style="571" customWidth="1"/>
    <col min="13" max="13" width="8.42578125" style="571" customWidth="1"/>
    <col min="14" max="14" width="10.42578125" style="571" customWidth="1"/>
    <col min="15" max="15" width="18.42578125" style="571" customWidth="1"/>
    <col min="16" max="16" width="8.28515625" style="571" customWidth="1"/>
    <col min="17" max="17" width="15.28515625" style="571" customWidth="1"/>
    <col min="18" max="18" width="10" style="571" customWidth="1"/>
    <col min="19" max="19" width="14.28515625" style="571" customWidth="1"/>
    <col min="20" max="20" width="25.7109375" style="571" customWidth="1"/>
    <col min="21" max="21" width="22.42578125" style="571" customWidth="1"/>
    <col min="22" max="22" width="20.28515625" style="571" customWidth="1"/>
    <col min="23" max="23" width="22.85546875" style="571" customWidth="1"/>
    <col min="24" max="24" width="22.42578125" style="571" customWidth="1"/>
    <col min="25" max="25" width="19.28515625" style="571" customWidth="1"/>
    <col min="26" max="26" width="10.7109375" style="571" customWidth="1"/>
    <col min="27" max="27" width="14.85546875" style="571" customWidth="1"/>
    <col min="28" max="59" width="9.140625" style="571" customWidth="1"/>
    <col min="60" max="60" width="15.28515625" style="571" customWidth="1"/>
    <col min="61" max="61" width="18.42578125" style="571" customWidth="1"/>
    <col min="62" max="62" width="19.5703125" style="571" customWidth="1"/>
    <col min="63" max="63" width="14" style="571" customWidth="1"/>
    <col min="64" max="64" width="16.42578125" style="571" customWidth="1"/>
    <col min="65" max="65" width="18.7109375" style="571" customWidth="1"/>
    <col min="66" max="66" width="11.85546875" style="571" customWidth="1"/>
    <col min="67" max="67" width="12.7109375" style="571" customWidth="1"/>
    <col min="68" max="68" width="11.85546875" style="571" bestFit="1" customWidth="1"/>
    <col min="69" max="69" width="11.5703125" style="571" customWidth="1"/>
    <col min="70" max="70" width="19.85546875" style="571" customWidth="1"/>
    <col min="71" max="83" width="14.85546875" style="571" customWidth="1"/>
    <col min="84" max="16384" width="11.42578125" style="571"/>
  </cols>
  <sheetData>
    <row r="1" spans="1:70" ht="15" customHeight="1" x14ac:dyDescent="0.25">
      <c r="A1" s="4565" t="s">
        <v>1070</v>
      </c>
      <c r="B1" s="4565"/>
      <c r="C1" s="4565"/>
      <c r="D1" s="4565"/>
      <c r="E1" s="4565"/>
      <c r="F1" s="4565"/>
      <c r="G1" s="4565"/>
      <c r="H1" s="4565"/>
      <c r="I1" s="4565"/>
      <c r="J1" s="4565"/>
      <c r="K1" s="4565"/>
      <c r="L1" s="4565"/>
      <c r="M1" s="4565"/>
      <c r="N1" s="4565"/>
      <c r="O1" s="4565"/>
      <c r="P1" s="4565"/>
      <c r="Q1" s="4565"/>
      <c r="R1" s="4565"/>
      <c r="S1" s="4565"/>
      <c r="T1" s="4565"/>
      <c r="U1" s="4565"/>
      <c r="V1" s="4565"/>
      <c r="W1" s="4565"/>
      <c r="X1" s="4565"/>
      <c r="Y1" s="4565"/>
      <c r="Z1" s="4565"/>
      <c r="AA1" s="4565"/>
      <c r="AB1" s="4565"/>
      <c r="AC1" s="4565"/>
      <c r="AD1" s="4565"/>
      <c r="AE1" s="4565"/>
      <c r="AF1" s="4565"/>
      <c r="AG1" s="4565"/>
      <c r="AH1" s="4565"/>
      <c r="AI1" s="4565"/>
      <c r="AJ1" s="4565"/>
      <c r="AK1" s="4565"/>
      <c r="AL1" s="4565"/>
      <c r="AM1" s="4565"/>
      <c r="AN1" s="4565"/>
      <c r="AO1" s="4565"/>
      <c r="AP1" s="4565"/>
      <c r="AQ1" s="4565"/>
      <c r="AR1" s="4565"/>
      <c r="AS1" s="4565"/>
      <c r="AT1" s="4565"/>
      <c r="AU1" s="4565"/>
      <c r="AV1" s="4565"/>
      <c r="AW1" s="4565"/>
      <c r="AX1" s="4565"/>
      <c r="AY1" s="4565"/>
      <c r="AZ1" s="4565"/>
      <c r="BA1" s="4565"/>
      <c r="BB1" s="4565"/>
      <c r="BC1" s="4565"/>
      <c r="BD1" s="4565"/>
      <c r="BE1" s="4565"/>
      <c r="BF1" s="4565"/>
      <c r="BG1" s="4565"/>
      <c r="BH1" s="4565"/>
      <c r="BI1" s="4565"/>
      <c r="BJ1" s="4565"/>
      <c r="BK1" s="4565"/>
      <c r="BL1" s="4565"/>
      <c r="BM1" s="4565"/>
      <c r="BN1" s="4565"/>
      <c r="BO1" s="4565"/>
      <c r="BP1" s="4595"/>
      <c r="BQ1" s="923" t="s">
        <v>1</v>
      </c>
      <c r="BR1" s="923" t="s">
        <v>2</v>
      </c>
    </row>
    <row r="2" spans="1:70" ht="15" x14ac:dyDescent="0.25">
      <c r="A2" s="4565"/>
      <c r="B2" s="4565"/>
      <c r="C2" s="4565"/>
      <c r="D2" s="4565"/>
      <c r="E2" s="4565"/>
      <c r="F2" s="4565"/>
      <c r="G2" s="4565"/>
      <c r="H2" s="4565"/>
      <c r="I2" s="4565"/>
      <c r="J2" s="4565"/>
      <c r="K2" s="4565"/>
      <c r="L2" s="4565"/>
      <c r="M2" s="4565"/>
      <c r="N2" s="4565"/>
      <c r="O2" s="4565"/>
      <c r="P2" s="4565"/>
      <c r="Q2" s="4565"/>
      <c r="R2" s="4565"/>
      <c r="S2" s="4565"/>
      <c r="T2" s="4565"/>
      <c r="U2" s="4565"/>
      <c r="V2" s="4565"/>
      <c r="W2" s="4565"/>
      <c r="X2" s="4565"/>
      <c r="Y2" s="4565"/>
      <c r="Z2" s="4565"/>
      <c r="AA2" s="4565"/>
      <c r="AB2" s="4565"/>
      <c r="AC2" s="4565"/>
      <c r="AD2" s="4565"/>
      <c r="AE2" s="4565"/>
      <c r="AF2" s="4565"/>
      <c r="AG2" s="4565"/>
      <c r="AH2" s="4565"/>
      <c r="AI2" s="4565"/>
      <c r="AJ2" s="4565"/>
      <c r="AK2" s="4565"/>
      <c r="AL2" s="4565"/>
      <c r="AM2" s="4565"/>
      <c r="AN2" s="4565"/>
      <c r="AO2" s="4565"/>
      <c r="AP2" s="4565"/>
      <c r="AQ2" s="4565"/>
      <c r="AR2" s="4565"/>
      <c r="AS2" s="4565"/>
      <c r="AT2" s="4565"/>
      <c r="AU2" s="4565"/>
      <c r="AV2" s="4565"/>
      <c r="AW2" s="4565"/>
      <c r="AX2" s="4565"/>
      <c r="AY2" s="4565"/>
      <c r="AZ2" s="4565"/>
      <c r="BA2" s="4565"/>
      <c r="BB2" s="4565"/>
      <c r="BC2" s="4565"/>
      <c r="BD2" s="4565"/>
      <c r="BE2" s="4565"/>
      <c r="BF2" s="4565"/>
      <c r="BG2" s="4565"/>
      <c r="BH2" s="4565"/>
      <c r="BI2" s="4565"/>
      <c r="BJ2" s="4565"/>
      <c r="BK2" s="4565"/>
      <c r="BL2" s="4565"/>
      <c r="BM2" s="4565"/>
      <c r="BN2" s="4565"/>
      <c r="BO2" s="4565"/>
      <c r="BP2" s="4595"/>
      <c r="BQ2" s="925" t="s">
        <v>3</v>
      </c>
      <c r="BR2" s="926">
        <v>6</v>
      </c>
    </row>
    <row r="3" spans="1:70" ht="15" x14ac:dyDescent="0.25">
      <c r="A3" s="4565"/>
      <c r="B3" s="4565"/>
      <c r="C3" s="4565"/>
      <c r="D3" s="4565"/>
      <c r="E3" s="4565"/>
      <c r="F3" s="4565"/>
      <c r="G3" s="4565"/>
      <c r="H3" s="4565"/>
      <c r="I3" s="4565"/>
      <c r="J3" s="4565"/>
      <c r="K3" s="4565"/>
      <c r="L3" s="4565"/>
      <c r="M3" s="4565"/>
      <c r="N3" s="4565"/>
      <c r="O3" s="4565"/>
      <c r="P3" s="4565"/>
      <c r="Q3" s="4565"/>
      <c r="R3" s="4565"/>
      <c r="S3" s="4565"/>
      <c r="T3" s="4565"/>
      <c r="U3" s="4565"/>
      <c r="V3" s="4565"/>
      <c r="W3" s="4565"/>
      <c r="X3" s="4565"/>
      <c r="Y3" s="4565"/>
      <c r="Z3" s="4565"/>
      <c r="AA3" s="4565"/>
      <c r="AB3" s="4565"/>
      <c r="AC3" s="4565"/>
      <c r="AD3" s="4565"/>
      <c r="AE3" s="4565"/>
      <c r="AF3" s="4565"/>
      <c r="AG3" s="4565"/>
      <c r="AH3" s="4565"/>
      <c r="AI3" s="4565"/>
      <c r="AJ3" s="4565"/>
      <c r="AK3" s="4565"/>
      <c r="AL3" s="4565"/>
      <c r="AM3" s="4565"/>
      <c r="AN3" s="4565"/>
      <c r="AO3" s="4565"/>
      <c r="AP3" s="4565"/>
      <c r="AQ3" s="4565"/>
      <c r="AR3" s="4565"/>
      <c r="AS3" s="4565"/>
      <c r="AT3" s="4565"/>
      <c r="AU3" s="4565"/>
      <c r="AV3" s="4565"/>
      <c r="AW3" s="4565"/>
      <c r="AX3" s="4565"/>
      <c r="AY3" s="4565"/>
      <c r="AZ3" s="4565"/>
      <c r="BA3" s="4565"/>
      <c r="BB3" s="4565"/>
      <c r="BC3" s="4565"/>
      <c r="BD3" s="4565"/>
      <c r="BE3" s="4565"/>
      <c r="BF3" s="4565"/>
      <c r="BG3" s="4565"/>
      <c r="BH3" s="4565"/>
      <c r="BI3" s="4565"/>
      <c r="BJ3" s="4565"/>
      <c r="BK3" s="4565"/>
      <c r="BL3" s="4565"/>
      <c r="BM3" s="4565"/>
      <c r="BN3" s="4565"/>
      <c r="BO3" s="4565"/>
      <c r="BP3" s="4595"/>
      <c r="BQ3" s="923" t="s">
        <v>4</v>
      </c>
      <c r="BR3" s="927" t="s">
        <v>5</v>
      </c>
    </row>
    <row r="4" spans="1:70" s="1216" customFormat="1" ht="15" x14ac:dyDescent="0.2">
      <c r="A4" s="3125"/>
      <c r="B4" s="3125"/>
      <c r="C4" s="3125"/>
      <c r="D4" s="3125"/>
      <c r="E4" s="3125"/>
      <c r="F4" s="3125"/>
      <c r="G4" s="3125"/>
      <c r="H4" s="3125"/>
      <c r="I4" s="3125"/>
      <c r="J4" s="3125"/>
      <c r="K4" s="3125"/>
      <c r="L4" s="3125"/>
      <c r="M4" s="3125"/>
      <c r="N4" s="3125"/>
      <c r="O4" s="3125"/>
      <c r="P4" s="3125"/>
      <c r="Q4" s="3125"/>
      <c r="R4" s="3125"/>
      <c r="S4" s="3125"/>
      <c r="T4" s="3125"/>
      <c r="U4" s="3125"/>
      <c r="V4" s="3125"/>
      <c r="W4" s="3125"/>
      <c r="X4" s="3125"/>
      <c r="Y4" s="3125"/>
      <c r="Z4" s="3125"/>
      <c r="AA4" s="3125"/>
      <c r="AB4" s="3125"/>
      <c r="AC4" s="3125"/>
      <c r="AD4" s="3125"/>
      <c r="AE4" s="3125"/>
      <c r="AF4" s="3125"/>
      <c r="AG4" s="3125"/>
      <c r="AH4" s="3125"/>
      <c r="AI4" s="3125"/>
      <c r="AJ4" s="3125"/>
      <c r="AK4" s="3125"/>
      <c r="AL4" s="3125"/>
      <c r="AM4" s="3125"/>
      <c r="AN4" s="3125"/>
      <c r="AO4" s="3125"/>
      <c r="AP4" s="3125"/>
      <c r="AQ4" s="3125"/>
      <c r="AR4" s="3125"/>
      <c r="AS4" s="3125"/>
      <c r="AT4" s="3125"/>
      <c r="AU4" s="3125"/>
      <c r="AV4" s="3125"/>
      <c r="AW4" s="3125"/>
      <c r="AX4" s="3125"/>
      <c r="AY4" s="3125"/>
      <c r="AZ4" s="3125"/>
      <c r="BA4" s="3125"/>
      <c r="BB4" s="3125"/>
      <c r="BC4" s="3125"/>
      <c r="BD4" s="3125"/>
      <c r="BE4" s="3125"/>
      <c r="BF4" s="3125"/>
      <c r="BG4" s="3125"/>
      <c r="BH4" s="3125"/>
      <c r="BI4" s="3125"/>
      <c r="BJ4" s="3125"/>
      <c r="BK4" s="3125"/>
      <c r="BL4" s="3125"/>
      <c r="BM4" s="3125"/>
      <c r="BN4" s="3125"/>
      <c r="BO4" s="3125"/>
      <c r="BP4" s="3126"/>
      <c r="BQ4" s="101" t="s">
        <v>6</v>
      </c>
      <c r="BR4" s="1215" t="s">
        <v>7</v>
      </c>
    </row>
    <row r="5" spans="1:70" ht="15" x14ac:dyDescent="0.2">
      <c r="A5" s="3879" t="s">
        <v>8</v>
      </c>
      <c r="B5" s="3879"/>
      <c r="C5" s="3879"/>
      <c r="D5" s="3879"/>
      <c r="E5" s="3879"/>
      <c r="F5" s="3879"/>
      <c r="G5" s="3879"/>
      <c r="H5" s="3879"/>
      <c r="I5" s="3879"/>
      <c r="J5" s="3879"/>
      <c r="K5" s="3879"/>
      <c r="L5" s="3879"/>
      <c r="M5" s="3879"/>
      <c r="N5" s="337"/>
      <c r="O5" s="337"/>
      <c r="P5" s="337"/>
      <c r="Q5" s="3879" t="s">
        <v>9</v>
      </c>
      <c r="R5" s="3879"/>
      <c r="S5" s="3879"/>
      <c r="T5" s="3879"/>
      <c r="U5" s="3879"/>
      <c r="V5" s="3879"/>
      <c r="W5" s="3879"/>
      <c r="X5" s="3879"/>
      <c r="Y5" s="3879"/>
      <c r="Z5" s="3879"/>
      <c r="AA5" s="3879"/>
      <c r="AB5" s="3879"/>
      <c r="AC5" s="3879"/>
      <c r="AD5" s="3879"/>
      <c r="AE5" s="3879"/>
      <c r="AF5" s="3879"/>
      <c r="AG5" s="3879"/>
      <c r="AH5" s="3879"/>
      <c r="AI5" s="3879"/>
      <c r="AJ5" s="3879"/>
      <c r="AK5" s="3879"/>
      <c r="AL5" s="3879"/>
      <c r="AM5" s="3879"/>
      <c r="AN5" s="3879"/>
      <c r="AO5" s="3879"/>
      <c r="AP5" s="3879"/>
      <c r="AQ5" s="3879"/>
      <c r="AR5" s="3879"/>
      <c r="AS5" s="3879"/>
      <c r="AT5" s="3879"/>
      <c r="AU5" s="3879"/>
      <c r="AV5" s="3879"/>
      <c r="AW5" s="3879"/>
      <c r="AX5" s="3879"/>
      <c r="AY5" s="3879"/>
      <c r="AZ5" s="3879"/>
      <c r="BA5" s="3879"/>
      <c r="BB5" s="3879"/>
      <c r="BC5" s="3879"/>
      <c r="BD5" s="3879"/>
      <c r="BE5" s="3879"/>
      <c r="BF5" s="3879"/>
      <c r="BG5" s="3879"/>
      <c r="BH5" s="3879"/>
      <c r="BI5" s="3879"/>
      <c r="BJ5" s="3879"/>
      <c r="BK5" s="3879"/>
      <c r="BL5" s="3879"/>
      <c r="BM5" s="3879"/>
      <c r="BN5" s="3879"/>
      <c r="BO5" s="3879"/>
      <c r="BP5" s="3879"/>
      <c r="BQ5" s="3879"/>
      <c r="BR5" s="3879"/>
    </row>
    <row r="6" spans="1:70" ht="15.75" thickBot="1" x14ac:dyDescent="0.25">
      <c r="A6" s="3879"/>
      <c r="B6" s="3879"/>
      <c r="C6" s="3879"/>
      <c r="D6" s="3879"/>
      <c r="E6" s="3879"/>
      <c r="F6" s="3879"/>
      <c r="G6" s="3879"/>
      <c r="H6" s="3879"/>
      <c r="I6" s="3879"/>
      <c r="J6" s="3879"/>
      <c r="K6" s="3879"/>
      <c r="L6" s="3879"/>
      <c r="M6" s="3879"/>
      <c r="N6" s="337"/>
      <c r="O6" s="337"/>
      <c r="P6" s="1217"/>
      <c r="Q6" s="3881"/>
      <c r="R6" s="3882"/>
      <c r="S6" s="3882"/>
      <c r="T6" s="3882"/>
      <c r="U6" s="3882"/>
      <c r="V6" s="3882"/>
      <c r="W6" s="3882"/>
      <c r="X6" s="3882"/>
      <c r="Y6" s="3882"/>
      <c r="Z6" s="3882"/>
      <c r="AA6" s="3883"/>
      <c r="AB6" s="1219"/>
      <c r="AC6" s="1219"/>
      <c r="AD6" s="1219"/>
      <c r="AE6" s="1219"/>
      <c r="AF6" s="1219"/>
      <c r="AG6" s="1219"/>
      <c r="AH6" s="1219"/>
      <c r="AI6" s="1219"/>
      <c r="AJ6" s="1219"/>
      <c r="AK6" s="1219"/>
      <c r="AL6" s="1219"/>
      <c r="AM6" s="1219"/>
      <c r="AN6" s="1219"/>
      <c r="AO6" s="1219"/>
      <c r="AP6" s="1219"/>
      <c r="AQ6" s="1219"/>
      <c r="AR6" s="1219"/>
      <c r="AS6" s="1219"/>
      <c r="AT6" s="1219"/>
      <c r="AU6" s="1219"/>
      <c r="AV6" s="1219"/>
      <c r="AW6" s="1219"/>
      <c r="AX6" s="1219"/>
      <c r="AY6" s="1219"/>
      <c r="AZ6" s="1219"/>
      <c r="BA6" s="1219"/>
      <c r="BB6" s="1219"/>
      <c r="BC6" s="1219"/>
      <c r="BD6" s="1219"/>
      <c r="BE6" s="1219"/>
      <c r="BF6" s="1219"/>
      <c r="BG6" s="1219"/>
      <c r="BH6" s="1219"/>
      <c r="BI6" s="1219"/>
      <c r="BJ6" s="1219"/>
      <c r="BK6" s="1219"/>
      <c r="BL6" s="1219"/>
      <c r="BM6" s="1219"/>
      <c r="BN6" s="3881"/>
      <c r="BO6" s="3882"/>
      <c r="BP6" s="3882"/>
      <c r="BQ6" s="3882"/>
      <c r="BR6" s="3883"/>
    </row>
    <row r="7" spans="1:70" s="1220" customFormat="1" ht="12" x14ac:dyDescent="0.2">
      <c r="A7" s="3849" t="s">
        <v>10</v>
      </c>
      <c r="B7" s="3849" t="s">
        <v>11</v>
      </c>
      <c r="C7" s="3849"/>
      <c r="D7" s="3849" t="s">
        <v>10</v>
      </c>
      <c r="E7" s="3849" t="s">
        <v>12</v>
      </c>
      <c r="F7" s="3849"/>
      <c r="G7" s="3849" t="s">
        <v>10</v>
      </c>
      <c r="H7" s="3849" t="s">
        <v>13</v>
      </c>
      <c r="I7" s="3849"/>
      <c r="J7" s="3849" t="s">
        <v>10</v>
      </c>
      <c r="K7" s="3849" t="s">
        <v>14</v>
      </c>
      <c r="L7" s="3849" t="s">
        <v>15</v>
      </c>
      <c r="M7" s="3858" t="s">
        <v>16</v>
      </c>
      <c r="N7" s="3859"/>
      <c r="O7" s="3849" t="s">
        <v>17</v>
      </c>
      <c r="P7" s="3872" t="s">
        <v>18</v>
      </c>
      <c r="Q7" s="3849" t="s">
        <v>9</v>
      </c>
      <c r="R7" s="3849" t="s">
        <v>19</v>
      </c>
      <c r="S7" s="3849" t="s">
        <v>20</v>
      </c>
      <c r="T7" s="3849" t="s">
        <v>21</v>
      </c>
      <c r="U7" s="3849" t="s">
        <v>22</v>
      </c>
      <c r="V7" s="3849" t="s">
        <v>23</v>
      </c>
      <c r="W7" s="3858" t="s">
        <v>20</v>
      </c>
      <c r="X7" s="4597"/>
      <c r="Y7" s="3859"/>
      <c r="Z7" s="3872" t="s">
        <v>10</v>
      </c>
      <c r="AA7" s="3849" t="s">
        <v>24</v>
      </c>
      <c r="AB7" s="3854" t="s">
        <v>25</v>
      </c>
      <c r="AC7" s="3855"/>
      <c r="AD7" s="3855"/>
      <c r="AE7" s="3856"/>
      <c r="AF7" s="3159" t="s">
        <v>26</v>
      </c>
      <c r="AG7" s="3160"/>
      <c r="AH7" s="3160"/>
      <c r="AI7" s="3160"/>
      <c r="AJ7" s="3160"/>
      <c r="AK7" s="3160"/>
      <c r="AL7" s="3160"/>
      <c r="AM7" s="3857"/>
      <c r="AN7" s="3887" t="s">
        <v>27</v>
      </c>
      <c r="AO7" s="3888"/>
      <c r="AP7" s="3888"/>
      <c r="AQ7" s="3888"/>
      <c r="AR7" s="3888"/>
      <c r="AS7" s="3888"/>
      <c r="AT7" s="3888"/>
      <c r="AU7" s="3888"/>
      <c r="AV7" s="3888"/>
      <c r="AW7" s="3888"/>
      <c r="AX7" s="3888"/>
      <c r="AY7" s="3889"/>
      <c r="AZ7" s="3159" t="s">
        <v>28</v>
      </c>
      <c r="BA7" s="3160"/>
      <c r="BB7" s="3160"/>
      <c r="BC7" s="3160"/>
      <c r="BD7" s="3160"/>
      <c r="BE7" s="3857"/>
      <c r="BF7" s="3904" t="s">
        <v>29</v>
      </c>
      <c r="BG7" s="3905"/>
      <c r="BH7" s="3890" t="s">
        <v>30</v>
      </c>
      <c r="BI7" s="3891"/>
      <c r="BJ7" s="3891"/>
      <c r="BK7" s="3891"/>
      <c r="BL7" s="3891"/>
      <c r="BM7" s="3892"/>
      <c r="BN7" s="3852" t="s">
        <v>31</v>
      </c>
      <c r="BO7" s="3175"/>
      <c r="BP7" s="3852" t="s">
        <v>32</v>
      </c>
      <c r="BQ7" s="3175"/>
      <c r="BR7" s="3897" t="s">
        <v>33</v>
      </c>
    </row>
    <row r="8" spans="1:70" s="1220" customFormat="1" ht="97.5" customHeight="1" x14ac:dyDescent="0.2">
      <c r="A8" s="3849"/>
      <c r="B8" s="3849"/>
      <c r="C8" s="3849"/>
      <c r="D8" s="3849"/>
      <c r="E8" s="3849"/>
      <c r="F8" s="3849"/>
      <c r="G8" s="3849"/>
      <c r="H8" s="3849"/>
      <c r="I8" s="3849"/>
      <c r="J8" s="3849"/>
      <c r="K8" s="3849"/>
      <c r="L8" s="3849"/>
      <c r="M8" s="3145"/>
      <c r="N8" s="3147"/>
      <c r="O8" s="3849"/>
      <c r="P8" s="3148"/>
      <c r="Q8" s="3849"/>
      <c r="R8" s="3849"/>
      <c r="S8" s="3849"/>
      <c r="T8" s="3849"/>
      <c r="U8" s="3849"/>
      <c r="V8" s="3849"/>
      <c r="W8" s="3142"/>
      <c r="X8" s="4598"/>
      <c r="Y8" s="3144"/>
      <c r="Z8" s="3148"/>
      <c r="AA8" s="3849"/>
      <c r="AB8" s="3853" t="s">
        <v>34</v>
      </c>
      <c r="AC8" s="3853"/>
      <c r="AD8" s="4566" t="s">
        <v>35</v>
      </c>
      <c r="AE8" s="4566"/>
      <c r="AF8" s="3853" t="s">
        <v>36</v>
      </c>
      <c r="AG8" s="3853"/>
      <c r="AH8" s="3853" t="s">
        <v>37</v>
      </c>
      <c r="AI8" s="3853"/>
      <c r="AJ8" s="3853" t="s">
        <v>776</v>
      </c>
      <c r="AK8" s="3853"/>
      <c r="AL8" s="3853" t="s">
        <v>39</v>
      </c>
      <c r="AM8" s="3853"/>
      <c r="AN8" s="3853" t="s">
        <v>40</v>
      </c>
      <c r="AO8" s="3853"/>
      <c r="AP8" s="3853" t="s">
        <v>41</v>
      </c>
      <c r="AQ8" s="3853"/>
      <c r="AR8" s="3853" t="s">
        <v>42</v>
      </c>
      <c r="AS8" s="3853"/>
      <c r="AT8" s="3853" t="s">
        <v>43</v>
      </c>
      <c r="AU8" s="3853"/>
      <c r="AV8" s="3853" t="s">
        <v>44</v>
      </c>
      <c r="AW8" s="3853"/>
      <c r="AX8" s="3853" t="s">
        <v>45</v>
      </c>
      <c r="AY8" s="3853"/>
      <c r="AZ8" s="3853" t="s">
        <v>46</v>
      </c>
      <c r="BA8" s="3853"/>
      <c r="BB8" s="3853" t="s">
        <v>47</v>
      </c>
      <c r="BC8" s="3853"/>
      <c r="BD8" s="3853" t="s">
        <v>48</v>
      </c>
      <c r="BE8" s="3853"/>
      <c r="BF8" s="3166"/>
      <c r="BG8" s="3167"/>
      <c r="BH8" s="3861" t="s">
        <v>49</v>
      </c>
      <c r="BI8" s="3625" t="s">
        <v>50</v>
      </c>
      <c r="BJ8" s="3861" t="s">
        <v>51</v>
      </c>
      <c r="BK8" s="3903" t="s">
        <v>52</v>
      </c>
      <c r="BL8" s="3861" t="s">
        <v>53</v>
      </c>
      <c r="BM8" s="3155" t="s">
        <v>54</v>
      </c>
      <c r="BN8" s="3173"/>
      <c r="BO8" s="3174"/>
      <c r="BP8" s="3173"/>
      <c r="BQ8" s="3174"/>
      <c r="BR8" s="3897"/>
    </row>
    <row r="9" spans="1:70" s="1221" customFormat="1" ht="12.75" x14ac:dyDescent="0.2">
      <c r="A9" s="3849"/>
      <c r="B9" s="3849"/>
      <c r="C9" s="3849"/>
      <c r="D9" s="3849"/>
      <c r="E9" s="3849"/>
      <c r="F9" s="3849"/>
      <c r="G9" s="3849"/>
      <c r="H9" s="3849"/>
      <c r="I9" s="3849"/>
      <c r="J9" s="3849"/>
      <c r="K9" s="3849"/>
      <c r="L9" s="3849"/>
      <c r="M9" s="118" t="s">
        <v>55</v>
      </c>
      <c r="N9" s="118" t="s">
        <v>56</v>
      </c>
      <c r="O9" s="3849"/>
      <c r="P9" s="3149"/>
      <c r="Q9" s="3849"/>
      <c r="R9" s="3849"/>
      <c r="S9" s="3849"/>
      <c r="T9" s="3849"/>
      <c r="U9" s="3849"/>
      <c r="V9" s="3849"/>
      <c r="W9" s="118" t="s">
        <v>57</v>
      </c>
      <c r="X9" s="118" t="s">
        <v>58</v>
      </c>
      <c r="Y9" s="118" t="s">
        <v>59</v>
      </c>
      <c r="Z9" s="3149"/>
      <c r="AA9" s="3849"/>
      <c r="AB9" s="118" t="s">
        <v>55</v>
      </c>
      <c r="AC9" s="118" t="s">
        <v>56</v>
      </c>
      <c r="AD9" s="118" t="s">
        <v>55</v>
      </c>
      <c r="AE9" s="118" t="s">
        <v>56</v>
      </c>
      <c r="AF9" s="118" t="s">
        <v>55</v>
      </c>
      <c r="AG9" s="118" t="s">
        <v>56</v>
      </c>
      <c r="AH9" s="118" t="s">
        <v>55</v>
      </c>
      <c r="AI9" s="118" t="s">
        <v>56</v>
      </c>
      <c r="AJ9" s="118" t="s">
        <v>55</v>
      </c>
      <c r="AK9" s="118" t="s">
        <v>56</v>
      </c>
      <c r="AL9" s="118" t="s">
        <v>55</v>
      </c>
      <c r="AM9" s="118" t="s">
        <v>56</v>
      </c>
      <c r="AN9" s="118" t="s">
        <v>55</v>
      </c>
      <c r="AO9" s="118" t="s">
        <v>56</v>
      </c>
      <c r="AP9" s="118" t="s">
        <v>55</v>
      </c>
      <c r="AQ9" s="118" t="s">
        <v>56</v>
      </c>
      <c r="AR9" s="118" t="s">
        <v>55</v>
      </c>
      <c r="AS9" s="118" t="s">
        <v>56</v>
      </c>
      <c r="AT9" s="118" t="s">
        <v>55</v>
      </c>
      <c r="AU9" s="118" t="s">
        <v>56</v>
      </c>
      <c r="AV9" s="118" t="s">
        <v>55</v>
      </c>
      <c r="AW9" s="118" t="s">
        <v>56</v>
      </c>
      <c r="AX9" s="118" t="s">
        <v>55</v>
      </c>
      <c r="AY9" s="118" t="s">
        <v>56</v>
      </c>
      <c r="AZ9" s="118" t="s">
        <v>55</v>
      </c>
      <c r="BA9" s="118" t="s">
        <v>56</v>
      </c>
      <c r="BB9" s="118" t="s">
        <v>55</v>
      </c>
      <c r="BC9" s="118" t="s">
        <v>56</v>
      </c>
      <c r="BD9" s="118" t="s">
        <v>55</v>
      </c>
      <c r="BE9" s="118" t="s">
        <v>56</v>
      </c>
      <c r="BF9" s="118" t="s">
        <v>55</v>
      </c>
      <c r="BG9" s="118" t="s">
        <v>56</v>
      </c>
      <c r="BH9" s="3861"/>
      <c r="BI9" s="3625"/>
      <c r="BJ9" s="3861"/>
      <c r="BK9" s="3903"/>
      <c r="BL9" s="3861"/>
      <c r="BM9" s="3156"/>
      <c r="BN9" s="393" t="s">
        <v>55</v>
      </c>
      <c r="BO9" s="393" t="s">
        <v>56</v>
      </c>
      <c r="BP9" s="393" t="s">
        <v>55</v>
      </c>
      <c r="BQ9" s="393" t="s">
        <v>56</v>
      </c>
      <c r="BR9" s="3897"/>
    </row>
    <row r="10" spans="1:70" ht="15" hidden="1" x14ac:dyDescent="0.2">
      <c r="A10" s="3849"/>
      <c r="B10" s="3849"/>
      <c r="C10" s="3849"/>
      <c r="D10" s="3849"/>
      <c r="E10" s="3849"/>
      <c r="F10" s="3849"/>
      <c r="G10" s="3849"/>
      <c r="H10" s="3849"/>
      <c r="I10" s="3849"/>
      <c r="J10" s="3849"/>
      <c r="K10" s="3849"/>
      <c r="L10" s="3849"/>
      <c r="M10" s="1222"/>
      <c r="N10" s="1223"/>
      <c r="O10" s="3849"/>
      <c r="P10" s="117"/>
      <c r="Q10" s="3849"/>
      <c r="R10" s="3849"/>
      <c r="S10" s="3849"/>
      <c r="T10" s="3849"/>
      <c r="U10" s="3849"/>
      <c r="V10" s="3849"/>
      <c r="W10" s="1224"/>
      <c r="X10" s="1224"/>
      <c r="Y10" s="117"/>
      <c r="Z10" s="117"/>
      <c r="AA10" s="3849"/>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225"/>
      <c r="BI10" s="1225"/>
      <c r="BJ10" s="1225"/>
      <c r="BK10" s="1225"/>
      <c r="BL10" s="1225"/>
      <c r="BM10" s="1225"/>
      <c r="BN10" s="1226"/>
      <c r="BO10" s="1225"/>
      <c r="BP10" s="1226"/>
      <c r="BQ10" s="1225"/>
      <c r="BR10" s="3897"/>
    </row>
    <row r="11" spans="1:70" ht="15" hidden="1" x14ac:dyDescent="0.2">
      <c r="A11" s="3849"/>
      <c r="B11" s="3849"/>
      <c r="C11" s="3849"/>
      <c r="D11" s="3849"/>
      <c r="E11" s="3849"/>
      <c r="F11" s="3849"/>
      <c r="G11" s="3849"/>
      <c r="H11" s="3849"/>
      <c r="I11" s="3849"/>
      <c r="J11" s="3849"/>
      <c r="K11" s="3849"/>
      <c r="L11" s="3849"/>
      <c r="M11" s="1222"/>
      <c r="N11" s="1223"/>
      <c r="O11" s="3849"/>
      <c r="P11" s="117"/>
      <c r="Q11" s="3849"/>
      <c r="R11" s="3849"/>
      <c r="S11" s="3849"/>
      <c r="T11" s="3849"/>
      <c r="U11" s="3849"/>
      <c r="V11" s="3849"/>
      <c r="W11" s="1224"/>
      <c r="X11" s="1224"/>
      <c r="Y11" s="117"/>
      <c r="Z11" s="117"/>
      <c r="AA11" s="3849"/>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225"/>
      <c r="BI11" s="1225"/>
      <c r="BJ11" s="1225"/>
      <c r="BK11" s="1225"/>
      <c r="BL11" s="1225"/>
      <c r="BM11" s="1225"/>
      <c r="BN11" s="1226"/>
      <c r="BO11" s="1225"/>
      <c r="BP11" s="1226"/>
      <c r="BQ11" s="1225"/>
      <c r="BR11" s="3897"/>
    </row>
    <row r="12" spans="1:70" ht="15" hidden="1" x14ac:dyDescent="0.2">
      <c r="A12" s="3849"/>
      <c r="B12" s="3849"/>
      <c r="C12" s="3849"/>
      <c r="D12" s="3849"/>
      <c r="E12" s="3849"/>
      <c r="F12" s="3849"/>
      <c r="G12" s="3849"/>
      <c r="H12" s="3849"/>
      <c r="I12" s="3849"/>
      <c r="J12" s="3849"/>
      <c r="K12" s="3849"/>
      <c r="L12" s="3849"/>
      <c r="M12" s="1222"/>
      <c r="N12" s="1223"/>
      <c r="O12" s="3849"/>
      <c r="P12" s="117"/>
      <c r="Q12" s="3849"/>
      <c r="R12" s="3849"/>
      <c r="S12" s="3849"/>
      <c r="T12" s="3849"/>
      <c r="U12" s="3849"/>
      <c r="V12" s="3849"/>
      <c r="W12" s="1224"/>
      <c r="X12" s="1224"/>
      <c r="Y12" s="117"/>
      <c r="Z12" s="117"/>
      <c r="AA12" s="3849"/>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225"/>
      <c r="BI12" s="1225"/>
      <c r="BJ12" s="1225"/>
      <c r="BK12" s="1225"/>
      <c r="BL12" s="1225"/>
      <c r="BM12" s="1225"/>
      <c r="BN12" s="1226"/>
      <c r="BO12" s="1225"/>
      <c r="BP12" s="1226"/>
      <c r="BQ12" s="1225"/>
      <c r="BR12" s="3897"/>
    </row>
    <row r="13" spans="1:70" ht="15" hidden="1" x14ac:dyDescent="0.2">
      <c r="A13" s="3849"/>
      <c r="B13" s="3849"/>
      <c r="C13" s="3849"/>
      <c r="D13" s="3849"/>
      <c r="E13" s="3849"/>
      <c r="F13" s="3849"/>
      <c r="G13" s="3849"/>
      <c r="H13" s="3849"/>
      <c r="I13" s="3849"/>
      <c r="J13" s="3849"/>
      <c r="K13" s="3849"/>
      <c r="L13" s="3849"/>
      <c r="M13" s="1222"/>
      <c r="N13" s="1223"/>
      <c r="O13" s="3849"/>
      <c r="P13" s="117"/>
      <c r="Q13" s="3849"/>
      <c r="R13" s="3849"/>
      <c r="S13" s="3849"/>
      <c r="T13" s="3849"/>
      <c r="U13" s="3849"/>
      <c r="V13" s="3849"/>
      <c r="W13" s="1224"/>
      <c r="X13" s="1224"/>
      <c r="Y13" s="117"/>
      <c r="Z13" s="117"/>
      <c r="AA13" s="3849"/>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225"/>
      <c r="BI13" s="1225"/>
      <c r="BJ13" s="1225"/>
      <c r="BK13" s="1225"/>
      <c r="BL13" s="1225"/>
      <c r="BM13" s="1225"/>
      <c r="BN13" s="1226"/>
      <c r="BO13" s="1225"/>
      <c r="BP13" s="1226"/>
      <c r="BQ13" s="1225"/>
      <c r="BR13" s="3897"/>
    </row>
    <row r="14" spans="1:70" ht="15" hidden="1" x14ac:dyDescent="0.2">
      <c r="A14" s="3849"/>
      <c r="B14" s="3849"/>
      <c r="C14" s="3849"/>
      <c r="D14" s="3849"/>
      <c r="E14" s="3849"/>
      <c r="F14" s="3849"/>
      <c r="G14" s="3849"/>
      <c r="H14" s="3849"/>
      <c r="I14" s="3849"/>
      <c r="J14" s="3849"/>
      <c r="K14" s="3849"/>
      <c r="L14" s="3849"/>
      <c r="M14" s="1222"/>
      <c r="N14" s="1223"/>
      <c r="O14" s="3849"/>
      <c r="P14" s="117"/>
      <c r="Q14" s="3849"/>
      <c r="R14" s="3849"/>
      <c r="S14" s="3849"/>
      <c r="T14" s="3849"/>
      <c r="U14" s="3849"/>
      <c r="V14" s="3849"/>
      <c r="W14" s="1224"/>
      <c r="X14" s="1224"/>
      <c r="Y14" s="117"/>
      <c r="Z14" s="117"/>
      <c r="AA14" s="3849"/>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225"/>
      <c r="BI14" s="1225"/>
      <c r="BJ14" s="1225"/>
      <c r="BK14" s="1225"/>
      <c r="BL14" s="1225"/>
      <c r="BM14" s="1225"/>
      <c r="BN14" s="1226"/>
      <c r="BO14" s="1225"/>
      <c r="BP14" s="1226"/>
      <c r="BQ14" s="1225"/>
      <c r="BR14" s="3897"/>
    </row>
    <row r="15" spans="1:70" ht="15" x14ac:dyDescent="0.2">
      <c r="A15" s="3849"/>
      <c r="B15" s="3849"/>
      <c r="C15" s="3849"/>
      <c r="D15" s="3849"/>
      <c r="E15" s="3849"/>
      <c r="F15" s="3849"/>
      <c r="G15" s="3849"/>
      <c r="H15" s="3849"/>
      <c r="I15" s="3849"/>
      <c r="J15" s="3849"/>
      <c r="K15" s="3849"/>
      <c r="L15" s="3849"/>
      <c r="M15" s="1227"/>
      <c r="N15" s="1228"/>
      <c r="O15" s="3849"/>
      <c r="P15" s="117"/>
      <c r="Q15" s="3849"/>
      <c r="R15" s="3849"/>
      <c r="S15" s="3849"/>
      <c r="T15" s="3849"/>
      <c r="U15" s="3849"/>
      <c r="V15" s="3849"/>
      <c r="W15" s="1224"/>
      <c r="X15" s="1224"/>
      <c r="Y15" s="117"/>
      <c r="Z15" s="117"/>
      <c r="AA15" s="3849"/>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225"/>
      <c r="BI15" s="1225"/>
      <c r="BJ15" s="1225"/>
      <c r="BK15" s="1225"/>
      <c r="BL15" s="1225"/>
      <c r="BM15" s="1225"/>
      <c r="BN15" s="1226"/>
      <c r="BO15" s="1225"/>
      <c r="BP15" s="1226"/>
      <c r="BQ15" s="1225"/>
      <c r="BR15" s="3897"/>
    </row>
    <row r="16" spans="1:70" ht="15" x14ac:dyDescent="0.2">
      <c r="A16" s="1229">
        <v>4</v>
      </c>
      <c r="B16" s="1230" t="s">
        <v>1071</v>
      </c>
      <c r="C16" s="1231"/>
      <c r="D16" s="1231"/>
      <c r="E16" s="1231"/>
      <c r="F16" s="1232"/>
      <c r="G16" s="1232"/>
      <c r="H16" s="1232"/>
      <c r="I16" s="1232"/>
      <c r="J16" s="1232"/>
      <c r="K16" s="1232"/>
      <c r="L16" s="1232"/>
      <c r="M16" s="1232"/>
      <c r="N16" s="1232"/>
      <c r="O16" s="1232"/>
      <c r="P16" s="1232"/>
      <c r="Q16" s="1232"/>
      <c r="R16" s="1232"/>
      <c r="S16" s="1232"/>
      <c r="T16" s="1232"/>
      <c r="U16" s="1232"/>
      <c r="V16" s="1232"/>
      <c r="W16" s="1232"/>
      <c r="X16" s="1232"/>
      <c r="Y16" s="1232"/>
      <c r="Z16" s="1232"/>
      <c r="AA16" s="1232"/>
      <c r="AB16" s="1232"/>
      <c r="AC16" s="1232"/>
      <c r="AD16" s="1232"/>
      <c r="AE16" s="1232"/>
      <c r="AF16" s="1232"/>
      <c r="AG16" s="1232"/>
      <c r="AH16" s="1232"/>
      <c r="AI16" s="1232"/>
      <c r="AJ16" s="1232"/>
      <c r="AK16" s="1232"/>
      <c r="AL16" s="1232"/>
      <c r="AM16" s="1232"/>
      <c r="AN16" s="1232"/>
      <c r="AO16" s="1232"/>
      <c r="AP16" s="1232"/>
      <c r="AQ16" s="1232"/>
      <c r="AR16" s="1232"/>
      <c r="AS16" s="1232"/>
      <c r="AT16" s="1232"/>
      <c r="AU16" s="1232"/>
      <c r="AV16" s="1232"/>
      <c r="AW16" s="1232"/>
      <c r="AX16" s="1232"/>
      <c r="AY16" s="1232"/>
      <c r="AZ16" s="1232"/>
      <c r="BA16" s="1232"/>
      <c r="BB16" s="1232"/>
      <c r="BC16" s="1232"/>
      <c r="BD16" s="1232"/>
      <c r="BE16" s="1232"/>
      <c r="BF16" s="1232"/>
      <c r="BG16" s="1232"/>
      <c r="BH16" s="1232"/>
      <c r="BI16" s="1232"/>
      <c r="BJ16" s="1232"/>
      <c r="BK16" s="1232"/>
      <c r="BL16" s="1232"/>
      <c r="BM16" s="1232"/>
      <c r="BN16" s="1232"/>
      <c r="BO16" s="1232"/>
      <c r="BP16" s="1232"/>
      <c r="BQ16" s="1232"/>
      <c r="BR16" s="1233"/>
    </row>
    <row r="17" spans="1:70" ht="15" x14ac:dyDescent="0.2">
      <c r="A17" s="3202"/>
      <c r="B17" s="3249"/>
      <c r="C17" s="3249"/>
      <c r="D17" s="1234">
        <v>23</v>
      </c>
      <c r="E17" s="1055" t="s">
        <v>1072</v>
      </c>
      <c r="F17" s="1034"/>
      <c r="G17" s="1035"/>
      <c r="H17" s="1034"/>
      <c r="I17" s="1034"/>
      <c r="J17" s="1034"/>
      <c r="K17" s="1034"/>
      <c r="L17" s="1034"/>
      <c r="M17" s="1034"/>
      <c r="N17" s="1034"/>
      <c r="O17" s="1034"/>
      <c r="P17" s="1034"/>
      <c r="Q17" s="1034"/>
      <c r="R17" s="1034"/>
      <c r="S17" s="1034"/>
      <c r="T17" s="1034"/>
      <c r="U17" s="1034"/>
      <c r="V17" s="1034"/>
      <c r="W17" s="1034"/>
      <c r="X17" s="1034"/>
      <c r="Y17" s="1034"/>
      <c r="Z17" s="1034"/>
      <c r="AA17" s="1034"/>
      <c r="AB17" s="1034"/>
      <c r="AC17" s="1034"/>
      <c r="AD17" s="1034"/>
      <c r="AE17" s="1034"/>
      <c r="AF17" s="1034"/>
      <c r="AG17" s="1034"/>
      <c r="AH17" s="1034"/>
      <c r="AI17" s="1034"/>
      <c r="AJ17" s="1034"/>
      <c r="AK17" s="1034"/>
      <c r="AL17" s="1034"/>
      <c r="AM17" s="1034"/>
      <c r="AN17" s="1034"/>
      <c r="AO17" s="1034"/>
      <c r="AP17" s="1034"/>
      <c r="AQ17" s="1034"/>
      <c r="AR17" s="1034"/>
      <c r="AS17" s="1034"/>
      <c r="AT17" s="1034"/>
      <c r="AU17" s="1034"/>
      <c r="AV17" s="1034"/>
      <c r="AW17" s="1034"/>
      <c r="AX17" s="1034"/>
      <c r="AY17" s="1034"/>
      <c r="AZ17" s="1034"/>
      <c r="BA17" s="1034"/>
      <c r="BB17" s="1034"/>
      <c r="BC17" s="1034"/>
      <c r="BD17" s="1034"/>
      <c r="BE17" s="1034"/>
      <c r="BF17" s="1034"/>
      <c r="BG17" s="1034"/>
      <c r="BH17" s="1034"/>
      <c r="BI17" s="1034"/>
      <c r="BJ17" s="1034"/>
      <c r="BK17" s="1034"/>
      <c r="BL17" s="1034"/>
      <c r="BM17" s="1034"/>
      <c r="BN17" s="1034"/>
      <c r="BO17" s="1034"/>
      <c r="BP17" s="1034"/>
      <c r="BQ17" s="1034"/>
      <c r="BR17" s="1040"/>
    </row>
    <row r="18" spans="1:70" ht="15" x14ac:dyDescent="0.2">
      <c r="A18" s="3203"/>
      <c r="B18" s="3249"/>
      <c r="C18" s="3249"/>
      <c r="D18" s="3249"/>
      <c r="E18" s="3249"/>
      <c r="F18" s="3249"/>
      <c r="G18" s="1057">
        <v>77</v>
      </c>
      <c r="H18" s="1042" t="s">
        <v>1073</v>
      </c>
      <c r="I18" s="1043"/>
      <c r="J18" s="1044"/>
      <c r="K18" s="1044"/>
      <c r="L18" s="1044"/>
      <c r="M18" s="1044"/>
      <c r="N18" s="1044"/>
      <c r="O18" s="1044"/>
      <c r="P18" s="1044"/>
      <c r="Q18" s="1044"/>
      <c r="R18" s="1044"/>
      <c r="S18" s="1044"/>
      <c r="T18" s="1044"/>
      <c r="U18" s="1044"/>
      <c r="V18" s="1044"/>
      <c r="W18" s="1044"/>
      <c r="X18" s="1044"/>
      <c r="Y18" s="1044"/>
      <c r="Z18" s="1044"/>
      <c r="AA18" s="1044"/>
      <c r="AB18" s="1044"/>
      <c r="AC18" s="1044"/>
      <c r="AD18" s="1044"/>
      <c r="AE18" s="1044"/>
      <c r="AF18" s="1044"/>
      <c r="AG18" s="1044"/>
      <c r="AH18" s="1044"/>
      <c r="AI18" s="1044"/>
      <c r="AJ18" s="1044"/>
      <c r="AK18" s="1044"/>
      <c r="AL18" s="1044"/>
      <c r="AM18" s="1044"/>
      <c r="AN18" s="1044"/>
      <c r="AO18" s="1044"/>
      <c r="AP18" s="1044"/>
      <c r="AQ18" s="1044"/>
      <c r="AR18" s="1044"/>
      <c r="AS18" s="1044"/>
      <c r="AT18" s="1044"/>
      <c r="AU18" s="1044"/>
      <c r="AV18" s="1044"/>
      <c r="AW18" s="1044"/>
      <c r="AX18" s="1044"/>
      <c r="AY18" s="1044"/>
      <c r="AZ18" s="1044"/>
      <c r="BA18" s="1044"/>
      <c r="BB18" s="1044"/>
      <c r="BC18" s="1044"/>
      <c r="BD18" s="1044"/>
      <c r="BE18" s="1044"/>
      <c r="BF18" s="1044"/>
      <c r="BG18" s="1044"/>
      <c r="BH18" s="1044"/>
      <c r="BI18" s="1044"/>
      <c r="BJ18" s="1044"/>
      <c r="BK18" s="1044"/>
      <c r="BL18" s="1044"/>
      <c r="BM18" s="1044"/>
      <c r="BN18" s="1044"/>
      <c r="BO18" s="1044"/>
      <c r="BP18" s="1044"/>
      <c r="BQ18" s="1044"/>
      <c r="BR18" s="1043"/>
    </row>
    <row r="19" spans="1:70" ht="76.5" customHeight="1" x14ac:dyDescent="0.2">
      <c r="A19" s="3203"/>
      <c r="B19" s="3249"/>
      <c r="C19" s="3249"/>
      <c r="D19" s="3249"/>
      <c r="E19" s="3249"/>
      <c r="F19" s="3249"/>
      <c r="G19" s="3202"/>
      <c r="H19" s="3249"/>
      <c r="I19" s="3249"/>
      <c r="J19" s="3190">
        <v>223</v>
      </c>
      <c r="K19" s="3955" t="s">
        <v>1074</v>
      </c>
      <c r="L19" s="3190" t="s">
        <v>18</v>
      </c>
      <c r="M19" s="3190">
        <v>1</v>
      </c>
      <c r="N19" s="4909">
        <v>0.25</v>
      </c>
      <c r="O19" s="3205">
        <v>607000000</v>
      </c>
      <c r="P19" s="3266"/>
      <c r="Q19" s="4911" t="s">
        <v>1075</v>
      </c>
      <c r="R19" s="4913">
        <f>S19/O19</f>
        <v>0.94892915980230641</v>
      </c>
      <c r="S19" s="4915">
        <f>'[4]Metas y Proyectos'!O16+'[4]Metas y Proyectos'!O17</f>
        <v>576000000</v>
      </c>
      <c r="T19" s="4917" t="s">
        <v>1076</v>
      </c>
      <c r="U19" s="4918" t="s">
        <v>1077</v>
      </c>
      <c r="V19" s="4921" t="s">
        <v>1078</v>
      </c>
      <c r="W19" s="1235">
        <f>'[4]Metas y Proyectos'!O16</f>
        <v>476000000</v>
      </c>
      <c r="X19" s="1236">
        <f>'[4]Metas y Proyectos'!P16</f>
        <v>56400000</v>
      </c>
      <c r="Y19" s="1236">
        <f>'[4]Metas y Proyectos'!Q16</f>
        <v>7350000</v>
      </c>
      <c r="Z19" s="1237">
        <v>88</v>
      </c>
      <c r="AA19" s="1238" t="s">
        <v>1079</v>
      </c>
      <c r="AB19" s="3190">
        <v>57041</v>
      </c>
      <c r="AC19" s="4653">
        <f>AB19*N19</f>
        <v>14260.25</v>
      </c>
      <c r="AD19" s="3190">
        <v>57731</v>
      </c>
      <c r="AE19" s="4653">
        <f>AD19*N19</f>
        <v>14432.75</v>
      </c>
      <c r="AF19" s="3190">
        <v>27907</v>
      </c>
      <c r="AG19" s="4653">
        <f>AF19*N19</f>
        <v>6976.75</v>
      </c>
      <c r="AH19" s="3190">
        <v>8963</v>
      </c>
      <c r="AI19" s="4653">
        <f>AH19*N19</f>
        <v>2240.75</v>
      </c>
      <c r="AJ19" s="3190">
        <v>60564</v>
      </c>
      <c r="AK19" s="3190">
        <f>AJ19*N19</f>
        <v>15141</v>
      </c>
      <c r="AL19" s="3190">
        <v>17338</v>
      </c>
      <c r="AM19" s="4653">
        <f>AL19*N19</f>
        <v>4334.5</v>
      </c>
      <c r="AN19" s="3190">
        <v>2145</v>
      </c>
      <c r="AO19" s="4653">
        <f>AN19*N19</f>
        <v>536.25</v>
      </c>
      <c r="AP19" s="3190">
        <v>12718</v>
      </c>
      <c r="AQ19" s="3190">
        <f>AP19*N19</f>
        <v>3179.5</v>
      </c>
      <c r="AR19" s="3190"/>
      <c r="AS19" s="3190"/>
      <c r="AT19" s="3190"/>
      <c r="AU19" s="3190"/>
      <c r="AV19" s="3190"/>
      <c r="AW19" s="3190"/>
      <c r="AX19" s="3190"/>
      <c r="AY19" s="3190"/>
      <c r="AZ19" s="3190"/>
      <c r="BA19" s="3190"/>
      <c r="BB19" s="3190"/>
      <c r="BC19" s="3190"/>
      <c r="BD19" s="3190"/>
      <c r="BE19" s="3190"/>
      <c r="BF19" s="3190"/>
      <c r="BG19" s="3190"/>
      <c r="BH19" s="3266">
        <v>5</v>
      </c>
      <c r="BI19" s="3261">
        <f>X25</f>
        <v>56400000</v>
      </c>
      <c r="BJ19" s="3261">
        <f>Y25</f>
        <v>7350000</v>
      </c>
      <c r="BK19" s="4925">
        <f>7350000/O19</f>
        <v>1.2108731466227348E-2</v>
      </c>
      <c r="BL19" s="3260" t="s">
        <v>1079</v>
      </c>
      <c r="BM19" s="3260" t="s">
        <v>1080</v>
      </c>
      <c r="BN19" s="3259">
        <v>43466</v>
      </c>
      <c r="BO19" s="3259">
        <v>43516</v>
      </c>
      <c r="BP19" s="3259">
        <v>43830</v>
      </c>
      <c r="BQ19" s="3259"/>
      <c r="BR19" s="3260" t="s">
        <v>1081</v>
      </c>
    </row>
    <row r="20" spans="1:70" ht="58.5" customHeight="1" x14ac:dyDescent="0.2">
      <c r="A20" s="3203"/>
      <c r="B20" s="3202"/>
      <c r="C20" s="3202"/>
      <c r="D20" s="3202"/>
      <c r="E20" s="3202"/>
      <c r="F20" s="3249"/>
      <c r="G20" s="3203"/>
      <c r="H20" s="3249"/>
      <c r="I20" s="3249"/>
      <c r="J20" s="3192"/>
      <c r="K20" s="3956"/>
      <c r="L20" s="3192"/>
      <c r="M20" s="3192"/>
      <c r="N20" s="4910"/>
      <c r="O20" s="3206"/>
      <c r="P20" s="3266"/>
      <c r="Q20" s="4911"/>
      <c r="R20" s="4914"/>
      <c r="S20" s="4916"/>
      <c r="T20" s="4917"/>
      <c r="U20" s="4919"/>
      <c r="V20" s="4922"/>
      <c r="W20" s="1235">
        <f>'[4]Metas y Proyectos'!O17</f>
        <v>100000000</v>
      </c>
      <c r="X20" s="1236">
        <v>0</v>
      </c>
      <c r="Y20" s="1236">
        <v>0</v>
      </c>
      <c r="Z20" s="1237">
        <v>23</v>
      </c>
      <c r="AA20" s="1238" t="s">
        <v>1082</v>
      </c>
      <c r="AB20" s="3191"/>
      <c r="AC20" s="4654"/>
      <c r="AD20" s="3191"/>
      <c r="AE20" s="4654"/>
      <c r="AF20" s="3191"/>
      <c r="AG20" s="4654"/>
      <c r="AH20" s="3191"/>
      <c r="AI20" s="4654"/>
      <c r="AJ20" s="3191"/>
      <c r="AK20" s="3191"/>
      <c r="AL20" s="3191"/>
      <c r="AM20" s="4654"/>
      <c r="AN20" s="3191"/>
      <c r="AO20" s="4654"/>
      <c r="AP20" s="3191"/>
      <c r="AQ20" s="3191"/>
      <c r="AR20" s="3191"/>
      <c r="AS20" s="3191"/>
      <c r="AT20" s="3191"/>
      <c r="AU20" s="3191"/>
      <c r="AV20" s="3191"/>
      <c r="AW20" s="3191"/>
      <c r="AX20" s="3191"/>
      <c r="AY20" s="3191"/>
      <c r="AZ20" s="3191"/>
      <c r="BA20" s="3191"/>
      <c r="BB20" s="3191"/>
      <c r="BC20" s="3191"/>
      <c r="BD20" s="3191"/>
      <c r="BE20" s="3191"/>
      <c r="BF20" s="3191"/>
      <c r="BG20" s="3191"/>
      <c r="BH20" s="3266"/>
      <c r="BI20" s="3261"/>
      <c r="BJ20" s="3261"/>
      <c r="BK20" s="3266"/>
      <c r="BL20" s="3260"/>
      <c r="BM20" s="3260"/>
      <c r="BN20" s="3259"/>
      <c r="BO20" s="3259"/>
      <c r="BP20" s="3259"/>
      <c r="BQ20" s="3259"/>
      <c r="BR20" s="3260"/>
    </row>
    <row r="21" spans="1:70" ht="63.75" customHeight="1" x14ac:dyDescent="0.2">
      <c r="A21" s="3203"/>
      <c r="B21" s="3202"/>
      <c r="C21" s="3202"/>
      <c r="D21" s="3202"/>
      <c r="E21" s="3202"/>
      <c r="F21" s="3249"/>
      <c r="G21" s="3203"/>
      <c r="H21" s="3249"/>
      <c r="I21" s="3249"/>
      <c r="J21" s="3190">
        <v>224</v>
      </c>
      <c r="K21" s="4912" t="s">
        <v>1083</v>
      </c>
      <c r="L21" s="3190" t="s">
        <v>18</v>
      </c>
      <c r="M21" s="3190">
        <v>1</v>
      </c>
      <c r="N21" s="3190">
        <v>0.54</v>
      </c>
      <c r="O21" s="3206"/>
      <c r="P21" s="3266"/>
      <c r="Q21" s="4911"/>
      <c r="R21" s="4913">
        <f>S21/O19</f>
        <v>3.459637561779242E-2</v>
      </c>
      <c r="S21" s="4915">
        <f>'[4]Metas y Proyectos'!O19+'[4]Metas y Proyectos'!O18</f>
        <v>21000000</v>
      </c>
      <c r="T21" s="4917"/>
      <c r="U21" s="4919"/>
      <c r="V21" s="4921" t="s">
        <v>1084</v>
      </c>
      <c r="W21" s="1236">
        <f>'[4]Metas y Proyectos'!O18</f>
        <v>14800000</v>
      </c>
      <c r="X21" s="1236">
        <v>0</v>
      </c>
      <c r="Y21" s="1236">
        <v>0</v>
      </c>
      <c r="Z21" s="1237">
        <v>88</v>
      </c>
      <c r="AA21" s="1238" t="s">
        <v>1079</v>
      </c>
      <c r="AB21" s="3191"/>
      <c r="AC21" s="4654"/>
      <c r="AD21" s="3191"/>
      <c r="AE21" s="4654"/>
      <c r="AF21" s="3191"/>
      <c r="AG21" s="4654"/>
      <c r="AH21" s="3191"/>
      <c r="AI21" s="4654"/>
      <c r="AJ21" s="3191"/>
      <c r="AK21" s="3191"/>
      <c r="AL21" s="3191"/>
      <c r="AM21" s="4654"/>
      <c r="AN21" s="3191"/>
      <c r="AO21" s="4654"/>
      <c r="AP21" s="3191"/>
      <c r="AQ21" s="3191"/>
      <c r="AR21" s="3191"/>
      <c r="AS21" s="3191"/>
      <c r="AT21" s="3191"/>
      <c r="AU21" s="3191"/>
      <c r="AV21" s="3191"/>
      <c r="AW21" s="3191"/>
      <c r="AX21" s="3191"/>
      <c r="AY21" s="3191"/>
      <c r="AZ21" s="3191"/>
      <c r="BA21" s="3191"/>
      <c r="BB21" s="3191"/>
      <c r="BC21" s="3191"/>
      <c r="BD21" s="3191"/>
      <c r="BE21" s="3191"/>
      <c r="BF21" s="3191"/>
      <c r="BG21" s="3191"/>
      <c r="BH21" s="3266"/>
      <c r="BI21" s="3261"/>
      <c r="BJ21" s="3261"/>
      <c r="BK21" s="3266"/>
      <c r="BL21" s="3260"/>
      <c r="BM21" s="3260"/>
      <c r="BN21" s="3259"/>
      <c r="BO21" s="3259"/>
      <c r="BP21" s="3259"/>
      <c r="BQ21" s="3259"/>
      <c r="BR21" s="3260"/>
    </row>
    <row r="22" spans="1:70" ht="63.75" customHeight="1" x14ac:dyDescent="0.2">
      <c r="A22" s="3203"/>
      <c r="B22" s="3202"/>
      <c r="C22" s="3202"/>
      <c r="D22" s="3202"/>
      <c r="E22" s="3202"/>
      <c r="F22" s="3249"/>
      <c r="G22" s="3203"/>
      <c r="H22" s="3202"/>
      <c r="I22" s="3202"/>
      <c r="J22" s="3192"/>
      <c r="K22" s="4926"/>
      <c r="L22" s="3192"/>
      <c r="M22" s="3192"/>
      <c r="N22" s="3192"/>
      <c r="O22" s="3206"/>
      <c r="P22" s="3190"/>
      <c r="Q22" s="4912"/>
      <c r="R22" s="4914"/>
      <c r="S22" s="4916"/>
      <c r="T22" s="4918"/>
      <c r="U22" s="4920"/>
      <c r="V22" s="4922"/>
      <c r="W22" s="1236">
        <f>'[4]Metas y Proyectos'!O19</f>
        <v>6200000</v>
      </c>
      <c r="X22" s="1236">
        <v>0</v>
      </c>
      <c r="Y22" s="1236">
        <v>0</v>
      </c>
      <c r="Z22" s="1237">
        <v>23</v>
      </c>
      <c r="AA22" s="1238" t="s">
        <v>1082</v>
      </c>
      <c r="AB22" s="3191"/>
      <c r="AC22" s="4654"/>
      <c r="AD22" s="3191"/>
      <c r="AE22" s="4654"/>
      <c r="AF22" s="3191"/>
      <c r="AG22" s="4654"/>
      <c r="AH22" s="3191"/>
      <c r="AI22" s="4654"/>
      <c r="AJ22" s="3191"/>
      <c r="AK22" s="3191"/>
      <c r="AL22" s="3191"/>
      <c r="AM22" s="4654"/>
      <c r="AN22" s="3191"/>
      <c r="AO22" s="4654"/>
      <c r="AP22" s="3191"/>
      <c r="AQ22" s="3191"/>
      <c r="AR22" s="3191"/>
      <c r="AS22" s="3191"/>
      <c r="AT22" s="3191"/>
      <c r="AU22" s="3191"/>
      <c r="AV22" s="3191"/>
      <c r="AW22" s="3191"/>
      <c r="AX22" s="3191"/>
      <c r="AY22" s="3191"/>
      <c r="AZ22" s="3191"/>
      <c r="BA22" s="3191"/>
      <c r="BB22" s="3191"/>
      <c r="BC22" s="3191"/>
      <c r="BD22" s="3191"/>
      <c r="BE22" s="3191"/>
      <c r="BF22" s="3191"/>
      <c r="BG22" s="3191"/>
      <c r="BH22" s="3266"/>
      <c r="BI22" s="3261"/>
      <c r="BJ22" s="3261"/>
      <c r="BK22" s="3266"/>
      <c r="BL22" s="3260"/>
      <c r="BM22" s="3260"/>
      <c r="BN22" s="3259"/>
      <c r="BO22" s="3259"/>
      <c r="BP22" s="3259"/>
      <c r="BQ22" s="3259"/>
      <c r="BR22" s="3260"/>
    </row>
    <row r="23" spans="1:70" ht="63.75" customHeight="1" x14ac:dyDescent="0.2">
      <c r="A23" s="3203"/>
      <c r="B23" s="3202"/>
      <c r="C23" s="3202"/>
      <c r="D23" s="3202"/>
      <c r="E23" s="3202"/>
      <c r="F23" s="3249"/>
      <c r="G23" s="3203"/>
      <c r="H23" s="3202"/>
      <c r="I23" s="3202"/>
      <c r="J23" s="3190">
        <v>225</v>
      </c>
      <c r="K23" s="4912" t="s">
        <v>1085</v>
      </c>
      <c r="L23" s="3190" t="s">
        <v>18</v>
      </c>
      <c r="M23" s="3190">
        <v>1</v>
      </c>
      <c r="N23" s="3190">
        <v>0</v>
      </c>
      <c r="O23" s="3206"/>
      <c r="P23" s="3190"/>
      <c r="Q23" s="4912"/>
      <c r="R23" s="4913">
        <f>S23/O19</f>
        <v>1.6474464579901153E-2</v>
      </c>
      <c r="S23" s="4915">
        <f>'[4]Metas y Proyectos'!O20+'[4]Metas y Proyectos'!O21</f>
        <v>10000000</v>
      </c>
      <c r="T23" s="4918"/>
      <c r="U23" s="4923" t="s">
        <v>1086</v>
      </c>
      <c r="V23" s="4921" t="s">
        <v>1087</v>
      </c>
      <c r="W23" s="1239">
        <f>'[4]Metas y Proyectos'!O20</f>
        <v>9200000</v>
      </c>
      <c r="X23" s="1236">
        <v>0</v>
      </c>
      <c r="Y23" s="1236">
        <v>0</v>
      </c>
      <c r="Z23" s="1237">
        <v>88</v>
      </c>
      <c r="AA23" s="1238" t="s">
        <v>1079</v>
      </c>
      <c r="AB23" s="3191"/>
      <c r="AC23" s="4654"/>
      <c r="AD23" s="3191"/>
      <c r="AE23" s="4654"/>
      <c r="AF23" s="3191"/>
      <c r="AG23" s="4654"/>
      <c r="AH23" s="3191"/>
      <c r="AI23" s="4654"/>
      <c r="AJ23" s="3191"/>
      <c r="AK23" s="3191"/>
      <c r="AL23" s="3191"/>
      <c r="AM23" s="4654"/>
      <c r="AN23" s="3191"/>
      <c r="AO23" s="4654"/>
      <c r="AP23" s="3191"/>
      <c r="AQ23" s="3191"/>
      <c r="AR23" s="3191"/>
      <c r="AS23" s="3191"/>
      <c r="AT23" s="3191"/>
      <c r="AU23" s="3191"/>
      <c r="AV23" s="3191"/>
      <c r="AW23" s="3191"/>
      <c r="AX23" s="3191"/>
      <c r="AY23" s="3191"/>
      <c r="AZ23" s="3191"/>
      <c r="BA23" s="3191"/>
      <c r="BB23" s="3191"/>
      <c r="BC23" s="3191"/>
      <c r="BD23" s="3191"/>
      <c r="BE23" s="3191"/>
      <c r="BF23" s="3191"/>
      <c r="BG23" s="3191"/>
      <c r="BH23" s="3266"/>
      <c r="BI23" s="3261"/>
      <c r="BJ23" s="3261"/>
      <c r="BK23" s="3266"/>
      <c r="BL23" s="3260"/>
      <c r="BM23" s="3260"/>
      <c r="BN23" s="3259"/>
      <c r="BO23" s="3259"/>
      <c r="BP23" s="3259"/>
      <c r="BQ23" s="3259"/>
      <c r="BR23" s="3260"/>
    </row>
    <row r="24" spans="1:70" ht="70.5" customHeight="1" thickBot="1" x14ac:dyDescent="0.25">
      <c r="A24" s="3203"/>
      <c r="B24" s="3202"/>
      <c r="C24" s="3202"/>
      <c r="D24" s="3202"/>
      <c r="E24" s="3202"/>
      <c r="F24" s="3249"/>
      <c r="G24" s="3203"/>
      <c r="H24" s="3202"/>
      <c r="I24" s="3202"/>
      <c r="J24" s="3192"/>
      <c r="K24" s="4926"/>
      <c r="L24" s="3192"/>
      <c r="M24" s="3192"/>
      <c r="N24" s="3192"/>
      <c r="O24" s="3206"/>
      <c r="P24" s="3190"/>
      <c r="Q24" s="4912"/>
      <c r="R24" s="4914"/>
      <c r="S24" s="4916"/>
      <c r="T24" s="4918"/>
      <c r="U24" s="4924"/>
      <c r="V24" s="4922"/>
      <c r="W24" s="1239">
        <f>'[4]Metas y Proyectos'!O21</f>
        <v>800000</v>
      </c>
      <c r="X24" s="1236">
        <v>0</v>
      </c>
      <c r="Y24" s="1236">
        <v>0</v>
      </c>
      <c r="Z24" s="1237">
        <v>23</v>
      </c>
      <c r="AA24" s="1238" t="s">
        <v>1082</v>
      </c>
      <c r="AB24" s="3192"/>
      <c r="AC24" s="4655"/>
      <c r="AD24" s="3192"/>
      <c r="AE24" s="4655"/>
      <c r="AF24" s="3192"/>
      <c r="AG24" s="4655"/>
      <c r="AH24" s="3192"/>
      <c r="AI24" s="4655"/>
      <c r="AJ24" s="3192"/>
      <c r="AK24" s="3192"/>
      <c r="AL24" s="3192"/>
      <c r="AM24" s="4655"/>
      <c r="AN24" s="3192"/>
      <c r="AO24" s="4655"/>
      <c r="AP24" s="3192"/>
      <c r="AQ24" s="3192"/>
      <c r="AR24" s="3192"/>
      <c r="AS24" s="3192"/>
      <c r="AT24" s="3192"/>
      <c r="AU24" s="3192"/>
      <c r="AV24" s="3192"/>
      <c r="AW24" s="3192"/>
      <c r="AX24" s="3192"/>
      <c r="AY24" s="3192"/>
      <c r="AZ24" s="3192"/>
      <c r="BA24" s="3192"/>
      <c r="BB24" s="3192"/>
      <c r="BC24" s="3192"/>
      <c r="BD24" s="3192"/>
      <c r="BE24" s="3192"/>
      <c r="BF24" s="3192"/>
      <c r="BG24" s="3192"/>
      <c r="BH24" s="3266"/>
      <c r="BI24" s="3261"/>
      <c r="BJ24" s="3261"/>
      <c r="BK24" s="3266"/>
      <c r="BL24" s="3260"/>
      <c r="BM24" s="3260"/>
      <c r="BN24" s="3259"/>
      <c r="BO24" s="3259"/>
      <c r="BP24" s="3259"/>
      <c r="BQ24" s="3259"/>
      <c r="BR24" s="3260"/>
    </row>
    <row r="25" spans="1:70" s="1243" customFormat="1" ht="15.75" thickBot="1" x14ac:dyDescent="0.3">
      <c r="A25" s="1240"/>
      <c r="B25" s="1241"/>
      <c r="C25" s="1241"/>
      <c r="D25" s="1241"/>
      <c r="E25" s="1242"/>
      <c r="G25" s="3879" t="s">
        <v>334</v>
      </c>
      <c r="H25" s="3879"/>
      <c r="I25" s="3879"/>
      <c r="J25" s="3879"/>
      <c r="K25" s="3879"/>
      <c r="L25" s="3879"/>
      <c r="M25" s="3879"/>
      <c r="N25" s="3879"/>
      <c r="O25" s="3879"/>
      <c r="P25" s="3879"/>
      <c r="Q25" s="3879"/>
      <c r="R25" s="3879"/>
      <c r="S25" s="1244"/>
      <c r="T25" s="101"/>
      <c r="U25" s="101"/>
      <c r="V25" s="349"/>
      <c r="W25" s="1245">
        <f>SUM(W19:W24)</f>
        <v>607000000</v>
      </c>
      <c r="X25" s="1246">
        <f>SUM(X19:X24)</f>
        <v>56400000</v>
      </c>
      <c r="Y25" s="1246">
        <f>SUM(Y19:Y24)</f>
        <v>7350000</v>
      </c>
      <c r="Z25" s="1247"/>
      <c r="AA25" s="1248"/>
      <c r="AB25" s="1248"/>
      <c r="AC25" s="1248"/>
      <c r="AD25" s="1248"/>
      <c r="AE25" s="1248"/>
      <c r="AF25" s="1248"/>
      <c r="AG25" s="1248"/>
      <c r="AH25" s="1248"/>
      <c r="AI25" s="1248"/>
      <c r="AJ25" s="1248"/>
      <c r="AK25" s="1248"/>
      <c r="AL25" s="1248"/>
      <c r="AM25" s="1248"/>
      <c r="AN25" s="1248"/>
      <c r="AO25" s="1248"/>
      <c r="AP25" s="1248"/>
      <c r="AQ25" s="1248"/>
      <c r="AR25" s="1248"/>
      <c r="AS25" s="1248"/>
      <c r="AT25" s="1248"/>
      <c r="AU25" s="1248"/>
      <c r="AV25" s="1248"/>
      <c r="AW25" s="1248"/>
      <c r="AX25" s="1248"/>
      <c r="AY25" s="1248"/>
      <c r="AZ25" s="1248"/>
      <c r="BA25" s="1248"/>
      <c r="BB25" s="1248"/>
      <c r="BC25" s="1248"/>
      <c r="BD25" s="1248"/>
      <c r="BE25" s="1248"/>
      <c r="BF25" s="1248"/>
      <c r="BG25" s="1248"/>
      <c r="BH25" s="1249"/>
      <c r="BI25" s="1249"/>
      <c r="BJ25" s="1249"/>
      <c r="BK25" s="1249"/>
      <c r="BL25" s="1249"/>
      <c r="BM25" s="1250"/>
      <c r="BN25" s="1251"/>
      <c r="BO25" s="1251"/>
      <c r="BP25" s="1252"/>
      <c r="BQ25" s="1252"/>
      <c r="BR25" s="1253"/>
    </row>
    <row r="26" spans="1:70" ht="14.25" customHeight="1" x14ac:dyDescent="0.2">
      <c r="S26" s="1254"/>
    </row>
    <row r="27" spans="1:70" ht="15" x14ac:dyDescent="0.25">
      <c r="S27" s="1255"/>
      <c r="W27" s="1256"/>
      <c r="X27" s="1257"/>
    </row>
    <row r="28" spans="1:70" x14ac:dyDescent="0.2">
      <c r="W28" s="1255"/>
    </row>
    <row r="31" spans="1:70" ht="15" x14ac:dyDescent="0.25">
      <c r="M31" s="1258"/>
      <c r="N31" s="1258"/>
      <c r="O31" s="1259"/>
      <c r="P31" s="1259"/>
    </row>
    <row r="32" spans="1:70" ht="15" x14ac:dyDescent="0.25">
      <c r="M32" s="1260" t="s">
        <v>1088</v>
      </c>
      <c r="N32" s="1260"/>
      <c r="O32" s="1260"/>
    </row>
  </sheetData>
  <sheetProtection password="F3F4" sheet="1" objects="1" scenarios="1"/>
  <mergeCells count="136">
    <mergeCell ref="G25:R25"/>
    <mergeCell ref="J23:J24"/>
    <mergeCell ref="K23:K24"/>
    <mergeCell ref="L23:L24"/>
    <mergeCell ref="M23:M24"/>
    <mergeCell ref="N23:N24"/>
    <mergeCell ref="R23:R24"/>
    <mergeCell ref="J21:J22"/>
    <mergeCell ref="K21:K22"/>
    <mergeCell ref="L21:L22"/>
    <mergeCell ref="M21:M22"/>
    <mergeCell ref="N21:N22"/>
    <mergeCell ref="R21:R22"/>
    <mergeCell ref="BM19:BM24"/>
    <mergeCell ref="BN19:BN24"/>
    <mergeCell ref="BO19:BO24"/>
    <mergeCell ref="BP19:BP24"/>
    <mergeCell ref="BQ19:BQ24"/>
    <mergeCell ref="BR19:BR24"/>
    <mergeCell ref="BG19:BG24"/>
    <mergeCell ref="BH19:BH24"/>
    <mergeCell ref="BI19:BI24"/>
    <mergeCell ref="BJ19:BJ24"/>
    <mergeCell ref="BK19:BK24"/>
    <mergeCell ref="BL19:BL24"/>
    <mergeCell ref="BA19:BA24"/>
    <mergeCell ref="BB19:BB24"/>
    <mergeCell ref="BC19:BC24"/>
    <mergeCell ref="BD19:BD24"/>
    <mergeCell ref="BE19:BE24"/>
    <mergeCell ref="BF19:BF24"/>
    <mergeCell ref="AU19:AU24"/>
    <mergeCell ref="AV19:AV24"/>
    <mergeCell ref="AW19:AW24"/>
    <mergeCell ref="AX19:AX24"/>
    <mergeCell ref="AY19:AY24"/>
    <mergeCell ref="AZ19:AZ24"/>
    <mergeCell ref="AO19:AO24"/>
    <mergeCell ref="AP19:AP24"/>
    <mergeCell ref="AQ19:AQ24"/>
    <mergeCell ref="AR19:AR24"/>
    <mergeCell ref="AS19:AS24"/>
    <mergeCell ref="AT19:AT24"/>
    <mergeCell ref="AI19:AI24"/>
    <mergeCell ref="AJ19:AJ24"/>
    <mergeCell ref="AK19:AK24"/>
    <mergeCell ref="AL19:AL24"/>
    <mergeCell ref="AM19:AM24"/>
    <mergeCell ref="AN19:AN24"/>
    <mergeCell ref="AC19:AC24"/>
    <mergeCell ref="AD19:AD24"/>
    <mergeCell ref="AE19:AE24"/>
    <mergeCell ref="AF19:AF24"/>
    <mergeCell ref="AG19:AG24"/>
    <mergeCell ref="AH19:AH24"/>
    <mergeCell ref="R19:R20"/>
    <mergeCell ref="S19:S20"/>
    <mergeCell ref="T19:T24"/>
    <mergeCell ref="U19:U22"/>
    <mergeCell ref="V19:V20"/>
    <mergeCell ref="AB19:AB24"/>
    <mergeCell ref="S21:S22"/>
    <mergeCell ref="V21:V22"/>
    <mergeCell ref="S23:S24"/>
    <mergeCell ref="U23:U24"/>
    <mergeCell ref="V23:V24"/>
    <mergeCell ref="L19:L20"/>
    <mergeCell ref="M19:M20"/>
    <mergeCell ref="N19:N20"/>
    <mergeCell ref="O19:O24"/>
    <mergeCell ref="P19:P24"/>
    <mergeCell ref="Q19:Q24"/>
    <mergeCell ref="BL8:BL9"/>
    <mergeCell ref="BM8:BM9"/>
    <mergeCell ref="A17:A24"/>
    <mergeCell ref="B17:C24"/>
    <mergeCell ref="D18:D24"/>
    <mergeCell ref="E18:F24"/>
    <mergeCell ref="G19:G24"/>
    <mergeCell ref="H19:I24"/>
    <mergeCell ref="J19:J20"/>
    <mergeCell ref="K19:K20"/>
    <mergeCell ref="BB8:BC8"/>
    <mergeCell ref="BD8:BE8"/>
    <mergeCell ref="BH8:BH9"/>
    <mergeCell ref="BI8:BI9"/>
    <mergeCell ref="BJ8:BJ9"/>
    <mergeCell ref="BK8:BK9"/>
    <mergeCell ref="V7:V15"/>
    <mergeCell ref="W7:Y8"/>
    <mergeCell ref="T7:T15"/>
    <mergeCell ref="U7:U15"/>
    <mergeCell ref="BR7:BR15"/>
    <mergeCell ref="AB8:AC8"/>
    <mergeCell ref="AD8:AE8"/>
    <mergeCell ref="AF8:AG8"/>
    <mergeCell ref="AH8:AI8"/>
    <mergeCell ref="AJ8:AK8"/>
    <mergeCell ref="AL8:AM8"/>
    <mergeCell ref="AN8:AO8"/>
    <mergeCell ref="AP8:AQ8"/>
    <mergeCell ref="AR8:AS8"/>
    <mergeCell ref="AN7:AY7"/>
    <mergeCell ref="AZ7:BE7"/>
    <mergeCell ref="BF7:BG8"/>
    <mergeCell ref="BH7:BM7"/>
    <mergeCell ref="BN7:BO8"/>
    <mergeCell ref="BP7:BQ8"/>
    <mergeCell ref="AT8:AU8"/>
    <mergeCell ref="AV8:AW8"/>
    <mergeCell ref="AX8:AY8"/>
    <mergeCell ref="AZ8:BA8"/>
    <mergeCell ref="H7:I15"/>
    <mergeCell ref="J7:J15"/>
    <mergeCell ref="K7:K15"/>
    <mergeCell ref="L7:L15"/>
    <mergeCell ref="M7:N8"/>
    <mergeCell ref="O7:O15"/>
    <mergeCell ref="A1:BP4"/>
    <mergeCell ref="A5:M6"/>
    <mergeCell ref="Q5:BR5"/>
    <mergeCell ref="Q6:AA6"/>
    <mergeCell ref="BN6:BR6"/>
    <mergeCell ref="A7:A15"/>
    <mergeCell ref="B7:C15"/>
    <mergeCell ref="D7:D15"/>
    <mergeCell ref="E7:F15"/>
    <mergeCell ref="G7:G15"/>
    <mergeCell ref="Z7:Z9"/>
    <mergeCell ref="AA7:AA15"/>
    <mergeCell ref="AB7:AE7"/>
    <mergeCell ref="AF7:AM7"/>
    <mergeCell ref="P7:P9"/>
    <mergeCell ref="Q7:Q15"/>
    <mergeCell ref="R7:R15"/>
    <mergeCell ref="S7:S15"/>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53"/>
  <sheetViews>
    <sheetView showGridLines="0" zoomScale="50" zoomScaleNormal="50" workbookViewId="0">
      <selection activeCell="G15" sqref="G15"/>
    </sheetView>
  </sheetViews>
  <sheetFormatPr baseColWidth="10" defaultColWidth="20.5703125" defaultRowHeight="39.75" customHeight="1" x14ac:dyDescent="0.2"/>
  <cols>
    <col min="1" max="1" width="23.28515625" style="2067" customWidth="1"/>
    <col min="2" max="2" width="7.42578125" style="1926" customWidth="1"/>
    <col min="3" max="3" width="20" style="1926" customWidth="1"/>
    <col min="4" max="4" width="17" style="1926" customWidth="1"/>
    <col min="5" max="5" width="12.85546875" style="1926" customWidth="1"/>
    <col min="6" max="6" width="9.28515625" style="1926" customWidth="1"/>
    <col min="7" max="7" width="15.42578125" style="1926" customWidth="1"/>
    <col min="8" max="8" width="9.28515625" style="1926" customWidth="1"/>
    <col min="9" max="9" width="20" style="1926" customWidth="1"/>
    <col min="10" max="10" width="18.5703125" style="1854" customWidth="1"/>
    <col min="11" max="11" width="30.5703125" style="2103" customWidth="1"/>
    <col min="12" max="12" width="30.85546875" style="1924" customWidth="1"/>
    <col min="13" max="14" width="21.85546875" style="1924" customWidth="1"/>
    <col min="15" max="15" width="39.5703125" style="2104" customWidth="1"/>
    <col min="16" max="16" width="21.28515625" style="2104" customWidth="1"/>
    <col min="17" max="17" width="26.42578125" style="2103" customWidth="1"/>
    <col min="18" max="18" width="18.28515625" style="2105" customWidth="1"/>
    <col min="19" max="19" width="27.7109375" style="2106" customWidth="1"/>
    <col min="20" max="20" width="53.140625" style="2103" customWidth="1"/>
    <col min="21" max="21" width="58" style="2103" customWidth="1"/>
    <col min="22" max="22" width="70.85546875" style="2103" customWidth="1"/>
    <col min="23" max="23" width="28" style="1914" customWidth="1"/>
    <col min="24" max="24" width="30.85546875" style="1914" customWidth="1"/>
    <col min="25" max="25" width="31.140625" style="1914" customWidth="1"/>
    <col min="26" max="26" width="15.5703125" style="2108" customWidth="1"/>
    <col min="27" max="27" width="20.7109375" style="1853" customWidth="1"/>
    <col min="28" max="29" width="13.42578125" style="1846" customWidth="1"/>
    <col min="30" max="31" width="13.42578125" style="2109" customWidth="1"/>
    <col min="32" max="58" width="13.42578125" style="1846" customWidth="1"/>
    <col min="59" max="59" width="15.85546875" style="1846" customWidth="1"/>
    <col min="60" max="60" width="21.5703125" style="1846" customWidth="1"/>
    <col min="61" max="62" width="31" style="1846" customWidth="1"/>
    <col min="63" max="63" width="23" style="1846" customWidth="1"/>
    <col min="64" max="64" width="22.28515625" style="1846" customWidth="1"/>
    <col min="65" max="65" width="25.140625" style="1846" customWidth="1"/>
    <col min="66" max="67" width="19.7109375" style="2110" customWidth="1"/>
    <col min="68" max="69" width="19.7109375" style="1843" customWidth="1"/>
    <col min="70" max="70" width="24.42578125" style="1969" customWidth="1"/>
    <col min="71" max="16384" width="20.5703125" style="1846"/>
  </cols>
  <sheetData>
    <row r="1" spans="1:90" ht="20.25" customHeight="1" x14ac:dyDescent="0.2">
      <c r="A1" s="2788" t="s">
        <v>1660</v>
      </c>
      <c r="B1" s="2788"/>
      <c r="C1" s="2788"/>
      <c r="D1" s="2788"/>
      <c r="E1" s="2788"/>
      <c r="F1" s="2788"/>
      <c r="G1" s="2788"/>
      <c r="H1" s="2788"/>
      <c r="I1" s="2788"/>
      <c r="J1" s="2788"/>
      <c r="K1" s="2788"/>
      <c r="L1" s="2788"/>
      <c r="M1" s="2788"/>
      <c r="N1" s="2788"/>
      <c r="O1" s="2788"/>
      <c r="P1" s="2788"/>
      <c r="Q1" s="2788"/>
      <c r="R1" s="2788"/>
      <c r="S1" s="2788"/>
      <c r="T1" s="2788"/>
      <c r="U1" s="2788"/>
      <c r="V1" s="2788"/>
      <c r="W1" s="2788"/>
      <c r="X1" s="2788"/>
      <c r="Y1" s="2788"/>
      <c r="Z1" s="2788"/>
      <c r="AA1" s="2788"/>
      <c r="AB1" s="2788"/>
      <c r="AC1" s="2788"/>
      <c r="AD1" s="2788"/>
      <c r="AE1" s="2788"/>
      <c r="AF1" s="2788"/>
      <c r="AG1" s="2788"/>
      <c r="AH1" s="2788"/>
      <c r="AI1" s="2788"/>
      <c r="AJ1" s="2788"/>
      <c r="AK1" s="2788"/>
      <c r="AL1" s="2788"/>
      <c r="AM1" s="2788"/>
      <c r="AN1" s="2788"/>
      <c r="AO1" s="2788"/>
      <c r="AP1" s="2788"/>
      <c r="AQ1" s="2788"/>
      <c r="AR1" s="2788"/>
      <c r="AS1" s="2788"/>
      <c r="AT1" s="2788"/>
      <c r="AU1" s="2788"/>
      <c r="AV1" s="2788"/>
      <c r="AW1" s="2788"/>
      <c r="AX1" s="2788"/>
      <c r="AY1" s="2788"/>
      <c r="AZ1" s="2788"/>
      <c r="BA1" s="2788"/>
      <c r="BB1" s="2788"/>
      <c r="BC1" s="2788"/>
      <c r="BD1" s="2788"/>
      <c r="BE1" s="2788"/>
      <c r="BF1" s="2788"/>
      <c r="BG1" s="2788"/>
      <c r="BH1" s="2788"/>
      <c r="BI1" s="2788"/>
      <c r="BJ1" s="2788"/>
      <c r="BK1" s="2788"/>
      <c r="BL1" s="2788"/>
      <c r="BM1" s="2788"/>
      <c r="BN1" s="2788"/>
      <c r="BO1" s="1842"/>
      <c r="BQ1" s="1844" t="s">
        <v>1</v>
      </c>
      <c r="BR1" s="1844" t="s">
        <v>2</v>
      </c>
      <c r="BS1" s="1845"/>
      <c r="BT1" s="1845"/>
      <c r="BU1" s="1845"/>
      <c r="BV1" s="1845"/>
      <c r="BW1" s="1845"/>
      <c r="BX1" s="1845"/>
      <c r="BY1" s="1845"/>
      <c r="BZ1" s="1845"/>
      <c r="CA1" s="1845"/>
      <c r="CB1" s="1845"/>
      <c r="CC1" s="1845"/>
      <c r="CD1" s="1845"/>
      <c r="CE1" s="1845"/>
      <c r="CF1" s="1845"/>
      <c r="CG1" s="1845"/>
      <c r="CH1" s="1845"/>
      <c r="CI1" s="1845"/>
      <c r="CJ1" s="1845"/>
      <c r="CK1" s="1845"/>
      <c r="CL1" s="1845"/>
    </row>
    <row r="2" spans="1:90" ht="24.75" customHeight="1" x14ac:dyDescent="0.2">
      <c r="A2" s="2788"/>
      <c r="B2" s="2788"/>
      <c r="C2" s="2788"/>
      <c r="D2" s="2788"/>
      <c r="E2" s="2788"/>
      <c r="F2" s="2788"/>
      <c r="G2" s="2788"/>
      <c r="H2" s="2788"/>
      <c r="I2" s="2788"/>
      <c r="J2" s="2788"/>
      <c r="K2" s="2788"/>
      <c r="L2" s="2788"/>
      <c r="M2" s="2788"/>
      <c r="N2" s="2788"/>
      <c r="O2" s="2788"/>
      <c r="P2" s="2788"/>
      <c r="Q2" s="2788"/>
      <c r="R2" s="2788"/>
      <c r="S2" s="2788"/>
      <c r="T2" s="2788"/>
      <c r="U2" s="2788"/>
      <c r="V2" s="2788"/>
      <c r="W2" s="2788"/>
      <c r="X2" s="2788"/>
      <c r="Y2" s="2788"/>
      <c r="Z2" s="2788"/>
      <c r="AA2" s="2788"/>
      <c r="AB2" s="2788"/>
      <c r="AC2" s="2788"/>
      <c r="AD2" s="2788"/>
      <c r="AE2" s="2788"/>
      <c r="AF2" s="2788"/>
      <c r="AG2" s="2788"/>
      <c r="AH2" s="2788"/>
      <c r="AI2" s="2788"/>
      <c r="AJ2" s="2788"/>
      <c r="AK2" s="2788"/>
      <c r="AL2" s="2788"/>
      <c r="AM2" s="2788"/>
      <c r="AN2" s="2788"/>
      <c r="AO2" s="2788"/>
      <c r="AP2" s="2788"/>
      <c r="AQ2" s="2788"/>
      <c r="AR2" s="2788"/>
      <c r="AS2" s="2788"/>
      <c r="AT2" s="2788"/>
      <c r="AU2" s="2788"/>
      <c r="AV2" s="2788"/>
      <c r="AW2" s="2788"/>
      <c r="AX2" s="2788"/>
      <c r="AY2" s="2788"/>
      <c r="AZ2" s="2788"/>
      <c r="BA2" s="2788"/>
      <c r="BB2" s="2788"/>
      <c r="BC2" s="2788"/>
      <c r="BD2" s="2788"/>
      <c r="BE2" s="2788"/>
      <c r="BF2" s="2788"/>
      <c r="BG2" s="2788"/>
      <c r="BH2" s="2788"/>
      <c r="BI2" s="2788"/>
      <c r="BJ2" s="2788"/>
      <c r="BK2" s="2788"/>
      <c r="BL2" s="2788"/>
      <c r="BM2" s="2788"/>
      <c r="BN2" s="2788"/>
      <c r="BO2" s="1842"/>
      <c r="BQ2" s="1847" t="s">
        <v>3</v>
      </c>
      <c r="BR2" s="1844" t="s">
        <v>127</v>
      </c>
      <c r="BS2" s="1845"/>
      <c r="BT2" s="1845"/>
      <c r="BU2" s="1845"/>
      <c r="BV2" s="1845"/>
      <c r="BW2" s="1845"/>
      <c r="BX2" s="1845"/>
      <c r="BY2" s="1845"/>
      <c r="BZ2" s="1845"/>
      <c r="CA2" s="1845"/>
      <c r="CB2" s="1845"/>
      <c r="CC2" s="1845"/>
      <c r="CD2" s="1845"/>
      <c r="CE2" s="1845"/>
      <c r="CF2" s="1845"/>
      <c r="CG2" s="1845"/>
      <c r="CH2" s="1845"/>
      <c r="CI2" s="1845"/>
      <c r="CJ2" s="1845"/>
      <c r="CK2" s="1845"/>
      <c r="CL2" s="1845"/>
    </row>
    <row r="3" spans="1:90" ht="13.5" customHeight="1" x14ac:dyDescent="0.2">
      <c r="A3" s="2788"/>
      <c r="B3" s="2788"/>
      <c r="C3" s="2788"/>
      <c r="D3" s="2788"/>
      <c r="E3" s="2788"/>
      <c r="F3" s="2788"/>
      <c r="G3" s="2788"/>
      <c r="H3" s="2788"/>
      <c r="I3" s="2788"/>
      <c r="J3" s="2788"/>
      <c r="K3" s="2788"/>
      <c r="L3" s="2788"/>
      <c r="M3" s="2788"/>
      <c r="N3" s="2788"/>
      <c r="O3" s="2788"/>
      <c r="P3" s="2788"/>
      <c r="Q3" s="2788"/>
      <c r="R3" s="2788"/>
      <c r="S3" s="2788"/>
      <c r="T3" s="2788"/>
      <c r="U3" s="2788"/>
      <c r="V3" s="2788"/>
      <c r="W3" s="2788"/>
      <c r="X3" s="2788"/>
      <c r="Y3" s="2788"/>
      <c r="Z3" s="2788"/>
      <c r="AA3" s="2788"/>
      <c r="AB3" s="2788"/>
      <c r="AC3" s="2788"/>
      <c r="AD3" s="2788"/>
      <c r="AE3" s="2788"/>
      <c r="AF3" s="2788"/>
      <c r="AG3" s="2788"/>
      <c r="AH3" s="2788"/>
      <c r="AI3" s="2788"/>
      <c r="AJ3" s="2788"/>
      <c r="AK3" s="2788"/>
      <c r="AL3" s="2788"/>
      <c r="AM3" s="2788"/>
      <c r="AN3" s="2788"/>
      <c r="AO3" s="2788"/>
      <c r="AP3" s="2788"/>
      <c r="AQ3" s="2788"/>
      <c r="AR3" s="2788"/>
      <c r="AS3" s="2788"/>
      <c r="AT3" s="2788"/>
      <c r="AU3" s="2788"/>
      <c r="AV3" s="2788"/>
      <c r="AW3" s="2788"/>
      <c r="AX3" s="2788"/>
      <c r="AY3" s="2788"/>
      <c r="AZ3" s="2788"/>
      <c r="BA3" s="2788"/>
      <c r="BB3" s="2788"/>
      <c r="BC3" s="2788"/>
      <c r="BD3" s="2788"/>
      <c r="BE3" s="2788"/>
      <c r="BF3" s="2788"/>
      <c r="BG3" s="2788"/>
      <c r="BH3" s="2788"/>
      <c r="BI3" s="2788"/>
      <c r="BJ3" s="2788"/>
      <c r="BK3" s="2788"/>
      <c r="BL3" s="2788"/>
      <c r="BM3" s="2788"/>
      <c r="BN3" s="2788"/>
      <c r="BO3" s="1842"/>
      <c r="BQ3" s="1844" t="s">
        <v>4</v>
      </c>
      <c r="BR3" s="1848" t="s">
        <v>5</v>
      </c>
      <c r="BS3" s="1845"/>
      <c r="BT3" s="1845"/>
      <c r="BU3" s="1845"/>
      <c r="BV3" s="1845"/>
      <c r="BW3" s="1845"/>
      <c r="BX3" s="1845"/>
      <c r="BY3" s="1845"/>
      <c r="BZ3" s="1845"/>
      <c r="CA3" s="1845"/>
      <c r="CB3" s="1845"/>
      <c r="CC3" s="1845"/>
      <c r="CD3" s="1845"/>
      <c r="CE3" s="1845"/>
      <c r="CF3" s="1845"/>
      <c r="CG3" s="1845"/>
      <c r="CH3" s="1845"/>
      <c r="CI3" s="1845"/>
      <c r="CJ3" s="1845"/>
      <c r="CK3" s="1845"/>
      <c r="CL3" s="1845"/>
    </row>
    <row r="4" spans="1:90" ht="20.25" customHeight="1" x14ac:dyDescent="0.2">
      <c r="A4" s="2789"/>
      <c r="B4" s="2789"/>
      <c r="C4" s="2789"/>
      <c r="D4" s="2789"/>
      <c r="E4" s="2789"/>
      <c r="F4" s="2789"/>
      <c r="G4" s="2789"/>
      <c r="H4" s="2789"/>
      <c r="I4" s="2789"/>
      <c r="J4" s="2789"/>
      <c r="K4" s="2789"/>
      <c r="L4" s="2789"/>
      <c r="M4" s="2789"/>
      <c r="N4" s="2789"/>
      <c r="O4" s="2789"/>
      <c r="P4" s="2789"/>
      <c r="Q4" s="2789"/>
      <c r="R4" s="2789"/>
      <c r="S4" s="2789"/>
      <c r="T4" s="2789"/>
      <c r="U4" s="2789"/>
      <c r="V4" s="2789"/>
      <c r="W4" s="2789"/>
      <c r="X4" s="2789"/>
      <c r="Y4" s="2789"/>
      <c r="Z4" s="2789"/>
      <c r="AA4" s="2789"/>
      <c r="AB4" s="2789"/>
      <c r="AC4" s="2789"/>
      <c r="AD4" s="2789"/>
      <c r="AE4" s="2789"/>
      <c r="AF4" s="2789"/>
      <c r="AG4" s="2789"/>
      <c r="AH4" s="2789"/>
      <c r="AI4" s="2789"/>
      <c r="AJ4" s="2789"/>
      <c r="AK4" s="2789"/>
      <c r="AL4" s="2789"/>
      <c r="AM4" s="2789"/>
      <c r="AN4" s="2789"/>
      <c r="AO4" s="2789"/>
      <c r="AP4" s="2789"/>
      <c r="AQ4" s="2789"/>
      <c r="AR4" s="2789"/>
      <c r="AS4" s="2789"/>
      <c r="AT4" s="2789"/>
      <c r="AU4" s="2789"/>
      <c r="AV4" s="2789"/>
      <c r="AW4" s="2789"/>
      <c r="AX4" s="2789"/>
      <c r="AY4" s="2789"/>
      <c r="AZ4" s="2789"/>
      <c r="BA4" s="2789"/>
      <c r="BB4" s="2789"/>
      <c r="BC4" s="2789"/>
      <c r="BD4" s="2789"/>
      <c r="BE4" s="2789"/>
      <c r="BF4" s="2789"/>
      <c r="BG4" s="2789"/>
      <c r="BH4" s="2789"/>
      <c r="BI4" s="2789"/>
      <c r="BJ4" s="2789"/>
      <c r="BK4" s="2789"/>
      <c r="BL4" s="2789"/>
      <c r="BM4" s="2789"/>
      <c r="BN4" s="2789"/>
      <c r="BO4" s="1849"/>
      <c r="BQ4" s="1844" t="s">
        <v>6</v>
      </c>
      <c r="BR4" s="1850" t="s">
        <v>128</v>
      </c>
      <c r="BS4" s="1845"/>
      <c r="BT4" s="1845"/>
      <c r="BU4" s="1845"/>
      <c r="BV4" s="1845"/>
      <c r="BW4" s="1845"/>
      <c r="BX4" s="1845"/>
      <c r="BY4" s="1845"/>
      <c r="BZ4" s="1845"/>
      <c r="CA4" s="1845"/>
      <c r="CB4" s="1845"/>
      <c r="CC4" s="1845"/>
      <c r="CD4" s="1845"/>
      <c r="CE4" s="1845"/>
      <c r="CF4" s="1845"/>
      <c r="CG4" s="1845"/>
      <c r="CH4" s="1845"/>
      <c r="CI4" s="1845"/>
      <c r="CJ4" s="1845"/>
      <c r="CK4" s="1845"/>
      <c r="CL4" s="1845"/>
    </row>
    <row r="5" spans="1:90" ht="58.5" customHeight="1" thickBot="1" x14ac:dyDescent="0.25">
      <c r="A5" s="2790" t="s">
        <v>8</v>
      </c>
      <c r="B5" s="2790"/>
      <c r="C5" s="2790"/>
      <c r="D5" s="2790"/>
      <c r="E5" s="2790"/>
      <c r="F5" s="2790"/>
      <c r="G5" s="2790"/>
      <c r="H5" s="2790"/>
      <c r="I5" s="2790"/>
      <c r="J5" s="2790"/>
      <c r="K5" s="2790"/>
      <c r="L5" s="2790"/>
      <c r="M5" s="2790"/>
      <c r="N5" s="1851"/>
      <c r="O5" s="2791" t="s">
        <v>9</v>
      </c>
      <c r="P5" s="2791"/>
      <c r="Q5" s="2791"/>
      <c r="R5" s="2791"/>
      <c r="S5" s="2791"/>
      <c r="T5" s="2791"/>
      <c r="U5" s="2791"/>
      <c r="V5" s="2791"/>
      <c r="W5" s="2791"/>
      <c r="X5" s="2791"/>
      <c r="Y5" s="2791"/>
      <c r="Z5" s="2791"/>
      <c r="AA5" s="2791"/>
      <c r="AB5" s="2791"/>
      <c r="AC5" s="2791"/>
      <c r="AD5" s="2791"/>
      <c r="AE5" s="2791"/>
      <c r="AF5" s="2791"/>
      <c r="AG5" s="2791"/>
      <c r="AH5" s="2791"/>
      <c r="AI5" s="2791"/>
      <c r="AJ5" s="2791"/>
      <c r="AK5" s="2791"/>
      <c r="AL5" s="2791"/>
      <c r="AM5" s="2791"/>
      <c r="AN5" s="2791"/>
      <c r="AO5" s="2791"/>
      <c r="AP5" s="2791"/>
      <c r="AQ5" s="2791"/>
      <c r="AR5" s="2791"/>
      <c r="AS5" s="2791"/>
      <c r="AT5" s="2791"/>
      <c r="AU5" s="2791"/>
      <c r="AV5" s="2791"/>
      <c r="AW5" s="2791"/>
      <c r="AX5" s="2791"/>
      <c r="AY5" s="2791"/>
      <c r="AZ5" s="2791"/>
      <c r="BA5" s="2791"/>
      <c r="BB5" s="2791"/>
      <c r="BC5" s="2791"/>
      <c r="BD5" s="2791"/>
      <c r="BE5" s="2791"/>
      <c r="BF5" s="2791"/>
      <c r="BG5" s="2791"/>
      <c r="BH5" s="2791"/>
      <c r="BI5" s="2791"/>
      <c r="BJ5" s="2791"/>
      <c r="BK5" s="2791"/>
      <c r="BL5" s="2791"/>
      <c r="BM5" s="2791"/>
      <c r="BN5" s="2791"/>
      <c r="BO5" s="2791"/>
      <c r="BP5" s="2791"/>
      <c r="BQ5" s="2791"/>
      <c r="BR5" s="2791"/>
      <c r="BS5" s="1845"/>
      <c r="BT5" s="1845"/>
      <c r="BU5" s="1845"/>
      <c r="BV5" s="1845"/>
      <c r="BW5" s="1845"/>
      <c r="BX5" s="1845"/>
      <c r="BY5" s="1845"/>
      <c r="BZ5" s="1845"/>
      <c r="CA5" s="1845"/>
      <c r="CB5" s="1845"/>
      <c r="CC5" s="1845"/>
      <c r="CD5" s="1845"/>
      <c r="CE5" s="1845"/>
      <c r="CF5" s="1845"/>
      <c r="CG5" s="1845"/>
      <c r="CH5" s="1845"/>
      <c r="CI5" s="1845"/>
      <c r="CJ5" s="1845"/>
      <c r="CK5" s="1845"/>
      <c r="CL5" s="1845"/>
    </row>
    <row r="6" spans="1:90" ht="27.75" customHeight="1" x14ac:dyDescent="0.2">
      <c r="A6" s="2792" t="s">
        <v>10</v>
      </c>
      <c r="B6" s="2794" t="s">
        <v>11</v>
      </c>
      <c r="C6" s="2795"/>
      <c r="D6" s="2798" t="s">
        <v>10</v>
      </c>
      <c r="E6" s="2794" t="s">
        <v>12</v>
      </c>
      <c r="F6" s="2795"/>
      <c r="G6" s="2798" t="s">
        <v>10</v>
      </c>
      <c r="H6" s="2794" t="s">
        <v>13</v>
      </c>
      <c r="I6" s="2795"/>
      <c r="J6" s="2798" t="s">
        <v>10</v>
      </c>
      <c r="K6" s="2798" t="s">
        <v>14</v>
      </c>
      <c r="L6" s="2798" t="s">
        <v>15</v>
      </c>
      <c r="M6" s="2836" t="s">
        <v>16</v>
      </c>
      <c r="N6" s="2836"/>
      <c r="O6" s="2798" t="s">
        <v>17</v>
      </c>
      <c r="P6" s="2798" t="s">
        <v>130</v>
      </c>
      <c r="Q6" s="2798" t="s">
        <v>9</v>
      </c>
      <c r="R6" s="2826" t="s">
        <v>19</v>
      </c>
      <c r="S6" s="2828" t="s">
        <v>20</v>
      </c>
      <c r="T6" s="2798" t="s">
        <v>21</v>
      </c>
      <c r="U6" s="2798" t="s">
        <v>22</v>
      </c>
      <c r="V6" s="2798" t="s">
        <v>23</v>
      </c>
      <c r="W6" s="2830" t="s">
        <v>20</v>
      </c>
      <c r="X6" s="2831"/>
      <c r="Y6" s="2832"/>
      <c r="Z6" s="2792" t="s">
        <v>10</v>
      </c>
      <c r="AA6" s="2798" t="s">
        <v>24</v>
      </c>
      <c r="AB6" s="2810" t="s">
        <v>25</v>
      </c>
      <c r="AC6" s="2811"/>
      <c r="AD6" s="2811"/>
      <c r="AE6" s="1121"/>
      <c r="AF6" s="2812" t="s">
        <v>26</v>
      </c>
      <c r="AG6" s="2813"/>
      <c r="AH6" s="2813"/>
      <c r="AI6" s="2813"/>
      <c r="AJ6" s="2813"/>
      <c r="AK6" s="2813"/>
      <c r="AL6" s="2813"/>
      <c r="AM6" s="1122"/>
      <c r="AN6" s="2814" t="s">
        <v>27</v>
      </c>
      <c r="AO6" s="2815"/>
      <c r="AP6" s="2815"/>
      <c r="AQ6" s="2815"/>
      <c r="AR6" s="2815"/>
      <c r="AS6" s="2815"/>
      <c r="AT6" s="2815"/>
      <c r="AU6" s="2815"/>
      <c r="AV6" s="2815"/>
      <c r="AW6" s="2815"/>
      <c r="AX6" s="2815"/>
      <c r="AY6" s="1852"/>
      <c r="AZ6" s="2812" t="s">
        <v>28</v>
      </c>
      <c r="BA6" s="2813"/>
      <c r="BB6" s="2813"/>
      <c r="BC6" s="2813"/>
      <c r="BD6" s="2813"/>
      <c r="BE6" s="2816"/>
      <c r="BF6" s="2817" t="s">
        <v>29</v>
      </c>
      <c r="BG6" s="2818"/>
      <c r="BH6" s="2711" t="s">
        <v>30</v>
      </c>
      <c r="BI6" s="2712"/>
      <c r="BJ6" s="2712"/>
      <c r="BK6" s="2712"/>
      <c r="BL6" s="2712"/>
      <c r="BM6" s="2713"/>
      <c r="BN6" s="2800" t="s">
        <v>31</v>
      </c>
      <c r="BO6" s="2801"/>
      <c r="BP6" s="2800" t="s">
        <v>32</v>
      </c>
      <c r="BQ6" s="2801"/>
      <c r="BR6" s="2804" t="s">
        <v>33</v>
      </c>
      <c r="BS6" s="1845"/>
      <c r="BT6" s="1845"/>
      <c r="BU6" s="1845"/>
      <c r="BV6" s="1845"/>
      <c r="BW6" s="1845"/>
      <c r="BX6" s="1845"/>
      <c r="BY6" s="1845"/>
      <c r="BZ6" s="1845"/>
      <c r="CA6" s="1845"/>
      <c r="CB6" s="1845"/>
      <c r="CC6" s="1845"/>
      <c r="CD6" s="1845"/>
      <c r="CE6" s="1845"/>
      <c r="CF6" s="1845"/>
      <c r="CG6" s="1845"/>
      <c r="CH6" s="1845"/>
      <c r="CI6" s="1845"/>
      <c r="CJ6" s="1845"/>
      <c r="CK6" s="1845"/>
      <c r="CL6" s="1845"/>
    </row>
    <row r="7" spans="1:90" s="1854" customFormat="1" ht="130.5" customHeight="1" x14ac:dyDescent="0.25">
      <c r="A7" s="2793"/>
      <c r="B7" s="2796"/>
      <c r="C7" s="2797"/>
      <c r="D7" s="2799"/>
      <c r="E7" s="2796"/>
      <c r="F7" s="2797"/>
      <c r="G7" s="2799"/>
      <c r="H7" s="2796"/>
      <c r="I7" s="2797"/>
      <c r="J7" s="2799"/>
      <c r="K7" s="2799"/>
      <c r="L7" s="2799"/>
      <c r="M7" s="2836"/>
      <c r="N7" s="2836"/>
      <c r="O7" s="2799"/>
      <c r="P7" s="2799"/>
      <c r="Q7" s="2799"/>
      <c r="R7" s="2827"/>
      <c r="S7" s="2829"/>
      <c r="T7" s="2799"/>
      <c r="U7" s="2799"/>
      <c r="V7" s="2799"/>
      <c r="W7" s="2833"/>
      <c r="X7" s="2834"/>
      <c r="Y7" s="2835"/>
      <c r="Z7" s="2793"/>
      <c r="AA7" s="2799"/>
      <c r="AB7" s="2806" t="s">
        <v>34</v>
      </c>
      <c r="AC7" s="2807"/>
      <c r="AD7" s="2808" t="s">
        <v>35</v>
      </c>
      <c r="AE7" s="2809"/>
      <c r="AF7" s="2806" t="s">
        <v>36</v>
      </c>
      <c r="AG7" s="2807"/>
      <c r="AH7" s="2806" t="s">
        <v>37</v>
      </c>
      <c r="AI7" s="2807"/>
      <c r="AJ7" s="2806" t="s">
        <v>131</v>
      </c>
      <c r="AK7" s="2807"/>
      <c r="AL7" s="2806" t="s">
        <v>39</v>
      </c>
      <c r="AM7" s="2807"/>
      <c r="AN7" s="2806" t="s">
        <v>40</v>
      </c>
      <c r="AO7" s="2807"/>
      <c r="AP7" s="2806" t="s">
        <v>41</v>
      </c>
      <c r="AQ7" s="2807"/>
      <c r="AR7" s="2806" t="s">
        <v>42</v>
      </c>
      <c r="AS7" s="2807"/>
      <c r="AT7" s="2806" t="s">
        <v>43</v>
      </c>
      <c r="AU7" s="2807"/>
      <c r="AV7" s="2806" t="s">
        <v>44</v>
      </c>
      <c r="AW7" s="2807"/>
      <c r="AX7" s="2806" t="s">
        <v>1661</v>
      </c>
      <c r="AY7" s="2807"/>
      <c r="AZ7" s="2806" t="s">
        <v>46</v>
      </c>
      <c r="BA7" s="2807"/>
      <c r="BB7" s="2806" t="s">
        <v>47</v>
      </c>
      <c r="BC7" s="2807"/>
      <c r="BD7" s="2806" t="s">
        <v>48</v>
      </c>
      <c r="BE7" s="2807"/>
      <c r="BF7" s="2819"/>
      <c r="BG7" s="2820"/>
      <c r="BH7" s="2719" t="s">
        <v>49</v>
      </c>
      <c r="BI7" s="2734" t="s">
        <v>50</v>
      </c>
      <c r="BJ7" s="2719" t="s">
        <v>51</v>
      </c>
      <c r="BK7" s="2735" t="s">
        <v>52</v>
      </c>
      <c r="BL7" s="2719" t="s">
        <v>53</v>
      </c>
      <c r="BM7" s="2720" t="s">
        <v>54</v>
      </c>
      <c r="BN7" s="2802"/>
      <c r="BO7" s="2803"/>
      <c r="BP7" s="2802"/>
      <c r="BQ7" s="2803"/>
      <c r="BR7" s="2805"/>
      <c r="BS7" s="1853"/>
      <c r="BT7" s="1853"/>
      <c r="BU7" s="1853"/>
      <c r="BV7" s="1853"/>
      <c r="BW7" s="1853"/>
      <c r="BX7" s="1853"/>
      <c r="BY7" s="1853"/>
      <c r="BZ7" s="1853"/>
      <c r="CA7" s="1853"/>
      <c r="CB7" s="1853"/>
      <c r="CC7" s="1853"/>
      <c r="CD7" s="1853"/>
      <c r="CE7" s="1853"/>
      <c r="CF7" s="1853"/>
      <c r="CG7" s="1853"/>
      <c r="CH7" s="1853"/>
      <c r="CI7" s="1853"/>
      <c r="CJ7" s="1853"/>
      <c r="CK7" s="1853"/>
      <c r="CL7" s="1853"/>
    </row>
    <row r="8" spans="1:90" s="1854" customFormat="1" ht="46.5" customHeight="1" x14ac:dyDescent="0.25">
      <c r="A8" s="1855"/>
      <c r="B8" s="1856"/>
      <c r="C8" s="1857"/>
      <c r="D8" s="1858"/>
      <c r="E8" s="1856"/>
      <c r="F8" s="1857"/>
      <c r="G8" s="1857"/>
      <c r="H8" s="1856"/>
      <c r="I8" s="1857"/>
      <c r="J8" s="1857"/>
      <c r="K8" s="1857"/>
      <c r="L8" s="1858"/>
      <c r="M8" s="1857" t="s">
        <v>55</v>
      </c>
      <c r="N8" s="1857" t="s">
        <v>56</v>
      </c>
      <c r="O8" s="1857"/>
      <c r="P8" s="1857"/>
      <c r="Q8" s="1857"/>
      <c r="R8" s="1859"/>
      <c r="S8" s="1860"/>
      <c r="T8" s="1857"/>
      <c r="U8" s="1857"/>
      <c r="V8" s="1857"/>
      <c r="W8" s="1861" t="s">
        <v>1662</v>
      </c>
      <c r="X8" s="1861" t="s">
        <v>58</v>
      </c>
      <c r="Y8" s="1861" t="s">
        <v>1663</v>
      </c>
      <c r="Z8" s="1855"/>
      <c r="AA8" s="1856"/>
      <c r="AB8" s="1862" t="s">
        <v>55</v>
      </c>
      <c r="AC8" s="1862" t="s">
        <v>56</v>
      </c>
      <c r="AD8" s="1862" t="s">
        <v>55</v>
      </c>
      <c r="AE8" s="1862" t="s">
        <v>56</v>
      </c>
      <c r="AF8" s="1862" t="s">
        <v>55</v>
      </c>
      <c r="AG8" s="1862" t="s">
        <v>56</v>
      </c>
      <c r="AH8" s="1862" t="s">
        <v>55</v>
      </c>
      <c r="AI8" s="1862" t="s">
        <v>56</v>
      </c>
      <c r="AJ8" s="1862" t="s">
        <v>55</v>
      </c>
      <c r="AK8" s="1862" t="s">
        <v>56</v>
      </c>
      <c r="AL8" s="1862" t="s">
        <v>55</v>
      </c>
      <c r="AM8" s="1862" t="s">
        <v>56</v>
      </c>
      <c r="AN8" s="1862" t="s">
        <v>55</v>
      </c>
      <c r="AO8" s="1862" t="s">
        <v>56</v>
      </c>
      <c r="AP8" s="1862" t="s">
        <v>55</v>
      </c>
      <c r="AQ8" s="1862" t="s">
        <v>56</v>
      </c>
      <c r="AR8" s="1862" t="s">
        <v>55</v>
      </c>
      <c r="AS8" s="1862" t="s">
        <v>56</v>
      </c>
      <c r="AT8" s="1862" t="s">
        <v>55</v>
      </c>
      <c r="AU8" s="1862" t="s">
        <v>56</v>
      </c>
      <c r="AV8" s="1862" t="s">
        <v>55</v>
      </c>
      <c r="AW8" s="1862" t="s">
        <v>56</v>
      </c>
      <c r="AX8" s="1862" t="s">
        <v>55</v>
      </c>
      <c r="AY8" s="1862" t="s">
        <v>56</v>
      </c>
      <c r="AZ8" s="1862" t="s">
        <v>55</v>
      </c>
      <c r="BA8" s="1862" t="s">
        <v>56</v>
      </c>
      <c r="BB8" s="1862" t="s">
        <v>55</v>
      </c>
      <c r="BC8" s="1862" t="s">
        <v>56</v>
      </c>
      <c r="BD8" s="1862" t="s">
        <v>55</v>
      </c>
      <c r="BE8" s="1862" t="s">
        <v>56</v>
      </c>
      <c r="BF8" s="1862" t="s">
        <v>55</v>
      </c>
      <c r="BG8" s="1862" t="s">
        <v>56</v>
      </c>
      <c r="BH8" s="2719"/>
      <c r="BI8" s="2734"/>
      <c r="BJ8" s="2719"/>
      <c r="BK8" s="2735"/>
      <c r="BL8" s="2719"/>
      <c r="BM8" s="2721"/>
      <c r="BN8" s="1862" t="s">
        <v>55</v>
      </c>
      <c r="BO8" s="1862" t="s">
        <v>56</v>
      </c>
      <c r="BP8" s="1862" t="s">
        <v>55</v>
      </c>
      <c r="BQ8" s="1862" t="s">
        <v>56</v>
      </c>
      <c r="BR8" s="1863"/>
      <c r="BS8" s="1853"/>
      <c r="BT8" s="1853"/>
      <c r="BU8" s="1853"/>
      <c r="BV8" s="1853"/>
      <c r="BW8" s="1853"/>
      <c r="BX8" s="1853"/>
      <c r="BY8" s="1853"/>
      <c r="BZ8" s="1853"/>
      <c r="CA8" s="1853"/>
      <c r="CB8" s="1853"/>
      <c r="CC8" s="1853"/>
      <c r="CD8" s="1853"/>
      <c r="CE8" s="1853"/>
      <c r="CF8" s="1853"/>
      <c r="CG8" s="1853"/>
      <c r="CH8" s="1853"/>
      <c r="CI8" s="1853"/>
      <c r="CJ8" s="1853"/>
      <c r="CK8" s="1853"/>
      <c r="CL8" s="1853"/>
    </row>
    <row r="9" spans="1:90" ht="15.75" customHeight="1" x14ac:dyDescent="0.2">
      <c r="A9" s="1864">
        <v>5</v>
      </c>
      <c r="B9" s="2821" t="s">
        <v>1027</v>
      </c>
      <c r="C9" s="2821"/>
      <c r="D9" s="2821"/>
      <c r="E9" s="2821"/>
      <c r="F9" s="2821"/>
      <c r="G9" s="2821"/>
      <c r="H9" s="2821"/>
      <c r="I9" s="2821"/>
      <c r="J9" s="2821"/>
      <c r="K9" s="2821"/>
      <c r="L9" s="1865"/>
      <c r="M9" s="1865"/>
      <c r="N9" s="1865"/>
      <c r="O9" s="1866"/>
      <c r="P9" s="1866"/>
      <c r="Q9" s="1865"/>
      <c r="R9" s="1867"/>
      <c r="S9" s="1868"/>
      <c r="T9" s="1865"/>
      <c r="U9" s="1865"/>
      <c r="V9" s="1869"/>
      <c r="W9" s="1870"/>
      <c r="X9" s="1870"/>
      <c r="Y9" s="1870"/>
      <c r="Z9" s="1871"/>
      <c r="AA9" s="1866"/>
      <c r="AB9" s="1872"/>
      <c r="AC9" s="1872"/>
      <c r="AD9" s="1873"/>
      <c r="AE9" s="1873"/>
      <c r="AF9" s="1872"/>
      <c r="AG9" s="1872"/>
      <c r="AH9" s="1872"/>
      <c r="AI9" s="1872"/>
      <c r="AJ9" s="1872"/>
      <c r="AK9" s="1872"/>
      <c r="AL9" s="1872"/>
      <c r="AM9" s="1872"/>
      <c r="AN9" s="1872"/>
      <c r="AO9" s="1872"/>
      <c r="AP9" s="1872"/>
      <c r="AQ9" s="1872"/>
      <c r="AR9" s="1872"/>
      <c r="AS9" s="1872"/>
      <c r="AT9" s="1872"/>
      <c r="AU9" s="1872"/>
      <c r="AV9" s="1872"/>
      <c r="AW9" s="1872"/>
      <c r="AX9" s="1872"/>
      <c r="AY9" s="1872"/>
      <c r="AZ9" s="1872"/>
      <c r="BA9" s="1872"/>
      <c r="BB9" s="1872"/>
      <c r="BC9" s="1872"/>
      <c r="BD9" s="1872"/>
      <c r="BE9" s="1872"/>
      <c r="BF9" s="1872"/>
      <c r="BG9" s="1872"/>
      <c r="BH9" s="1872"/>
      <c r="BI9" s="1872"/>
      <c r="BJ9" s="1872"/>
      <c r="BK9" s="1872"/>
      <c r="BL9" s="1872"/>
      <c r="BM9" s="1872"/>
      <c r="BN9" s="1874"/>
      <c r="BO9" s="1874"/>
      <c r="BP9" s="1874"/>
      <c r="BQ9" s="1874"/>
      <c r="BR9" s="1875"/>
      <c r="BS9" s="1845"/>
      <c r="BT9" s="1845"/>
      <c r="BU9" s="1845"/>
      <c r="BV9" s="1845"/>
      <c r="BW9" s="1845"/>
      <c r="BX9" s="1845"/>
      <c r="BY9" s="1845"/>
      <c r="BZ9" s="1845"/>
      <c r="CA9" s="1845"/>
      <c r="CB9" s="1845"/>
      <c r="CC9" s="1845"/>
      <c r="CD9" s="1845"/>
      <c r="CE9" s="1845"/>
      <c r="CF9" s="1845"/>
      <c r="CG9" s="1845"/>
      <c r="CH9" s="1845"/>
      <c r="CI9" s="1845"/>
      <c r="CJ9" s="1845"/>
      <c r="CK9" s="1845"/>
      <c r="CL9" s="1845"/>
    </row>
    <row r="10" spans="1:90" s="1845" customFormat="1" ht="23.25" customHeight="1" x14ac:dyDescent="0.2">
      <c r="A10" s="1876"/>
      <c r="B10" s="1877"/>
      <c r="C10" s="1878"/>
      <c r="D10" s="1879">
        <v>26</v>
      </c>
      <c r="E10" s="2822" t="s">
        <v>1664</v>
      </c>
      <c r="F10" s="2822"/>
      <c r="G10" s="2822"/>
      <c r="H10" s="2822"/>
      <c r="I10" s="2822"/>
      <c r="J10" s="2822"/>
      <c r="K10" s="2822"/>
      <c r="L10" s="1880"/>
      <c r="M10" s="1880"/>
      <c r="N10" s="1880"/>
      <c r="O10" s="1881"/>
      <c r="P10" s="1881"/>
      <c r="Q10" s="1880"/>
      <c r="R10" s="1882"/>
      <c r="S10" s="1883"/>
      <c r="T10" s="1880"/>
      <c r="U10" s="1880"/>
      <c r="V10" s="1884"/>
      <c r="W10" s="1885"/>
      <c r="X10" s="1885"/>
      <c r="Y10" s="1885"/>
      <c r="Z10" s="1886"/>
      <c r="AA10" s="1881"/>
      <c r="AB10" s="1887"/>
      <c r="AC10" s="1887"/>
      <c r="AD10" s="1888"/>
      <c r="AE10" s="1888"/>
      <c r="AF10" s="1887"/>
      <c r="AG10" s="1887"/>
      <c r="AH10" s="1887"/>
      <c r="AI10" s="1887"/>
      <c r="AJ10" s="1887"/>
      <c r="AK10" s="1887"/>
      <c r="AL10" s="1887"/>
      <c r="AM10" s="1887"/>
      <c r="AN10" s="1887"/>
      <c r="AO10" s="1887"/>
      <c r="AP10" s="1887"/>
      <c r="AQ10" s="1887"/>
      <c r="AR10" s="1887"/>
      <c r="AS10" s="1887"/>
      <c r="AT10" s="1887"/>
      <c r="AU10" s="1887"/>
      <c r="AV10" s="1887"/>
      <c r="AW10" s="1887"/>
      <c r="AX10" s="1887"/>
      <c r="AY10" s="1887"/>
      <c r="AZ10" s="1887"/>
      <c r="BA10" s="1887"/>
      <c r="BB10" s="1887"/>
      <c r="BC10" s="1887"/>
      <c r="BD10" s="1887"/>
      <c r="BE10" s="1887"/>
      <c r="BF10" s="1887"/>
      <c r="BG10" s="1887"/>
      <c r="BH10" s="1887"/>
      <c r="BI10" s="1887"/>
      <c r="BJ10" s="1887"/>
      <c r="BK10" s="1887"/>
      <c r="BL10" s="1887"/>
      <c r="BM10" s="1887"/>
      <c r="BN10" s="1889"/>
      <c r="BO10" s="1889"/>
      <c r="BP10" s="1889"/>
      <c r="BQ10" s="1889"/>
      <c r="BR10" s="1890"/>
    </row>
    <row r="11" spans="1:90" s="1845" customFormat="1" ht="25.5" customHeight="1" x14ac:dyDescent="0.2">
      <c r="A11" s="1891"/>
      <c r="B11" s="1892"/>
      <c r="C11" s="1892"/>
      <c r="D11" s="1893"/>
      <c r="E11" s="1877"/>
      <c r="F11" s="1878"/>
      <c r="G11" s="1894">
        <v>83</v>
      </c>
      <c r="H11" s="2823" t="s">
        <v>1665</v>
      </c>
      <c r="I11" s="2823"/>
      <c r="J11" s="2823"/>
      <c r="K11" s="2823"/>
      <c r="L11" s="1895"/>
      <c r="M11" s="1895"/>
      <c r="N11" s="1895"/>
      <c r="O11" s="1896"/>
      <c r="P11" s="1896"/>
      <c r="Q11" s="1895"/>
      <c r="R11" s="1897"/>
      <c r="S11" s="1898"/>
      <c r="T11" s="1895"/>
      <c r="U11" s="1895"/>
      <c r="V11" s="1899"/>
      <c r="W11" s="1900"/>
      <c r="X11" s="1900"/>
      <c r="Y11" s="1900"/>
      <c r="Z11" s="1901"/>
      <c r="AA11" s="1896"/>
      <c r="AB11" s="1902"/>
      <c r="AC11" s="1902"/>
      <c r="AD11" s="1903"/>
      <c r="AE11" s="1903"/>
      <c r="AF11" s="1902"/>
      <c r="AG11" s="1902"/>
      <c r="AH11" s="1902"/>
      <c r="AI11" s="1902"/>
      <c r="AJ11" s="1902"/>
      <c r="AK11" s="1902"/>
      <c r="AL11" s="1902"/>
      <c r="AM11" s="1902"/>
      <c r="AN11" s="1902"/>
      <c r="AO11" s="1902"/>
      <c r="AP11" s="1902"/>
      <c r="AQ11" s="1902"/>
      <c r="AR11" s="1902"/>
      <c r="AS11" s="1902"/>
      <c r="AT11" s="1902"/>
      <c r="AU11" s="1902"/>
      <c r="AV11" s="1902"/>
      <c r="AW11" s="1902"/>
      <c r="AX11" s="1902"/>
      <c r="AY11" s="1902"/>
      <c r="AZ11" s="1902"/>
      <c r="BA11" s="1902"/>
      <c r="BB11" s="1902"/>
      <c r="BC11" s="1902"/>
      <c r="BD11" s="1902"/>
      <c r="BE11" s="1902"/>
      <c r="BF11" s="1902"/>
      <c r="BG11" s="1902"/>
      <c r="BH11" s="1902"/>
      <c r="BI11" s="1902"/>
      <c r="BJ11" s="1902"/>
      <c r="BK11" s="1902"/>
      <c r="BL11" s="1902"/>
      <c r="BM11" s="1902"/>
      <c r="BN11" s="1904"/>
      <c r="BO11" s="1904"/>
      <c r="BP11" s="1904"/>
      <c r="BQ11" s="1904"/>
      <c r="BR11" s="1905"/>
    </row>
    <row r="12" spans="1:90" ht="221.25" customHeight="1" x14ac:dyDescent="0.2">
      <c r="A12" s="1906"/>
      <c r="B12" s="1907"/>
      <c r="C12" s="1907"/>
      <c r="D12" s="1908"/>
      <c r="E12" s="1907"/>
      <c r="F12" s="1909"/>
      <c r="G12" s="1910"/>
      <c r="H12" s="1907"/>
      <c r="I12" s="1907"/>
      <c r="J12" s="2824">
        <v>246</v>
      </c>
      <c r="K12" s="2825" t="s">
        <v>1666</v>
      </c>
      <c r="L12" s="2825" t="s">
        <v>1667</v>
      </c>
      <c r="M12" s="2824">
        <v>13</v>
      </c>
      <c r="N12" s="2844">
        <v>12</v>
      </c>
      <c r="O12" s="2824" t="s">
        <v>1668</v>
      </c>
      <c r="P12" s="2824" t="s">
        <v>1669</v>
      </c>
      <c r="Q12" s="2825" t="s">
        <v>1670</v>
      </c>
      <c r="R12" s="2847">
        <v>1</v>
      </c>
      <c r="S12" s="2837">
        <f>SUM(W12:W33)</f>
        <v>17500000</v>
      </c>
      <c r="T12" s="2838" t="s">
        <v>1671</v>
      </c>
      <c r="U12" s="1911" t="s">
        <v>1672</v>
      </c>
      <c r="V12" s="1912" t="s">
        <v>1673</v>
      </c>
      <c r="W12" s="1913">
        <v>1200000</v>
      </c>
      <c r="X12" s="1913"/>
      <c r="Z12" s="1915">
        <v>20</v>
      </c>
      <c r="AA12" s="1916" t="s">
        <v>1674</v>
      </c>
      <c r="AB12" s="2841">
        <v>294321</v>
      </c>
      <c r="AC12" s="2842"/>
      <c r="AD12" s="2843">
        <v>283947</v>
      </c>
      <c r="AE12" s="2842"/>
      <c r="AF12" s="2841">
        <v>135754</v>
      </c>
      <c r="AG12" s="2842"/>
      <c r="AH12" s="2841">
        <v>44640</v>
      </c>
      <c r="AI12" s="2842"/>
      <c r="AJ12" s="2841">
        <v>308178</v>
      </c>
      <c r="AK12" s="2842"/>
      <c r="AL12" s="2841">
        <v>89696</v>
      </c>
      <c r="AM12" s="2842"/>
      <c r="AN12" s="2841">
        <v>2145</v>
      </c>
      <c r="AO12" s="2842"/>
      <c r="AP12" s="2841">
        <v>12718</v>
      </c>
      <c r="AQ12" s="2842"/>
      <c r="AR12" s="2841">
        <v>26</v>
      </c>
      <c r="AS12" s="2842"/>
      <c r="AT12" s="2841">
        <v>37</v>
      </c>
      <c r="AU12" s="2842"/>
      <c r="AV12" s="2841"/>
      <c r="AW12" s="2842"/>
      <c r="AX12" s="2841"/>
      <c r="AY12" s="2842"/>
      <c r="AZ12" s="2841">
        <v>54612</v>
      </c>
      <c r="BA12" s="2842"/>
      <c r="BB12" s="2841">
        <v>21944</v>
      </c>
      <c r="BC12" s="2842"/>
      <c r="BD12" s="2841">
        <v>1010</v>
      </c>
      <c r="BE12" s="2842"/>
      <c r="BF12" s="2841">
        <f>+AB12+AD12</f>
        <v>578268</v>
      </c>
      <c r="BG12" s="2842"/>
      <c r="BH12" s="2857">
        <v>1</v>
      </c>
      <c r="BI12" s="2854">
        <f>SUM(X12:X33)</f>
        <v>13990000</v>
      </c>
      <c r="BJ12" s="2854">
        <f>SUM(Y13:Y33)</f>
        <v>5596000</v>
      </c>
      <c r="BK12" s="2855">
        <f>BJ12/BI12</f>
        <v>0.4</v>
      </c>
      <c r="BL12" s="2856" t="s">
        <v>1675</v>
      </c>
      <c r="BM12" s="2856" t="s">
        <v>1676</v>
      </c>
      <c r="BN12" s="2842">
        <v>43102</v>
      </c>
      <c r="BO12" s="2842">
        <v>43486</v>
      </c>
      <c r="BP12" s="2842">
        <v>43465</v>
      </c>
      <c r="BQ12" s="2842">
        <v>43830</v>
      </c>
      <c r="BR12" s="2848" t="s">
        <v>1677</v>
      </c>
    </row>
    <row r="13" spans="1:90" ht="52.5" customHeight="1" x14ac:dyDescent="0.2">
      <c r="A13" s="1906"/>
      <c r="B13" s="1907"/>
      <c r="C13" s="1907"/>
      <c r="D13" s="1908"/>
      <c r="E13" s="1907"/>
      <c r="F13" s="1909"/>
      <c r="G13" s="1908"/>
      <c r="H13" s="1907"/>
      <c r="I13" s="1907"/>
      <c r="J13" s="2824"/>
      <c r="K13" s="2825"/>
      <c r="L13" s="2825"/>
      <c r="M13" s="2824"/>
      <c r="N13" s="2845"/>
      <c r="O13" s="2824"/>
      <c r="P13" s="2824"/>
      <c r="Q13" s="2825"/>
      <c r="R13" s="2847"/>
      <c r="S13" s="2837"/>
      <c r="T13" s="2839"/>
      <c r="U13" s="2849" t="s">
        <v>1678</v>
      </c>
      <c r="V13" s="1917" t="s">
        <v>1679</v>
      </c>
      <c r="W13" s="1913">
        <v>360000</v>
      </c>
      <c r="X13" s="1913">
        <v>360000</v>
      </c>
      <c r="Y13" s="1913"/>
      <c r="Z13" s="1915">
        <v>20</v>
      </c>
      <c r="AA13" s="1916" t="s">
        <v>1674</v>
      </c>
      <c r="AB13" s="2841"/>
      <c r="AC13" s="2842"/>
      <c r="AD13" s="2843"/>
      <c r="AE13" s="2842"/>
      <c r="AF13" s="2841"/>
      <c r="AG13" s="2842"/>
      <c r="AH13" s="2841"/>
      <c r="AI13" s="2842"/>
      <c r="AJ13" s="2841"/>
      <c r="AK13" s="2842"/>
      <c r="AL13" s="2841"/>
      <c r="AM13" s="2842"/>
      <c r="AN13" s="2841"/>
      <c r="AO13" s="2842"/>
      <c r="AP13" s="2841"/>
      <c r="AQ13" s="2842"/>
      <c r="AR13" s="2841"/>
      <c r="AS13" s="2842"/>
      <c r="AT13" s="2841"/>
      <c r="AU13" s="2842"/>
      <c r="AV13" s="2841"/>
      <c r="AW13" s="2842"/>
      <c r="AX13" s="2841"/>
      <c r="AY13" s="2842"/>
      <c r="AZ13" s="2841"/>
      <c r="BA13" s="2842"/>
      <c r="BB13" s="2841"/>
      <c r="BC13" s="2842"/>
      <c r="BD13" s="2841"/>
      <c r="BE13" s="2842"/>
      <c r="BF13" s="2841"/>
      <c r="BG13" s="2842"/>
      <c r="BH13" s="2857"/>
      <c r="BI13" s="2854"/>
      <c r="BJ13" s="2854"/>
      <c r="BK13" s="2855"/>
      <c r="BL13" s="2856"/>
      <c r="BM13" s="2842"/>
      <c r="BN13" s="2842"/>
      <c r="BO13" s="2842"/>
      <c r="BP13" s="2842"/>
      <c r="BQ13" s="2842"/>
      <c r="BR13" s="2848"/>
    </row>
    <row r="14" spans="1:90" ht="67.5" customHeight="1" x14ac:dyDescent="0.2">
      <c r="A14" s="1906"/>
      <c r="B14" s="1907"/>
      <c r="C14" s="1907"/>
      <c r="D14" s="1908"/>
      <c r="E14" s="1907"/>
      <c r="F14" s="1909"/>
      <c r="G14" s="1908"/>
      <c r="H14" s="1907"/>
      <c r="I14" s="1907"/>
      <c r="J14" s="2824"/>
      <c r="K14" s="2825"/>
      <c r="L14" s="2825"/>
      <c r="M14" s="2824"/>
      <c r="N14" s="2845"/>
      <c r="O14" s="2824"/>
      <c r="P14" s="2824"/>
      <c r="Q14" s="2825"/>
      <c r="R14" s="2847"/>
      <c r="S14" s="2837"/>
      <c r="T14" s="2839"/>
      <c r="U14" s="2849"/>
      <c r="V14" s="1917" t="s">
        <v>1680</v>
      </c>
      <c r="W14" s="1913">
        <v>300000</v>
      </c>
      <c r="X14" s="1913">
        <v>300000</v>
      </c>
      <c r="Y14" s="1913"/>
      <c r="Z14" s="1915">
        <v>20</v>
      </c>
      <c r="AA14" s="1916" t="s">
        <v>1674</v>
      </c>
      <c r="AB14" s="2841"/>
      <c r="AC14" s="2842"/>
      <c r="AD14" s="2843"/>
      <c r="AE14" s="2842"/>
      <c r="AF14" s="2841"/>
      <c r="AG14" s="2842"/>
      <c r="AH14" s="2841"/>
      <c r="AI14" s="2842"/>
      <c r="AJ14" s="2841"/>
      <c r="AK14" s="2842"/>
      <c r="AL14" s="2841"/>
      <c r="AM14" s="2842"/>
      <c r="AN14" s="2841"/>
      <c r="AO14" s="2842"/>
      <c r="AP14" s="2841"/>
      <c r="AQ14" s="2842"/>
      <c r="AR14" s="2841"/>
      <c r="AS14" s="2842"/>
      <c r="AT14" s="2841"/>
      <c r="AU14" s="2842"/>
      <c r="AV14" s="2841"/>
      <c r="AW14" s="2842"/>
      <c r="AX14" s="2841"/>
      <c r="AY14" s="2842"/>
      <c r="AZ14" s="2841"/>
      <c r="BA14" s="2842"/>
      <c r="BB14" s="2841"/>
      <c r="BC14" s="2842"/>
      <c r="BD14" s="2841"/>
      <c r="BE14" s="2842"/>
      <c r="BF14" s="2841"/>
      <c r="BG14" s="2842"/>
      <c r="BH14" s="2857"/>
      <c r="BI14" s="2854"/>
      <c r="BJ14" s="2854"/>
      <c r="BK14" s="2855"/>
      <c r="BL14" s="2856"/>
      <c r="BM14" s="2842"/>
      <c r="BN14" s="2842"/>
      <c r="BO14" s="2842"/>
      <c r="BP14" s="2842"/>
      <c r="BQ14" s="2842"/>
      <c r="BR14" s="2848"/>
    </row>
    <row r="15" spans="1:90" ht="116.25" customHeight="1" x14ac:dyDescent="0.2">
      <c r="A15" s="1906"/>
      <c r="B15" s="1907"/>
      <c r="C15" s="1907"/>
      <c r="D15" s="1908"/>
      <c r="E15" s="1907"/>
      <c r="F15" s="1909"/>
      <c r="G15" s="1908"/>
      <c r="H15" s="1907"/>
      <c r="I15" s="1907"/>
      <c r="J15" s="2824"/>
      <c r="K15" s="2825"/>
      <c r="L15" s="2825"/>
      <c r="M15" s="2824"/>
      <c r="N15" s="2845"/>
      <c r="O15" s="2824"/>
      <c r="P15" s="2824"/>
      <c r="Q15" s="2825"/>
      <c r="R15" s="2847"/>
      <c r="S15" s="2837"/>
      <c r="T15" s="2839"/>
      <c r="U15" s="2849"/>
      <c r="V15" s="1918" t="s">
        <v>1681</v>
      </c>
      <c r="W15" s="1913">
        <v>360000</v>
      </c>
      <c r="X15" s="1913">
        <v>360000</v>
      </c>
      <c r="Y15" s="1913">
        <f>X15</f>
        <v>360000</v>
      </c>
      <c r="Z15" s="1915">
        <v>20</v>
      </c>
      <c r="AA15" s="1916" t="s">
        <v>1674</v>
      </c>
      <c r="AB15" s="2841"/>
      <c r="AC15" s="2842"/>
      <c r="AD15" s="2843"/>
      <c r="AE15" s="2842"/>
      <c r="AF15" s="2841"/>
      <c r="AG15" s="2842"/>
      <c r="AH15" s="2841"/>
      <c r="AI15" s="2842"/>
      <c r="AJ15" s="2841"/>
      <c r="AK15" s="2842"/>
      <c r="AL15" s="2841"/>
      <c r="AM15" s="2842"/>
      <c r="AN15" s="2841"/>
      <c r="AO15" s="2842"/>
      <c r="AP15" s="2841"/>
      <c r="AQ15" s="2842"/>
      <c r="AR15" s="2841"/>
      <c r="AS15" s="2842"/>
      <c r="AT15" s="2841"/>
      <c r="AU15" s="2842"/>
      <c r="AV15" s="2841"/>
      <c r="AW15" s="2842"/>
      <c r="AX15" s="2841"/>
      <c r="AY15" s="2842"/>
      <c r="AZ15" s="2841"/>
      <c r="BA15" s="2842"/>
      <c r="BB15" s="2841"/>
      <c r="BC15" s="2842"/>
      <c r="BD15" s="2841"/>
      <c r="BE15" s="2842"/>
      <c r="BF15" s="2841"/>
      <c r="BG15" s="2842"/>
      <c r="BH15" s="2857"/>
      <c r="BI15" s="2854"/>
      <c r="BJ15" s="2854"/>
      <c r="BK15" s="2855"/>
      <c r="BL15" s="2856"/>
      <c r="BM15" s="2842"/>
      <c r="BN15" s="2842"/>
      <c r="BO15" s="2842"/>
      <c r="BP15" s="2842"/>
      <c r="BQ15" s="2842"/>
      <c r="BR15" s="2848"/>
    </row>
    <row r="16" spans="1:90" ht="78.75" customHeight="1" x14ac:dyDescent="0.2">
      <c r="A16" s="1906"/>
      <c r="B16" s="1907"/>
      <c r="C16" s="1907"/>
      <c r="D16" s="1908"/>
      <c r="E16" s="1907"/>
      <c r="F16" s="1909"/>
      <c r="G16" s="1908"/>
      <c r="H16" s="1907"/>
      <c r="I16" s="1907"/>
      <c r="J16" s="2824"/>
      <c r="K16" s="2825"/>
      <c r="L16" s="2825"/>
      <c r="M16" s="2824"/>
      <c r="N16" s="2845"/>
      <c r="O16" s="2824"/>
      <c r="P16" s="2824"/>
      <c r="Q16" s="2825"/>
      <c r="R16" s="2847"/>
      <c r="S16" s="2837"/>
      <c r="T16" s="2839"/>
      <c r="U16" s="2849"/>
      <c r="V16" s="1918" t="s">
        <v>1682</v>
      </c>
      <c r="W16" s="1913">
        <v>360000</v>
      </c>
      <c r="X16" s="1913">
        <v>360000</v>
      </c>
      <c r="Y16" s="1913">
        <v>360000</v>
      </c>
      <c r="Z16" s="1915">
        <v>20</v>
      </c>
      <c r="AA16" s="1916" t="s">
        <v>1674</v>
      </c>
      <c r="AB16" s="2841"/>
      <c r="AC16" s="2842"/>
      <c r="AD16" s="2843"/>
      <c r="AE16" s="2842"/>
      <c r="AF16" s="2841"/>
      <c r="AG16" s="2842"/>
      <c r="AH16" s="2841"/>
      <c r="AI16" s="2842"/>
      <c r="AJ16" s="2841"/>
      <c r="AK16" s="2842"/>
      <c r="AL16" s="2841"/>
      <c r="AM16" s="2842"/>
      <c r="AN16" s="2841"/>
      <c r="AO16" s="2842"/>
      <c r="AP16" s="2841"/>
      <c r="AQ16" s="2842"/>
      <c r="AR16" s="2841"/>
      <c r="AS16" s="2842"/>
      <c r="AT16" s="2841"/>
      <c r="AU16" s="2842"/>
      <c r="AV16" s="2841"/>
      <c r="AW16" s="2842"/>
      <c r="AX16" s="2841"/>
      <c r="AY16" s="2842"/>
      <c r="AZ16" s="2841"/>
      <c r="BA16" s="2842"/>
      <c r="BB16" s="2841"/>
      <c r="BC16" s="2842"/>
      <c r="BD16" s="2841"/>
      <c r="BE16" s="2842"/>
      <c r="BF16" s="2841"/>
      <c r="BG16" s="2842"/>
      <c r="BH16" s="2857"/>
      <c r="BI16" s="2854"/>
      <c r="BJ16" s="2854"/>
      <c r="BK16" s="2855"/>
      <c r="BL16" s="2856"/>
      <c r="BM16" s="2842"/>
      <c r="BN16" s="2842"/>
      <c r="BO16" s="2842"/>
      <c r="BP16" s="2842"/>
      <c r="BQ16" s="2842"/>
      <c r="BR16" s="2848"/>
    </row>
    <row r="17" spans="1:70" ht="208.5" customHeight="1" x14ac:dyDescent="0.2">
      <c r="A17" s="1906"/>
      <c r="B17" s="1907"/>
      <c r="C17" s="1907"/>
      <c r="D17" s="1908"/>
      <c r="E17" s="1907"/>
      <c r="F17" s="1909"/>
      <c r="G17" s="1908"/>
      <c r="H17" s="1907"/>
      <c r="I17" s="1907"/>
      <c r="J17" s="2824"/>
      <c r="K17" s="2825"/>
      <c r="L17" s="2825"/>
      <c r="M17" s="2824"/>
      <c r="N17" s="2845"/>
      <c r="O17" s="2824"/>
      <c r="P17" s="2824"/>
      <c r="Q17" s="2825"/>
      <c r="R17" s="2847"/>
      <c r="S17" s="2837"/>
      <c r="T17" s="2839"/>
      <c r="U17" s="2849"/>
      <c r="V17" s="1918" t="s">
        <v>1683</v>
      </c>
      <c r="W17" s="1913">
        <v>360000</v>
      </c>
      <c r="X17" s="1913">
        <v>360000</v>
      </c>
      <c r="Y17" s="1913">
        <f t="shared" ref="Y17:Y29" si="0">X17</f>
        <v>360000</v>
      </c>
      <c r="Z17" s="1915">
        <v>20</v>
      </c>
      <c r="AA17" s="1916" t="s">
        <v>1674</v>
      </c>
      <c r="AB17" s="2841"/>
      <c r="AC17" s="2842"/>
      <c r="AD17" s="2843"/>
      <c r="AE17" s="2842"/>
      <c r="AF17" s="2841"/>
      <c r="AG17" s="2842"/>
      <c r="AH17" s="2841"/>
      <c r="AI17" s="2842"/>
      <c r="AJ17" s="2841"/>
      <c r="AK17" s="2842"/>
      <c r="AL17" s="2841"/>
      <c r="AM17" s="2842"/>
      <c r="AN17" s="2841"/>
      <c r="AO17" s="2842"/>
      <c r="AP17" s="2841"/>
      <c r="AQ17" s="2842"/>
      <c r="AR17" s="2841"/>
      <c r="AS17" s="2842"/>
      <c r="AT17" s="2841"/>
      <c r="AU17" s="2842"/>
      <c r="AV17" s="2841"/>
      <c r="AW17" s="2842"/>
      <c r="AX17" s="2841"/>
      <c r="AY17" s="2842"/>
      <c r="AZ17" s="2841"/>
      <c r="BA17" s="2842"/>
      <c r="BB17" s="2841"/>
      <c r="BC17" s="2842"/>
      <c r="BD17" s="2841"/>
      <c r="BE17" s="2842"/>
      <c r="BF17" s="2841"/>
      <c r="BG17" s="2842"/>
      <c r="BH17" s="2857"/>
      <c r="BI17" s="2854"/>
      <c r="BJ17" s="2854"/>
      <c r="BK17" s="2855"/>
      <c r="BL17" s="2856"/>
      <c r="BM17" s="2842"/>
      <c r="BN17" s="2842"/>
      <c r="BO17" s="2842"/>
      <c r="BP17" s="2842"/>
      <c r="BQ17" s="2842"/>
      <c r="BR17" s="2848"/>
    </row>
    <row r="18" spans="1:70" ht="58.5" customHeight="1" x14ac:dyDescent="0.2">
      <c r="A18" s="1906"/>
      <c r="B18" s="1907"/>
      <c r="C18" s="1907"/>
      <c r="D18" s="1908"/>
      <c r="E18" s="1907"/>
      <c r="F18" s="1909"/>
      <c r="G18" s="1908"/>
      <c r="H18" s="1907"/>
      <c r="I18" s="1907"/>
      <c r="J18" s="2824"/>
      <c r="K18" s="2825"/>
      <c r="L18" s="2825"/>
      <c r="M18" s="2824"/>
      <c r="N18" s="2845"/>
      <c r="O18" s="2824"/>
      <c r="P18" s="2824"/>
      <c r="Q18" s="2825"/>
      <c r="R18" s="2847"/>
      <c r="S18" s="2837"/>
      <c r="T18" s="2839"/>
      <c r="U18" s="2849"/>
      <c r="V18" s="1918" t="s">
        <v>1684</v>
      </c>
      <c r="W18" s="1913">
        <v>360000</v>
      </c>
      <c r="X18" s="1913">
        <v>360000</v>
      </c>
      <c r="Y18" s="1913">
        <f t="shared" si="0"/>
        <v>360000</v>
      </c>
      <c r="Z18" s="1915">
        <v>20</v>
      </c>
      <c r="AA18" s="1916" t="s">
        <v>1674</v>
      </c>
      <c r="AB18" s="2841"/>
      <c r="AC18" s="2842"/>
      <c r="AD18" s="2843"/>
      <c r="AE18" s="2842"/>
      <c r="AF18" s="2841"/>
      <c r="AG18" s="2842"/>
      <c r="AH18" s="2841"/>
      <c r="AI18" s="2842"/>
      <c r="AJ18" s="2841"/>
      <c r="AK18" s="2842"/>
      <c r="AL18" s="2841"/>
      <c r="AM18" s="2842"/>
      <c r="AN18" s="2841"/>
      <c r="AO18" s="2842"/>
      <c r="AP18" s="2841"/>
      <c r="AQ18" s="2842"/>
      <c r="AR18" s="2841"/>
      <c r="AS18" s="2842"/>
      <c r="AT18" s="2841"/>
      <c r="AU18" s="2842"/>
      <c r="AV18" s="2841"/>
      <c r="AW18" s="2842"/>
      <c r="AX18" s="2841"/>
      <c r="AY18" s="2842"/>
      <c r="AZ18" s="2841"/>
      <c r="BA18" s="2842"/>
      <c r="BB18" s="2841"/>
      <c r="BC18" s="2842"/>
      <c r="BD18" s="2841"/>
      <c r="BE18" s="2842"/>
      <c r="BF18" s="2841"/>
      <c r="BG18" s="2842"/>
      <c r="BH18" s="2857"/>
      <c r="BI18" s="2854"/>
      <c r="BJ18" s="2854"/>
      <c r="BK18" s="2855"/>
      <c r="BL18" s="2856"/>
      <c r="BM18" s="2842"/>
      <c r="BN18" s="2842"/>
      <c r="BO18" s="2842"/>
      <c r="BP18" s="2842"/>
      <c r="BQ18" s="2842"/>
      <c r="BR18" s="2848"/>
    </row>
    <row r="19" spans="1:70" ht="50.25" customHeight="1" x14ac:dyDescent="0.2">
      <c r="A19" s="1906"/>
      <c r="B19" s="1907"/>
      <c r="C19" s="1907"/>
      <c r="D19" s="1908"/>
      <c r="E19" s="1907"/>
      <c r="F19" s="1909"/>
      <c r="G19" s="1908"/>
      <c r="H19" s="1907"/>
      <c r="I19" s="1907"/>
      <c r="J19" s="2824"/>
      <c r="K19" s="2825"/>
      <c r="L19" s="2825"/>
      <c r="M19" s="2824"/>
      <c r="N19" s="2845"/>
      <c r="O19" s="2824"/>
      <c r="P19" s="2824"/>
      <c r="Q19" s="2825"/>
      <c r="R19" s="2847"/>
      <c r="S19" s="2837"/>
      <c r="T19" s="2839"/>
      <c r="U19" s="2849"/>
      <c r="V19" s="1918" t="s">
        <v>1685</v>
      </c>
      <c r="W19" s="1913">
        <v>360000</v>
      </c>
      <c r="X19" s="1913">
        <v>360000</v>
      </c>
      <c r="Y19" s="1913">
        <f t="shared" si="0"/>
        <v>360000</v>
      </c>
      <c r="Z19" s="1915">
        <v>20</v>
      </c>
      <c r="AA19" s="1916" t="s">
        <v>1674</v>
      </c>
      <c r="AB19" s="2841"/>
      <c r="AC19" s="2842"/>
      <c r="AD19" s="2843"/>
      <c r="AE19" s="2842"/>
      <c r="AF19" s="2841"/>
      <c r="AG19" s="2842"/>
      <c r="AH19" s="2841"/>
      <c r="AI19" s="2842"/>
      <c r="AJ19" s="2841"/>
      <c r="AK19" s="2842"/>
      <c r="AL19" s="2841"/>
      <c r="AM19" s="2842"/>
      <c r="AN19" s="2841"/>
      <c r="AO19" s="2842"/>
      <c r="AP19" s="2841"/>
      <c r="AQ19" s="2842"/>
      <c r="AR19" s="2841"/>
      <c r="AS19" s="2842"/>
      <c r="AT19" s="2841"/>
      <c r="AU19" s="2842"/>
      <c r="AV19" s="2841"/>
      <c r="AW19" s="2842"/>
      <c r="AX19" s="2841"/>
      <c r="AY19" s="2842"/>
      <c r="AZ19" s="2841"/>
      <c r="BA19" s="2842"/>
      <c r="BB19" s="2841"/>
      <c r="BC19" s="2842"/>
      <c r="BD19" s="2841"/>
      <c r="BE19" s="2842"/>
      <c r="BF19" s="2841"/>
      <c r="BG19" s="2842"/>
      <c r="BH19" s="2857"/>
      <c r="BI19" s="2854"/>
      <c r="BJ19" s="2854"/>
      <c r="BK19" s="2855"/>
      <c r="BL19" s="2856"/>
      <c r="BM19" s="2842"/>
      <c r="BN19" s="2842"/>
      <c r="BO19" s="2842"/>
      <c r="BP19" s="2842"/>
      <c r="BQ19" s="2842"/>
      <c r="BR19" s="2848"/>
    </row>
    <row r="20" spans="1:70" ht="41.25" customHeight="1" x14ac:dyDescent="0.2">
      <c r="A20" s="1906"/>
      <c r="B20" s="1907"/>
      <c r="C20" s="1907"/>
      <c r="D20" s="1908"/>
      <c r="E20" s="1907"/>
      <c r="F20" s="1909"/>
      <c r="G20" s="1908"/>
      <c r="H20" s="1907"/>
      <c r="I20" s="1907"/>
      <c r="J20" s="2824"/>
      <c r="K20" s="2825"/>
      <c r="L20" s="2825"/>
      <c r="M20" s="2824"/>
      <c r="N20" s="2845"/>
      <c r="O20" s="2824"/>
      <c r="P20" s="2824"/>
      <c r="Q20" s="2825"/>
      <c r="R20" s="2847"/>
      <c r="S20" s="2837"/>
      <c r="T20" s="2839"/>
      <c r="U20" s="2849"/>
      <c r="V20" s="1918" t="s">
        <v>1686</v>
      </c>
      <c r="W20" s="1913">
        <v>360000</v>
      </c>
      <c r="X20" s="1913">
        <v>360000</v>
      </c>
      <c r="Y20" s="1913">
        <f t="shared" si="0"/>
        <v>360000</v>
      </c>
      <c r="Z20" s="1915">
        <v>20</v>
      </c>
      <c r="AA20" s="1916" t="s">
        <v>1674</v>
      </c>
      <c r="AB20" s="2841"/>
      <c r="AC20" s="2842"/>
      <c r="AD20" s="2843"/>
      <c r="AE20" s="2842"/>
      <c r="AF20" s="2841"/>
      <c r="AG20" s="2842"/>
      <c r="AH20" s="2841"/>
      <c r="AI20" s="2842"/>
      <c r="AJ20" s="2841"/>
      <c r="AK20" s="2842"/>
      <c r="AL20" s="2841"/>
      <c r="AM20" s="2842"/>
      <c r="AN20" s="2841"/>
      <c r="AO20" s="2842"/>
      <c r="AP20" s="2841"/>
      <c r="AQ20" s="2842"/>
      <c r="AR20" s="2841"/>
      <c r="AS20" s="2842"/>
      <c r="AT20" s="2841"/>
      <c r="AU20" s="2842"/>
      <c r="AV20" s="2841"/>
      <c r="AW20" s="2842"/>
      <c r="AX20" s="2841"/>
      <c r="AY20" s="2842"/>
      <c r="AZ20" s="2841"/>
      <c r="BA20" s="2842"/>
      <c r="BB20" s="2841"/>
      <c r="BC20" s="2842"/>
      <c r="BD20" s="2841"/>
      <c r="BE20" s="2842"/>
      <c r="BF20" s="2841"/>
      <c r="BG20" s="2842"/>
      <c r="BH20" s="2857"/>
      <c r="BI20" s="2854"/>
      <c r="BJ20" s="2854"/>
      <c r="BK20" s="2855"/>
      <c r="BL20" s="2856"/>
      <c r="BM20" s="2842"/>
      <c r="BN20" s="2842"/>
      <c r="BO20" s="2842"/>
      <c r="BP20" s="2842"/>
      <c r="BQ20" s="2842"/>
      <c r="BR20" s="2848"/>
    </row>
    <row r="21" spans="1:70" ht="52.5" customHeight="1" x14ac:dyDescent="0.2">
      <c r="A21" s="1906"/>
      <c r="B21" s="1907"/>
      <c r="C21" s="1907"/>
      <c r="D21" s="1908"/>
      <c r="E21" s="1907"/>
      <c r="F21" s="1909"/>
      <c r="G21" s="1908"/>
      <c r="H21" s="1907"/>
      <c r="I21" s="1907"/>
      <c r="J21" s="2824"/>
      <c r="K21" s="2825"/>
      <c r="L21" s="2825"/>
      <c r="M21" s="2824"/>
      <c r="N21" s="2845"/>
      <c r="O21" s="2824"/>
      <c r="P21" s="2824"/>
      <c r="Q21" s="2825"/>
      <c r="R21" s="2847"/>
      <c r="S21" s="2837"/>
      <c r="T21" s="2839"/>
      <c r="U21" s="2849"/>
      <c r="V21" s="1918" t="s">
        <v>1687</v>
      </c>
      <c r="W21" s="1913">
        <v>360000</v>
      </c>
      <c r="X21" s="1913">
        <v>360000</v>
      </c>
      <c r="Y21" s="1913">
        <f t="shared" si="0"/>
        <v>360000</v>
      </c>
      <c r="Z21" s="1915">
        <v>20</v>
      </c>
      <c r="AA21" s="1916" t="s">
        <v>1674</v>
      </c>
      <c r="AB21" s="2841"/>
      <c r="AC21" s="2842"/>
      <c r="AD21" s="2843"/>
      <c r="AE21" s="2842"/>
      <c r="AF21" s="2841"/>
      <c r="AG21" s="2842"/>
      <c r="AH21" s="2841"/>
      <c r="AI21" s="2842"/>
      <c r="AJ21" s="2841"/>
      <c r="AK21" s="2842"/>
      <c r="AL21" s="2841"/>
      <c r="AM21" s="2842"/>
      <c r="AN21" s="2841"/>
      <c r="AO21" s="2842"/>
      <c r="AP21" s="2841"/>
      <c r="AQ21" s="2842"/>
      <c r="AR21" s="2841"/>
      <c r="AS21" s="2842"/>
      <c r="AT21" s="2841"/>
      <c r="AU21" s="2842"/>
      <c r="AV21" s="2841"/>
      <c r="AW21" s="2842"/>
      <c r="AX21" s="2841"/>
      <c r="AY21" s="2842"/>
      <c r="AZ21" s="2841"/>
      <c r="BA21" s="2842"/>
      <c r="BB21" s="2841"/>
      <c r="BC21" s="2842"/>
      <c r="BD21" s="2841"/>
      <c r="BE21" s="2842"/>
      <c r="BF21" s="2841"/>
      <c r="BG21" s="2842"/>
      <c r="BH21" s="2857"/>
      <c r="BI21" s="2854"/>
      <c r="BJ21" s="2854"/>
      <c r="BK21" s="2855"/>
      <c r="BL21" s="2856"/>
      <c r="BM21" s="2842"/>
      <c r="BN21" s="2842"/>
      <c r="BO21" s="2842"/>
      <c r="BP21" s="2842"/>
      <c r="BQ21" s="2842"/>
      <c r="BR21" s="2848"/>
    </row>
    <row r="22" spans="1:70" ht="90.75" customHeight="1" x14ac:dyDescent="0.2">
      <c r="A22" s="1906"/>
      <c r="B22" s="1907"/>
      <c r="C22" s="1907"/>
      <c r="D22" s="1908"/>
      <c r="E22" s="1907"/>
      <c r="F22" s="1909"/>
      <c r="G22" s="1908"/>
      <c r="H22" s="1907"/>
      <c r="I22" s="1907"/>
      <c r="J22" s="2824"/>
      <c r="K22" s="2825"/>
      <c r="L22" s="2825"/>
      <c r="M22" s="2824"/>
      <c r="N22" s="2845"/>
      <c r="O22" s="2824"/>
      <c r="P22" s="2824"/>
      <c r="Q22" s="2825"/>
      <c r="R22" s="2847"/>
      <c r="S22" s="2837"/>
      <c r="T22" s="2839"/>
      <c r="U22" s="2849"/>
      <c r="V22" s="1918" t="s">
        <v>1688</v>
      </c>
      <c r="W22" s="1913">
        <v>360000</v>
      </c>
      <c r="X22" s="1913">
        <v>360000</v>
      </c>
      <c r="Y22" s="1913">
        <f t="shared" si="0"/>
        <v>360000</v>
      </c>
      <c r="Z22" s="1915">
        <v>20</v>
      </c>
      <c r="AA22" s="1916" t="s">
        <v>1674</v>
      </c>
      <c r="AB22" s="2841"/>
      <c r="AC22" s="2842"/>
      <c r="AD22" s="2843"/>
      <c r="AE22" s="2842"/>
      <c r="AF22" s="2841"/>
      <c r="AG22" s="2842"/>
      <c r="AH22" s="2841"/>
      <c r="AI22" s="2842"/>
      <c r="AJ22" s="2841"/>
      <c r="AK22" s="2842"/>
      <c r="AL22" s="2841"/>
      <c r="AM22" s="2842"/>
      <c r="AN22" s="2841"/>
      <c r="AO22" s="2842"/>
      <c r="AP22" s="2841"/>
      <c r="AQ22" s="2842"/>
      <c r="AR22" s="2841"/>
      <c r="AS22" s="2842"/>
      <c r="AT22" s="2841"/>
      <c r="AU22" s="2842"/>
      <c r="AV22" s="2841"/>
      <c r="AW22" s="2842"/>
      <c r="AX22" s="2841"/>
      <c r="AY22" s="2842"/>
      <c r="AZ22" s="2841"/>
      <c r="BA22" s="2842"/>
      <c r="BB22" s="2841"/>
      <c r="BC22" s="2842"/>
      <c r="BD22" s="2841"/>
      <c r="BE22" s="2842"/>
      <c r="BF22" s="2841"/>
      <c r="BG22" s="2842"/>
      <c r="BH22" s="2857"/>
      <c r="BI22" s="2854"/>
      <c r="BJ22" s="2854"/>
      <c r="BK22" s="2855"/>
      <c r="BL22" s="2856"/>
      <c r="BM22" s="2842"/>
      <c r="BN22" s="2842"/>
      <c r="BO22" s="2842"/>
      <c r="BP22" s="2842"/>
      <c r="BQ22" s="2842"/>
      <c r="BR22" s="2848"/>
    </row>
    <row r="23" spans="1:70" ht="54.75" customHeight="1" x14ac:dyDescent="0.2">
      <c r="A23" s="1906"/>
      <c r="B23" s="1907"/>
      <c r="C23" s="1907"/>
      <c r="D23" s="1908"/>
      <c r="E23" s="1907"/>
      <c r="F23" s="1909"/>
      <c r="G23" s="1908"/>
      <c r="H23" s="1907"/>
      <c r="I23" s="1907"/>
      <c r="J23" s="2824"/>
      <c r="K23" s="2825"/>
      <c r="L23" s="2825"/>
      <c r="M23" s="2824"/>
      <c r="N23" s="2845"/>
      <c r="O23" s="2824"/>
      <c r="P23" s="2824"/>
      <c r="Q23" s="2825"/>
      <c r="R23" s="2847"/>
      <c r="S23" s="2837"/>
      <c r="T23" s="2839"/>
      <c r="U23" s="2849"/>
      <c r="V23" s="1918" t="s">
        <v>1689</v>
      </c>
      <c r="W23" s="1919">
        <v>360000</v>
      </c>
      <c r="X23" s="1919">
        <v>360000</v>
      </c>
      <c r="Y23" s="1919">
        <f t="shared" si="0"/>
        <v>360000</v>
      </c>
      <c r="Z23" s="1915">
        <v>20</v>
      </c>
      <c r="AA23" s="1916" t="s">
        <v>1674</v>
      </c>
      <c r="AB23" s="2841"/>
      <c r="AC23" s="2842"/>
      <c r="AD23" s="2843"/>
      <c r="AE23" s="2842"/>
      <c r="AF23" s="2841"/>
      <c r="AG23" s="2842"/>
      <c r="AH23" s="2841"/>
      <c r="AI23" s="2842"/>
      <c r="AJ23" s="2841"/>
      <c r="AK23" s="2842"/>
      <c r="AL23" s="2841"/>
      <c r="AM23" s="2842"/>
      <c r="AN23" s="2841"/>
      <c r="AO23" s="2842"/>
      <c r="AP23" s="2841"/>
      <c r="AQ23" s="2842"/>
      <c r="AR23" s="2841"/>
      <c r="AS23" s="2842"/>
      <c r="AT23" s="2841"/>
      <c r="AU23" s="2842"/>
      <c r="AV23" s="2841"/>
      <c r="AW23" s="2842"/>
      <c r="AX23" s="2841"/>
      <c r="AY23" s="2842"/>
      <c r="AZ23" s="2841"/>
      <c r="BA23" s="2842"/>
      <c r="BB23" s="2841"/>
      <c r="BC23" s="2842"/>
      <c r="BD23" s="2841"/>
      <c r="BE23" s="2842"/>
      <c r="BF23" s="2841"/>
      <c r="BG23" s="2842"/>
      <c r="BH23" s="2857"/>
      <c r="BI23" s="2854"/>
      <c r="BJ23" s="2854"/>
      <c r="BK23" s="2855"/>
      <c r="BL23" s="2856"/>
      <c r="BM23" s="2842"/>
      <c r="BN23" s="2842"/>
      <c r="BO23" s="2842"/>
      <c r="BP23" s="2842"/>
      <c r="BQ23" s="2842"/>
      <c r="BR23" s="2848"/>
    </row>
    <row r="24" spans="1:70" ht="54.75" customHeight="1" x14ac:dyDescent="0.2">
      <c r="A24" s="1906"/>
      <c r="B24" s="1907"/>
      <c r="C24" s="1907"/>
      <c r="D24" s="1908"/>
      <c r="E24" s="1907"/>
      <c r="F24" s="1909"/>
      <c r="G24" s="1908"/>
      <c r="H24" s="1907"/>
      <c r="I24" s="1907"/>
      <c r="J24" s="2824"/>
      <c r="K24" s="2825"/>
      <c r="L24" s="2825"/>
      <c r="M24" s="2824"/>
      <c r="N24" s="2845"/>
      <c r="O24" s="2824"/>
      <c r="P24" s="2824"/>
      <c r="Q24" s="2825"/>
      <c r="R24" s="2847"/>
      <c r="S24" s="2837"/>
      <c r="T24" s="2839"/>
      <c r="U24" s="2849"/>
      <c r="V24" s="1918" t="s">
        <v>1690</v>
      </c>
      <c r="W24" s="1919">
        <v>360000</v>
      </c>
      <c r="X24" s="1919">
        <v>360000</v>
      </c>
      <c r="Y24" s="1919">
        <f t="shared" si="0"/>
        <v>360000</v>
      </c>
      <c r="Z24" s="1915">
        <v>20</v>
      </c>
      <c r="AA24" s="1916" t="s">
        <v>1674</v>
      </c>
      <c r="AB24" s="2841"/>
      <c r="AC24" s="2842"/>
      <c r="AD24" s="2843"/>
      <c r="AE24" s="2842"/>
      <c r="AF24" s="2841"/>
      <c r="AG24" s="2842"/>
      <c r="AH24" s="2841"/>
      <c r="AI24" s="2842"/>
      <c r="AJ24" s="2841"/>
      <c r="AK24" s="2842"/>
      <c r="AL24" s="2841"/>
      <c r="AM24" s="2842"/>
      <c r="AN24" s="2841"/>
      <c r="AO24" s="2842"/>
      <c r="AP24" s="2841"/>
      <c r="AQ24" s="2842"/>
      <c r="AR24" s="2841"/>
      <c r="AS24" s="2842"/>
      <c r="AT24" s="2841"/>
      <c r="AU24" s="2842"/>
      <c r="AV24" s="2841"/>
      <c r="AW24" s="2842"/>
      <c r="AX24" s="2841"/>
      <c r="AY24" s="2842"/>
      <c r="AZ24" s="2841"/>
      <c r="BA24" s="2842"/>
      <c r="BB24" s="2841"/>
      <c r="BC24" s="2842"/>
      <c r="BD24" s="2841"/>
      <c r="BE24" s="2842"/>
      <c r="BF24" s="2841"/>
      <c r="BG24" s="2842"/>
      <c r="BH24" s="2857"/>
      <c r="BI24" s="2854"/>
      <c r="BJ24" s="2854"/>
      <c r="BK24" s="2855"/>
      <c r="BL24" s="2856"/>
      <c r="BM24" s="2842"/>
      <c r="BN24" s="2842"/>
      <c r="BO24" s="2842"/>
      <c r="BP24" s="2842"/>
      <c r="BQ24" s="2842"/>
      <c r="BR24" s="2848"/>
    </row>
    <row r="25" spans="1:70" ht="54.75" customHeight="1" x14ac:dyDescent="0.2">
      <c r="A25" s="1906"/>
      <c r="B25" s="1907"/>
      <c r="C25" s="1907"/>
      <c r="D25" s="1908"/>
      <c r="E25" s="1907"/>
      <c r="F25" s="1909"/>
      <c r="G25" s="1908"/>
      <c r="H25" s="1907"/>
      <c r="I25" s="1907"/>
      <c r="J25" s="2824"/>
      <c r="K25" s="2825"/>
      <c r="L25" s="2825"/>
      <c r="M25" s="2824"/>
      <c r="N25" s="2845"/>
      <c r="O25" s="2824"/>
      <c r="P25" s="2824"/>
      <c r="Q25" s="2825"/>
      <c r="R25" s="2847"/>
      <c r="S25" s="2837"/>
      <c r="T25" s="2839"/>
      <c r="U25" s="2849"/>
      <c r="V25" s="1918" t="s">
        <v>1691</v>
      </c>
      <c r="W25" s="1919">
        <v>360000</v>
      </c>
      <c r="X25" s="1919">
        <v>360000</v>
      </c>
      <c r="Y25" s="1919">
        <f t="shared" si="0"/>
        <v>360000</v>
      </c>
      <c r="Z25" s="1915">
        <v>20</v>
      </c>
      <c r="AA25" s="1916" t="s">
        <v>1674</v>
      </c>
      <c r="AB25" s="2841"/>
      <c r="AC25" s="2842"/>
      <c r="AD25" s="2843"/>
      <c r="AE25" s="2842"/>
      <c r="AF25" s="2841"/>
      <c r="AG25" s="2842"/>
      <c r="AH25" s="2841"/>
      <c r="AI25" s="2842"/>
      <c r="AJ25" s="2841"/>
      <c r="AK25" s="2842"/>
      <c r="AL25" s="2841"/>
      <c r="AM25" s="2842"/>
      <c r="AN25" s="2841"/>
      <c r="AO25" s="2842"/>
      <c r="AP25" s="2841"/>
      <c r="AQ25" s="2842"/>
      <c r="AR25" s="2841"/>
      <c r="AS25" s="2842"/>
      <c r="AT25" s="2841"/>
      <c r="AU25" s="2842"/>
      <c r="AV25" s="2841"/>
      <c r="AW25" s="2842"/>
      <c r="AX25" s="2841"/>
      <c r="AY25" s="2842"/>
      <c r="AZ25" s="2841"/>
      <c r="BA25" s="2842"/>
      <c r="BB25" s="2841"/>
      <c r="BC25" s="2842"/>
      <c r="BD25" s="2841"/>
      <c r="BE25" s="2842"/>
      <c r="BF25" s="2841"/>
      <c r="BG25" s="2842"/>
      <c r="BH25" s="2857"/>
      <c r="BI25" s="2854"/>
      <c r="BJ25" s="2854"/>
      <c r="BK25" s="2855"/>
      <c r="BL25" s="2856"/>
      <c r="BM25" s="2842"/>
      <c r="BN25" s="2842"/>
      <c r="BO25" s="2842"/>
      <c r="BP25" s="2842"/>
      <c r="BQ25" s="2842"/>
      <c r="BR25" s="2848"/>
    </row>
    <row r="26" spans="1:70" ht="54.75" customHeight="1" x14ac:dyDescent="0.2">
      <c r="A26" s="1906"/>
      <c r="B26" s="1907"/>
      <c r="C26" s="1907"/>
      <c r="D26" s="1908"/>
      <c r="E26" s="1907"/>
      <c r="F26" s="1909"/>
      <c r="G26" s="1908"/>
      <c r="H26" s="1907"/>
      <c r="I26" s="1907"/>
      <c r="J26" s="2824"/>
      <c r="K26" s="2825"/>
      <c r="L26" s="2825"/>
      <c r="M26" s="2824"/>
      <c r="N26" s="2845"/>
      <c r="O26" s="2824"/>
      <c r="P26" s="2824"/>
      <c r="Q26" s="2825"/>
      <c r="R26" s="2847"/>
      <c r="S26" s="2837"/>
      <c r="T26" s="2839"/>
      <c r="U26" s="2849"/>
      <c r="V26" s="1918" t="s">
        <v>1692</v>
      </c>
      <c r="W26" s="1919">
        <v>360000</v>
      </c>
      <c r="X26" s="1919">
        <v>360000</v>
      </c>
      <c r="Y26" s="1919">
        <f t="shared" si="0"/>
        <v>360000</v>
      </c>
      <c r="Z26" s="1915">
        <v>20</v>
      </c>
      <c r="AA26" s="1916" t="s">
        <v>1674</v>
      </c>
      <c r="AB26" s="2841"/>
      <c r="AC26" s="2842"/>
      <c r="AD26" s="2843"/>
      <c r="AE26" s="2842"/>
      <c r="AF26" s="2841"/>
      <c r="AG26" s="2842"/>
      <c r="AH26" s="2841"/>
      <c r="AI26" s="2842"/>
      <c r="AJ26" s="2841"/>
      <c r="AK26" s="2842"/>
      <c r="AL26" s="2841"/>
      <c r="AM26" s="2842"/>
      <c r="AN26" s="2841"/>
      <c r="AO26" s="2842"/>
      <c r="AP26" s="2841"/>
      <c r="AQ26" s="2842"/>
      <c r="AR26" s="2841"/>
      <c r="AS26" s="2842"/>
      <c r="AT26" s="2841"/>
      <c r="AU26" s="2842"/>
      <c r="AV26" s="2841"/>
      <c r="AW26" s="2842"/>
      <c r="AX26" s="2841"/>
      <c r="AY26" s="2842"/>
      <c r="AZ26" s="2841"/>
      <c r="BA26" s="2842"/>
      <c r="BB26" s="2841"/>
      <c r="BC26" s="2842"/>
      <c r="BD26" s="2841"/>
      <c r="BE26" s="2842"/>
      <c r="BF26" s="2841"/>
      <c r="BG26" s="2842"/>
      <c r="BH26" s="2857"/>
      <c r="BI26" s="2854"/>
      <c r="BJ26" s="2854"/>
      <c r="BK26" s="2855"/>
      <c r="BL26" s="2856"/>
      <c r="BM26" s="2842"/>
      <c r="BN26" s="2842"/>
      <c r="BO26" s="2842"/>
      <c r="BP26" s="2842"/>
      <c r="BQ26" s="2842"/>
      <c r="BR26" s="2848"/>
    </row>
    <row r="27" spans="1:70" ht="54.75" customHeight="1" x14ac:dyDescent="0.2">
      <c r="A27" s="1906"/>
      <c r="B27" s="1907"/>
      <c r="C27" s="1907"/>
      <c r="D27" s="1908"/>
      <c r="E27" s="1907"/>
      <c r="F27" s="1909"/>
      <c r="G27" s="1908"/>
      <c r="H27" s="1907"/>
      <c r="I27" s="1907"/>
      <c r="J27" s="2824"/>
      <c r="K27" s="2825"/>
      <c r="L27" s="2825"/>
      <c r="M27" s="2824"/>
      <c r="N27" s="2845"/>
      <c r="O27" s="2824"/>
      <c r="P27" s="2824"/>
      <c r="Q27" s="2825"/>
      <c r="R27" s="2847"/>
      <c r="S27" s="2837"/>
      <c r="T27" s="2839"/>
      <c r="U27" s="2849"/>
      <c r="V27" s="1918" t="s">
        <v>1693</v>
      </c>
      <c r="W27" s="1919">
        <v>360000</v>
      </c>
      <c r="X27" s="1919">
        <v>360000</v>
      </c>
      <c r="Y27" s="1919">
        <f t="shared" si="0"/>
        <v>360000</v>
      </c>
      <c r="Z27" s="1915">
        <v>20</v>
      </c>
      <c r="AA27" s="1916" t="s">
        <v>1674</v>
      </c>
      <c r="AB27" s="2841"/>
      <c r="AC27" s="2842"/>
      <c r="AD27" s="2843"/>
      <c r="AE27" s="2842"/>
      <c r="AF27" s="2841"/>
      <c r="AG27" s="2842"/>
      <c r="AH27" s="2841"/>
      <c r="AI27" s="2842"/>
      <c r="AJ27" s="2841"/>
      <c r="AK27" s="2842"/>
      <c r="AL27" s="2841"/>
      <c r="AM27" s="2842"/>
      <c r="AN27" s="2841"/>
      <c r="AO27" s="2842"/>
      <c r="AP27" s="2841"/>
      <c r="AQ27" s="2842"/>
      <c r="AR27" s="2841"/>
      <c r="AS27" s="2842"/>
      <c r="AT27" s="2841"/>
      <c r="AU27" s="2842"/>
      <c r="AV27" s="2841"/>
      <c r="AW27" s="2842"/>
      <c r="AX27" s="2841"/>
      <c r="AY27" s="2842"/>
      <c r="AZ27" s="2841"/>
      <c r="BA27" s="2842"/>
      <c r="BB27" s="2841"/>
      <c r="BC27" s="2842"/>
      <c r="BD27" s="2841"/>
      <c r="BE27" s="2842"/>
      <c r="BF27" s="2841"/>
      <c r="BG27" s="2842"/>
      <c r="BH27" s="2857"/>
      <c r="BI27" s="2854"/>
      <c r="BJ27" s="2854"/>
      <c r="BK27" s="2855"/>
      <c r="BL27" s="2856"/>
      <c r="BM27" s="2842"/>
      <c r="BN27" s="2842"/>
      <c r="BO27" s="2842"/>
      <c r="BP27" s="2842"/>
      <c r="BQ27" s="2842"/>
      <c r="BR27" s="2848"/>
    </row>
    <row r="28" spans="1:70" ht="108" customHeight="1" x14ac:dyDescent="0.2">
      <c r="A28" s="1906"/>
      <c r="B28" s="1907"/>
      <c r="C28" s="1907"/>
      <c r="D28" s="1908"/>
      <c r="E28" s="1907"/>
      <c r="F28" s="1909"/>
      <c r="G28" s="1908"/>
      <c r="H28" s="1907"/>
      <c r="I28" s="1907"/>
      <c r="J28" s="2824"/>
      <c r="K28" s="2825"/>
      <c r="L28" s="2825"/>
      <c r="M28" s="2824"/>
      <c r="N28" s="2845"/>
      <c r="O28" s="2824"/>
      <c r="P28" s="2824"/>
      <c r="Q28" s="2825"/>
      <c r="R28" s="2847"/>
      <c r="S28" s="2837"/>
      <c r="T28" s="2839"/>
      <c r="U28" s="2849"/>
      <c r="V28" s="1918" t="s">
        <v>1694</v>
      </c>
      <c r="W28" s="1919">
        <v>360000</v>
      </c>
      <c r="X28" s="1919">
        <v>360000</v>
      </c>
      <c r="Y28" s="1919">
        <f t="shared" si="0"/>
        <v>360000</v>
      </c>
      <c r="Z28" s="1915">
        <v>20</v>
      </c>
      <c r="AA28" s="1916" t="s">
        <v>1674</v>
      </c>
      <c r="AB28" s="2841"/>
      <c r="AC28" s="2842"/>
      <c r="AD28" s="2843"/>
      <c r="AE28" s="2842"/>
      <c r="AF28" s="2841"/>
      <c r="AG28" s="2842"/>
      <c r="AH28" s="2841"/>
      <c r="AI28" s="2842"/>
      <c r="AJ28" s="2841"/>
      <c r="AK28" s="2842"/>
      <c r="AL28" s="2841"/>
      <c r="AM28" s="2842"/>
      <c r="AN28" s="2841"/>
      <c r="AO28" s="2842"/>
      <c r="AP28" s="2841"/>
      <c r="AQ28" s="2842"/>
      <c r="AR28" s="2841"/>
      <c r="AS28" s="2842"/>
      <c r="AT28" s="2841"/>
      <c r="AU28" s="2842"/>
      <c r="AV28" s="2841"/>
      <c r="AW28" s="2842"/>
      <c r="AX28" s="2841"/>
      <c r="AY28" s="2842"/>
      <c r="AZ28" s="2841"/>
      <c r="BA28" s="2842"/>
      <c r="BB28" s="2841"/>
      <c r="BC28" s="2842"/>
      <c r="BD28" s="2841"/>
      <c r="BE28" s="2842"/>
      <c r="BF28" s="2841"/>
      <c r="BG28" s="2842"/>
      <c r="BH28" s="2857"/>
      <c r="BI28" s="2854"/>
      <c r="BJ28" s="2854"/>
      <c r="BK28" s="2855"/>
      <c r="BL28" s="2856"/>
      <c r="BM28" s="2842"/>
      <c r="BN28" s="2842"/>
      <c r="BO28" s="2842"/>
      <c r="BP28" s="2842"/>
      <c r="BQ28" s="2842"/>
      <c r="BR28" s="2848"/>
    </row>
    <row r="29" spans="1:70" ht="78" customHeight="1" x14ac:dyDescent="0.2">
      <c r="A29" s="1906"/>
      <c r="B29" s="1907"/>
      <c r="C29" s="1907"/>
      <c r="D29" s="1908"/>
      <c r="E29" s="1907"/>
      <c r="F29" s="1909"/>
      <c r="G29" s="1908"/>
      <c r="H29" s="1907"/>
      <c r="I29" s="1907"/>
      <c r="J29" s="2824"/>
      <c r="K29" s="2825"/>
      <c r="L29" s="2825"/>
      <c r="M29" s="2824"/>
      <c r="N29" s="2845"/>
      <c r="O29" s="2824"/>
      <c r="P29" s="2824"/>
      <c r="Q29" s="2825"/>
      <c r="R29" s="2847"/>
      <c r="S29" s="2837"/>
      <c r="T29" s="2839"/>
      <c r="U29" s="2849"/>
      <c r="V29" s="1918" t="s">
        <v>1695</v>
      </c>
      <c r="W29" s="1919">
        <v>360000</v>
      </c>
      <c r="X29" s="1919">
        <v>360000</v>
      </c>
      <c r="Y29" s="1919">
        <f t="shared" si="0"/>
        <v>360000</v>
      </c>
      <c r="Z29" s="1915">
        <v>20</v>
      </c>
      <c r="AA29" s="1916" t="s">
        <v>1674</v>
      </c>
      <c r="AB29" s="2841"/>
      <c r="AC29" s="2842"/>
      <c r="AD29" s="2843"/>
      <c r="AE29" s="2842"/>
      <c r="AF29" s="2841"/>
      <c r="AG29" s="2842"/>
      <c r="AH29" s="2841"/>
      <c r="AI29" s="2842"/>
      <c r="AJ29" s="2841"/>
      <c r="AK29" s="2842"/>
      <c r="AL29" s="2841"/>
      <c r="AM29" s="2842"/>
      <c r="AN29" s="2841"/>
      <c r="AO29" s="2842"/>
      <c r="AP29" s="2841"/>
      <c r="AQ29" s="2842"/>
      <c r="AR29" s="2841"/>
      <c r="AS29" s="2842"/>
      <c r="AT29" s="2841"/>
      <c r="AU29" s="2842"/>
      <c r="AV29" s="2841"/>
      <c r="AW29" s="2842"/>
      <c r="AX29" s="2841"/>
      <c r="AY29" s="2842"/>
      <c r="AZ29" s="2841"/>
      <c r="BA29" s="2842"/>
      <c r="BB29" s="2841"/>
      <c r="BC29" s="2842"/>
      <c r="BD29" s="2841"/>
      <c r="BE29" s="2842"/>
      <c r="BF29" s="2841"/>
      <c r="BG29" s="2842"/>
      <c r="BH29" s="2857"/>
      <c r="BI29" s="2854"/>
      <c r="BJ29" s="2854"/>
      <c r="BK29" s="2855"/>
      <c r="BL29" s="2856"/>
      <c r="BM29" s="2842"/>
      <c r="BN29" s="2842"/>
      <c r="BO29" s="2842"/>
      <c r="BP29" s="2842"/>
      <c r="BQ29" s="2842"/>
      <c r="BR29" s="2848"/>
    </row>
    <row r="30" spans="1:70" ht="69" customHeight="1" x14ac:dyDescent="0.2">
      <c r="A30" s="1906"/>
      <c r="B30" s="1907"/>
      <c r="C30" s="1907"/>
      <c r="D30" s="1908"/>
      <c r="E30" s="1907"/>
      <c r="F30" s="1909"/>
      <c r="G30" s="1908"/>
      <c r="H30" s="1907"/>
      <c r="I30" s="1907"/>
      <c r="J30" s="2824"/>
      <c r="K30" s="2825"/>
      <c r="L30" s="2825"/>
      <c r="M30" s="2824"/>
      <c r="N30" s="2845"/>
      <c r="O30" s="2824"/>
      <c r="P30" s="2824"/>
      <c r="Q30" s="2825"/>
      <c r="R30" s="2847"/>
      <c r="S30" s="2837"/>
      <c r="T30" s="2839"/>
      <c r="U30" s="2849"/>
      <c r="V30" s="1918" t="s">
        <v>1696</v>
      </c>
      <c r="W30" s="1920">
        <v>5400000</v>
      </c>
      <c r="X30" s="1921">
        <v>4330000</v>
      </c>
      <c r="Y30" s="1921">
        <v>196000</v>
      </c>
      <c r="Z30" s="1915">
        <v>20</v>
      </c>
      <c r="AA30" s="1916" t="s">
        <v>1674</v>
      </c>
      <c r="AB30" s="2841"/>
      <c r="AC30" s="2842"/>
      <c r="AD30" s="2843"/>
      <c r="AE30" s="2842"/>
      <c r="AF30" s="2841"/>
      <c r="AG30" s="2842"/>
      <c r="AH30" s="2841"/>
      <c r="AI30" s="2842"/>
      <c r="AJ30" s="2841"/>
      <c r="AK30" s="2842"/>
      <c r="AL30" s="2841"/>
      <c r="AM30" s="2842"/>
      <c r="AN30" s="2841"/>
      <c r="AO30" s="2842"/>
      <c r="AP30" s="2841"/>
      <c r="AQ30" s="2842"/>
      <c r="AR30" s="2841"/>
      <c r="AS30" s="2842"/>
      <c r="AT30" s="2841"/>
      <c r="AU30" s="2842"/>
      <c r="AV30" s="2841"/>
      <c r="AW30" s="2842"/>
      <c r="AX30" s="2841"/>
      <c r="AY30" s="2842"/>
      <c r="AZ30" s="2841"/>
      <c r="BA30" s="2842"/>
      <c r="BB30" s="2841"/>
      <c r="BC30" s="2842"/>
      <c r="BD30" s="2841"/>
      <c r="BE30" s="2842"/>
      <c r="BF30" s="2841"/>
      <c r="BG30" s="2842"/>
      <c r="BH30" s="2857"/>
      <c r="BI30" s="2854"/>
      <c r="BJ30" s="2854"/>
      <c r="BK30" s="2855"/>
      <c r="BL30" s="2856"/>
      <c r="BM30" s="2842"/>
      <c r="BN30" s="2842"/>
      <c r="BO30" s="2842"/>
      <c r="BP30" s="2842"/>
      <c r="BQ30" s="2842"/>
      <c r="BR30" s="2848"/>
    </row>
    <row r="31" spans="1:70" ht="174" customHeight="1" x14ac:dyDescent="0.2">
      <c r="A31" s="1906"/>
      <c r="B31" s="1907"/>
      <c r="C31" s="1907"/>
      <c r="D31" s="1908"/>
      <c r="E31" s="1907"/>
      <c r="F31" s="1909"/>
      <c r="G31" s="1908"/>
      <c r="H31" s="1907"/>
      <c r="I31" s="1907"/>
      <c r="J31" s="2824"/>
      <c r="K31" s="2825"/>
      <c r="L31" s="2825"/>
      <c r="M31" s="2824"/>
      <c r="N31" s="2845"/>
      <c r="O31" s="2824"/>
      <c r="P31" s="2824"/>
      <c r="Q31" s="2825"/>
      <c r="R31" s="2847"/>
      <c r="S31" s="2837"/>
      <c r="T31" s="2839"/>
      <c r="U31" s="2849"/>
      <c r="V31" s="1918" t="s">
        <v>1697</v>
      </c>
      <c r="W31" s="1920">
        <v>3600000</v>
      </c>
      <c r="X31" s="1920">
        <v>3600000</v>
      </c>
      <c r="Y31" s="1920"/>
      <c r="Z31" s="1915">
        <v>20</v>
      </c>
      <c r="AA31" s="1916" t="s">
        <v>1674</v>
      </c>
      <c r="AB31" s="2841"/>
      <c r="AC31" s="2842"/>
      <c r="AD31" s="2843"/>
      <c r="AE31" s="2842"/>
      <c r="AF31" s="2841"/>
      <c r="AG31" s="2842"/>
      <c r="AH31" s="2841"/>
      <c r="AI31" s="2842"/>
      <c r="AJ31" s="2841"/>
      <c r="AK31" s="2842"/>
      <c r="AL31" s="2841"/>
      <c r="AM31" s="2842"/>
      <c r="AN31" s="2841"/>
      <c r="AO31" s="2842"/>
      <c r="AP31" s="2841"/>
      <c r="AQ31" s="2842"/>
      <c r="AR31" s="2841"/>
      <c r="AS31" s="2842"/>
      <c r="AT31" s="2841"/>
      <c r="AU31" s="2842"/>
      <c r="AV31" s="2841"/>
      <c r="AW31" s="2842"/>
      <c r="AX31" s="2841"/>
      <c r="AY31" s="2842"/>
      <c r="AZ31" s="2841"/>
      <c r="BA31" s="2842"/>
      <c r="BB31" s="2841"/>
      <c r="BC31" s="2842"/>
      <c r="BD31" s="2841"/>
      <c r="BE31" s="2842"/>
      <c r="BF31" s="2841"/>
      <c r="BG31" s="2842"/>
      <c r="BH31" s="2857"/>
      <c r="BI31" s="2854"/>
      <c r="BJ31" s="2854"/>
      <c r="BK31" s="2855"/>
      <c r="BL31" s="2856"/>
      <c r="BM31" s="2842"/>
      <c r="BN31" s="2842"/>
      <c r="BO31" s="2842"/>
      <c r="BP31" s="2842"/>
      <c r="BQ31" s="2842"/>
      <c r="BR31" s="2848"/>
    </row>
    <row r="32" spans="1:70" ht="43.5" customHeight="1" x14ac:dyDescent="0.2">
      <c r="A32" s="1906"/>
      <c r="B32" s="1907"/>
      <c r="C32" s="1907"/>
      <c r="D32" s="1908"/>
      <c r="E32" s="1907"/>
      <c r="F32" s="1909"/>
      <c r="G32" s="1908"/>
      <c r="H32" s="1907"/>
      <c r="I32" s="1907"/>
      <c r="J32" s="2824"/>
      <c r="K32" s="2825"/>
      <c r="L32" s="2825"/>
      <c r="M32" s="2824"/>
      <c r="N32" s="2845"/>
      <c r="O32" s="2824"/>
      <c r="P32" s="2824"/>
      <c r="Q32" s="2825"/>
      <c r="R32" s="2847"/>
      <c r="S32" s="2837"/>
      <c r="T32" s="2839"/>
      <c r="U32" s="2849"/>
      <c r="V32" s="1918" t="s">
        <v>1698</v>
      </c>
      <c r="W32" s="1920">
        <v>1200000</v>
      </c>
      <c r="X32" s="1920"/>
      <c r="Y32" s="1920"/>
      <c r="Z32" s="1915">
        <v>20</v>
      </c>
      <c r="AA32" s="1916" t="s">
        <v>1674</v>
      </c>
      <c r="AB32" s="2841"/>
      <c r="AC32" s="2842"/>
      <c r="AD32" s="2843"/>
      <c r="AE32" s="2842"/>
      <c r="AF32" s="2841"/>
      <c r="AG32" s="2842"/>
      <c r="AH32" s="2841"/>
      <c r="AI32" s="2842"/>
      <c r="AJ32" s="2841"/>
      <c r="AK32" s="2842"/>
      <c r="AL32" s="2841"/>
      <c r="AM32" s="2842"/>
      <c r="AN32" s="2841"/>
      <c r="AO32" s="2842"/>
      <c r="AP32" s="2841"/>
      <c r="AQ32" s="2842"/>
      <c r="AR32" s="2841"/>
      <c r="AS32" s="2842"/>
      <c r="AT32" s="2841"/>
      <c r="AU32" s="2842"/>
      <c r="AV32" s="2841"/>
      <c r="AW32" s="2842"/>
      <c r="AX32" s="2841"/>
      <c r="AY32" s="2842"/>
      <c r="AZ32" s="2841"/>
      <c r="BA32" s="2842"/>
      <c r="BB32" s="2841"/>
      <c r="BC32" s="2842"/>
      <c r="BD32" s="2841"/>
      <c r="BE32" s="2842"/>
      <c r="BF32" s="2841"/>
      <c r="BG32" s="2842"/>
      <c r="BH32" s="2857"/>
      <c r="BI32" s="2854"/>
      <c r="BJ32" s="2854"/>
      <c r="BK32" s="2855"/>
      <c r="BL32" s="2856"/>
      <c r="BM32" s="2842"/>
      <c r="BN32" s="2842"/>
      <c r="BO32" s="2842"/>
      <c r="BP32" s="2842"/>
      <c r="BQ32" s="2842"/>
      <c r="BR32" s="2848"/>
    </row>
    <row r="33" spans="1:70" ht="43.5" customHeight="1" x14ac:dyDescent="0.2">
      <c r="A33" s="1906"/>
      <c r="B33" s="1907"/>
      <c r="C33" s="1907"/>
      <c r="D33" s="1908"/>
      <c r="E33" s="1907"/>
      <c r="F33" s="1909"/>
      <c r="G33" s="1922"/>
      <c r="H33" s="1907"/>
      <c r="I33" s="1907"/>
      <c r="J33" s="2824"/>
      <c r="K33" s="2825"/>
      <c r="L33" s="2825"/>
      <c r="M33" s="2824"/>
      <c r="N33" s="2846"/>
      <c r="O33" s="2824"/>
      <c r="P33" s="2824"/>
      <c r="Q33" s="2825"/>
      <c r="R33" s="2847"/>
      <c r="S33" s="2837"/>
      <c r="T33" s="2840"/>
      <c r="U33" s="2849"/>
      <c r="V33" s="1918" t="s">
        <v>1699</v>
      </c>
      <c r="W33" s="1920">
        <v>40000</v>
      </c>
      <c r="X33" s="1920"/>
      <c r="Y33" s="1920"/>
      <c r="Z33" s="1915">
        <v>20</v>
      </c>
      <c r="AA33" s="1916" t="s">
        <v>1674</v>
      </c>
      <c r="AB33" s="2841"/>
      <c r="AC33" s="2842"/>
      <c r="AD33" s="2843"/>
      <c r="AE33" s="2842"/>
      <c r="AF33" s="2841"/>
      <c r="AG33" s="2842"/>
      <c r="AH33" s="2841"/>
      <c r="AI33" s="2842"/>
      <c r="AJ33" s="2841"/>
      <c r="AK33" s="2842"/>
      <c r="AL33" s="2841"/>
      <c r="AM33" s="2842"/>
      <c r="AN33" s="2841"/>
      <c r="AO33" s="2842"/>
      <c r="AP33" s="2841"/>
      <c r="AQ33" s="2842"/>
      <c r="AR33" s="2841"/>
      <c r="AS33" s="2842"/>
      <c r="AT33" s="2841"/>
      <c r="AU33" s="2842"/>
      <c r="AV33" s="2841"/>
      <c r="AW33" s="2842"/>
      <c r="AX33" s="2841"/>
      <c r="AY33" s="2842"/>
      <c r="AZ33" s="2841"/>
      <c r="BA33" s="2842"/>
      <c r="BB33" s="2841"/>
      <c r="BC33" s="2842"/>
      <c r="BD33" s="2841"/>
      <c r="BE33" s="2842"/>
      <c r="BF33" s="2841"/>
      <c r="BG33" s="2842"/>
      <c r="BH33" s="2857"/>
      <c r="BI33" s="2854"/>
      <c r="BJ33" s="2854"/>
      <c r="BK33" s="2855"/>
      <c r="BL33" s="2856"/>
      <c r="BM33" s="2842"/>
      <c r="BN33" s="2842"/>
      <c r="BO33" s="2842"/>
      <c r="BP33" s="2842"/>
      <c r="BQ33" s="2842"/>
      <c r="BR33" s="2848"/>
    </row>
    <row r="34" spans="1:70" ht="39.75" customHeight="1" x14ac:dyDescent="0.2">
      <c r="A34" s="1923"/>
      <c r="B34" s="1924"/>
      <c r="C34" s="1924"/>
      <c r="D34" s="1925"/>
      <c r="E34" s="1924"/>
      <c r="G34" s="1894">
        <v>84</v>
      </c>
      <c r="H34" s="2823" t="s">
        <v>1700</v>
      </c>
      <c r="I34" s="2823"/>
      <c r="J34" s="2823"/>
      <c r="K34" s="2823"/>
      <c r="L34" s="1895"/>
      <c r="M34" s="1896"/>
      <c r="N34" s="1896"/>
      <c r="O34" s="1896"/>
      <c r="P34" s="1896"/>
      <c r="Q34" s="1895"/>
      <c r="R34" s="1897"/>
      <c r="S34" s="1927"/>
      <c r="T34" s="1928"/>
      <c r="U34" s="1928"/>
      <c r="V34" s="1929"/>
      <c r="W34" s="1930"/>
      <c r="X34" s="1930"/>
      <c r="Y34" s="1930"/>
      <c r="Z34" s="1931"/>
      <c r="AA34" s="1932"/>
      <c r="AB34" s="1933"/>
      <c r="AC34" s="1933"/>
      <c r="AD34" s="1934"/>
      <c r="AE34" s="1934"/>
      <c r="AF34" s="1933"/>
      <c r="AG34" s="1933"/>
      <c r="AH34" s="1933"/>
      <c r="AI34" s="1933"/>
      <c r="AJ34" s="1933"/>
      <c r="AK34" s="1933"/>
      <c r="AL34" s="1933"/>
      <c r="AM34" s="1933"/>
      <c r="AN34" s="1933"/>
      <c r="AO34" s="1933"/>
      <c r="AP34" s="1933"/>
      <c r="AQ34" s="1933"/>
      <c r="AR34" s="1933"/>
      <c r="AS34" s="1933"/>
      <c r="AT34" s="1933"/>
      <c r="AU34" s="1933"/>
      <c r="AV34" s="1933"/>
      <c r="AW34" s="1933"/>
      <c r="AX34" s="1933"/>
      <c r="AY34" s="1933"/>
      <c r="AZ34" s="1933"/>
      <c r="BA34" s="1933"/>
      <c r="BB34" s="1933"/>
      <c r="BC34" s="1933"/>
      <c r="BD34" s="1933"/>
      <c r="BE34" s="1933"/>
      <c r="BF34" s="1933"/>
      <c r="BG34" s="1933"/>
      <c r="BH34" s="1933"/>
      <c r="BI34" s="1933"/>
      <c r="BJ34" s="1933"/>
      <c r="BK34" s="1933"/>
      <c r="BL34" s="1933"/>
      <c r="BM34" s="1933"/>
      <c r="BN34" s="1935"/>
      <c r="BO34" s="1935"/>
      <c r="BP34" s="1936"/>
      <c r="BQ34" s="1936"/>
      <c r="BR34" s="1937"/>
    </row>
    <row r="35" spans="1:70" ht="60" customHeight="1" x14ac:dyDescent="0.2">
      <c r="A35" s="1938"/>
      <c r="D35" s="1939"/>
      <c r="G35" s="1939"/>
      <c r="J35" s="2824">
        <v>248</v>
      </c>
      <c r="K35" s="2825" t="s">
        <v>1701</v>
      </c>
      <c r="L35" s="2825" t="s">
        <v>1702</v>
      </c>
      <c r="M35" s="2850">
        <v>12</v>
      </c>
      <c r="N35" s="2851"/>
      <c r="O35" s="2824" t="s">
        <v>1703</v>
      </c>
      <c r="P35" s="2824" t="s">
        <v>1704</v>
      </c>
      <c r="Q35" s="2825" t="s">
        <v>1705</v>
      </c>
      <c r="R35" s="2859">
        <v>1</v>
      </c>
      <c r="S35" s="2860">
        <f>SUM(W35:W50)</f>
        <v>58500000</v>
      </c>
      <c r="T35" s="2861" t="s">
        <v>1706</v>
      </c>
      <c r="U35" s="2825" t="s">
        <v>1707</v>
      </c>
      <c r="V35" s="1940" t="s">
        <v>1708</v>
      </c>
      <c r="W35" s="1913">
        <v>500000</v>
      </c>
      <c r="X35" s="1913"/>
      <c r="Y35" s="1913"/>
      <c r="Z35" s="1915">
        <v>20</v>
      </c>
      <c r="AA35" s="1916" t="s">
        <v>1674</v>
      </c>
      <c r="AB35" s="2841">
        <v>294321</v>
      </c>
      <c r="AC35" s="2851"/>
      <c r="AD35" s="2843">
        <v>283947</v>
      </c>
      <c r="AE35" s="2851"/>
      <c r="AF35" s="2841">
        <v>135754</v>
      </c>
      <c r="AG35" s="2851"/>
      <c r="AH35" s="2841">
        <v>44640</v>
      </c>
      <c r="AI35" s="2851"/>
      <c r="AJ35" s="2841">
        <v>308178</v>
      </c>
      <c r="AK35" s="2851"/>
      <c r="AL35" s="2841">
        <v>89696</v>
      </c>
      <c r="AM35" s="2851"/>
      <c r="AN35" s="2841">
        <v>2145</v>
      </c>
      <c r="AO35" s="2851"/>
      <c r="AP35" s="2841">
        <v>12718</v>
      </c>
      <c r="AQ35" s="2851"/>
      <c r="AR35" s="2841">
        <v>26</v>
      </c>
      <c r="AS35" s="2851"/>
      <c r="AT35" s="2841">
        <v>37</v>
      </c>
      <c r="AU35" s="2851"/>
      <c r="AV35" s="2841"/>
      <c r="AW35" s="2851"/>
      <c r="AX35" s="2841"/>
      <c r="AY35" s="2851"/>
      <c r="AZ35" s="2841">
        <v>54612</v>
      </c>
      <c r="BA35" s="2851"/>
      <c r="BB35" s="2841">
        <v>16982</v>
      </c>
      <c r="BC35" s="2851"/>
      <c r="BD35" s="2841">
        <v>1010</v>
      </c>
      <c r="BE35" s="2851"/>
      <c r="BF35" s="2841">
        <f>AB35+AD35</f>
        <v>578268</v>
      </c>
      <c r="BG35" s="2851"/>
      <c r="BH35" s="2851"/>
      <c r="BI35" s="2866">
        <f>SUM(X35:X50)</f>
        <v>0</v>
      </c>
      <c r="BJ35" s="2866">
        <f>SUM(Y35:Y50)</f>
        <v>0</v>
      </c>
      <c r="BK35" s="2863">
        <v>0</v>
      </c>
      <c r="BL35" s="2844"/>
      <c r="BM35" s="2851"/>
      <c r="BN35" s="2842">
        <v>43102</v>
      </c>
      <c r="BO35" s="2851"/>
      <c r="BP35" s="2842">
        <v>43465</v>
      </c>
      <c r="BQ35" s="2851"/>
      <c r="BR35" s="2848" t="s">
        <v>1677</v>
      </c>
    </row>
    <row r="36" spans="1:70" ht="60" customHeight="1" x14ac:dyDescent="0.2">
      <c r="A36" s="1938"/>
      <c r="D36" s="1939"/>
      <c r="G36" s="1939"/>
      <c r="J36" s="2824"/>
      <c r="K36" s="2825"/>
      <c r="L36" s="2825"/>
      <c r="M36" s="2850"/>
      <c r="N36" s="2852"/>
      <c r="O36" s="2824"/>
      <c r="P36" s="2824"/>
      <c r="Q36" s="2825"/>
      <c r="R36" s="2859"/>
      <c r="S36" s="2860"/>
      <c r="T36" s="2861"/>
      <c r="U36" s="2825"/>
      <c r="V36" s="1940" t="s">
        <v>1709</v>
      </c>
      <c r="W36" s="1913">
        <v>500000</v>
      </c>
      <c r="X36" s="1913"/>
      <c r="Y36" s="1913"/>
      <c r="Z36" s="1915">
        <v>88</v>
      </c>
      <c r="AA36" s="1916" t="s">
        <v>467</v>
      </c>
      <c r="AB36" s="2841"/>
      <c r="AC36" s="2852"/>
      <c r="AD36" s="2843"/>
      <c r="AE36" s="2852"/>
      <c r="AF36" s="2841"/>
      <c r="AG36" s="2852"/>
      <c r="AH36" s="2841"/>
      <c r="AI36" s="2852"/>
      <c r="AJ36" s="2841"/>
      <c r="AK36" s="2852"/>
      <c r="AL36" s="2841"/>
      <c r="AM36" s="2852"/>
      <c r="AN36" s="2841"/>
      <c r="AO36" s="2852"/>
      <c r="AP36" s="2841"/>
      <c r="AQ36" s="2852"/>
      <c r="AR36" s="2841"/>
      <c r="AS36" s="2852"/>
      <c r="AT36" s="2841"/>
      <c r="AU36" s="2852"/>
      <c r="AV36" s="2841"/>
      <c r="AW36" s="2852"/>
      <c r="AX36" s="2841"/>
      <c r="AY36" s="2852"/>
      <c r="AZ36" s="2841"/>
      <c r="BA36" s="2852"/>
      <c r="BB36" s="2841"/>
      <c r="BC36" s="2852"/>
      <c r="BD36" s="2841"/>
      <c r="BE36" s="2852"/>
      <c r="BF36" s="2841"/>
      <c r="BG36" s="2852"/>
      <c r="BH36" s="2852"/>
      <c r="BI36" s="2852"/>
      <c r="BJ36" s="2852"/>
      <c r="BK36" s="2864"/>
      <c r="BL36" s="2845"/>
      <c r="BM36" s="2852"/>
      <c r="BN36" s="2842"/>
      <c r="BO36" s="2852"/>
      <c r="BP36" s="2842"/>
      <c r="BQ36" s="2852"/>
      <c r="BR36" s="2848"/>
    </row>
    <row r="37" spans="1:70" ht="60" customHeight="1" x14ac:dyDescent="0.2">
      <c r="A37" s="1938"/>
      <c r="D37" s="1939"/>
      <c r="G37" s="1939"/>
      <c r="J37" s="2824"/>
      <c r="K37" s="2825"/>
      <c r="L37" s="2825"/>
      <c r="M37" s="2850"/>
      <c r="N37" s="2852"/>
      <c r="O37" s="2824"/>
      <c r="P37" s="2824"/>
      <c r="Q37" s="2825"/>
      <c r="R37" s="2859"/>
      <c r="S37" s="2860"/>
      <c r="T37" s="2861"/>
      <c r="U37" s="2825"/>
      <c r="V37" s="1940" t="s">
        <v>1710</v>
      </c>
      <c r="W37" s="1913">
        <v>500000</v>
      </c>
      <c r="X37" s="1913"/>
      <c r="Y37" s="1913"/>
      <c r="Z37" s="1915">
        <v>20</v>
      </c>
      <c r="AA37" s="1916" t="s">
        <v>1674</v>
      </c>
      <c r="AB37" s="2841"/>
      <c r="AC37" s="2852"/>
      <c r="AD37" s="2843"/>
      <c r="AE37" s="2852"/>
      <c r="AF37" s="2841"/>
      <c r="AG37" s="2852"/>
      <c r="AH37" s="2841"/>
      <c r="AI37" s="2852"/>
      <c r="AJ37" s="2841"/>
      <c r="AK37" s="2852"/>
      <c r="AL37" s="2841"/>
      <c r="AM37" s="2852"/>
      <c r="AN37" s="2841"/>
      <c r="AO37" s="2852"/>
      <c r="AP37" s="2841"/>
      <c r="AQ37" s="2852"/>
      <c r="AR37" s="2841"/>
      <c r="AS37" s="2852"/>
      <c r="AT37" s="2841"/>
      <c r="AU37" s="2852"/>
      <c r="AV37" s="2841"/>
      <c r="AW37" s="2852"/>
      <c r="AX37" s="2841"/>
      <c r="AY37" s="2852"/>
      <c r="AZ37" s="2841"/>
      <c r="BA37" s="2852"/>
      <c r="BB37" s="2841"/>
      <c r="BC37" s="2852"/>
      <c r="BD37" s="2841"/>
      <c r="BE37" s="2852"/>
      <c r="BF37" s="2841"/>
      <c r="BG37" s="2852"/>
      <c r="BH37" s="2852"/>
      <c r="BI37" s="2852"/>
      <c r="BJ37" s="2852"/>
      <c r="BK37" s="2864"/>
      <c r="BL37" s="2845"/>
      <c r="BM37" s="2852"/>
      <c r="BN37" s="2842"/>
      <c r="BO37" s="2852"/>
      <c r="BP37" s="2842"/>
      <c r="BQ37" s="2852"/>
      <c r="BR37" s="2848"/>
    </row>
    <row r="38" spans="1:70" ht="60" customHeight="1" x14ac:dyDescent="0.2">
      <c r="A38" s="1938"/>
      <c r="D38" s="1939"/>
      <c r="G38" s="1939"/>
      <c r="J38" s="2824"/>
      <c r="K38" s="2825"/>
      <c r="L38" s="2825"/>
      <c r="M38" s="2850"/>
      <c r="N38" s="2852"/>
      <c r="O38" s="2824"/>
      <c r="P38" s="2824"/>
      <c r="Q38" s="2825"/>
      <c r="R38" s="2859"/>
      <c r="S38" s="2860"/>
      <c r="T38" s="2861"/>
      <c r="U38" s="2825"/>
      <c r="V38" s="1940" t="s">
        <v>1711</v>
      </c>
      <c r="W38" s="1913">
        <v>1000000</v>
      </c>
      <c r="X38" s="1913"/>
      <c r="Y38" s="1913"/>
      <c r="Z38" s="1915">
        <v>88</v>
      </c>
      <c r="AA38" s="1916" t="s">
        <v>467</v>
      </c>
      <c r="AB38" s="2841"/>
      <c r="AC38" s="2852"/>
      <c r="AD38" s="2843"/>
      <c r="AE38" s="2852"/>
      <c r="AF38" s="2841"/>
      <c r="AG38" s="2852"/>
      <c r="AH38" s="2841"/>
      <c r="AI38" s="2852"/>
      <c r="AJ38" s="2841"/>
      <c r="AK38" s="2852"/>
      <c r="AL38" s="2841"/>
      <c r="AM38" s="2852"/>
      <c r="AN38" s="2841"/>
      <c r="AO38" s="2852"/>
      <c r="AP38" s="2841"/>
      <c r="AQ38" s="2852"/>
      <c r="AR38" s="2841"/>
      <c r="AS38" s="2852"/>
      <c r="AT38" s="2841"/>
      <c r="AU38" s="2852"/>
      <c r="AV38" s="2841"/>
      <c r="AW38" s="2852"/>
      <c r="AX38" s="2841"/>
      <c r="AY38" s="2852"/>
      <c r="AZ38" s="2841"/>
      <c r="BA38" s="2852"/>
      <c r="BB38" s="2841"/>
      <c r="BC38" s="2852"/>
      <c r="BD38" s="2841"/>
      <c r="BE38" s="2852"/>
      <c r="BF38" s="2841"/>
      <c r="BG38" s="2852"/>
      <c r="BH38" s="2852"/>
      <c r="BI38" s="2852"/>
      <c r="BJ38" s="2852"/>
      <c r="BK38" s="2864"/>
      <c r="BL38" s="2845"/>
      <c r="BM38" s="2852"/>
      <c r="BN38" s="2842"/>
      <c r="BO38" s="2852"/>
      <c r="BP38" s="2842"/>
      <c r="BQ38" s="2852"/>
      <c r="BR38" s="2848"/>
    </row>
    <row r="39" spans="1:70" ht="60" customHeight="1" x14ac:dyDescent="0.2">
      <c r="A39" s="1938"/>
      <c r="D39" s="1939"/>
      <c r="G39" s="1939"/>
      <c r="J39" s="2824"/>
      <c r="K39" s="2825"/>
      <c r="L39" s="2825"/>
      <c r="M39" s="2850"/>
      <c r="N39" s="2852"/>
      <c r="O39" s="2824"/>
      <c r="P39" s="2824"/>
      <c r="Q39" s="2825"/>
      <c r="R39" s="2859"/>
      <c r="S39" s="2860"/>
      <c r="T39" s="2861"/>
      <c r="U39" s="2825"/>
      <c r="V39" s="1940" t="s">
        <v>1712</v>
      </c>
      <c r="W39" s="1913">
        <v>1000000</v>
      </c>
      <c r="X39" s="1913"/>
      <c r="Y39" s="1913"/>
      <c r="Z39" s="1915">
        <v>20</v>
      </c>
      <c r="AA39" s="1916" t="s">
        <v>1674</v>
      </c>
      <c r="AB39" s="2841"/>
      <c r="AC39" s="2852"/>
      <c r="AD39" s="2843"/>
      <c r="AE39" s="2852"/>
      <c r="AF39" s="2841"/>
      <c r="AG39" s="2852"/>
      <c r="AH39" s="2841"/>
      <c r="AI39" s="2852"/>
      <c r="AJ39" s="2841"/>
      <c r="AK39" s="2852"/>
      <c r="AL39" s="2841"/>
      <c r="AM39" s="2852"/>
      <c r="AN39" s="2841"/>
      <c r="AO39" s="2852"/>
      <c r="AP39" s="2841"/>
      <c r="AQ39" s="2852"/>
      <c r="AR39" s="2841"/>
      <c r="AS39" s="2852"/>
      <c r="AT39" s="2841"/>
      <c r="AU39" s="2852"/>
      <c r="AV39" s="2841"/>
      <c r="AW39" s="2852"/>
      <c r="AX39" s="2841"/>
      <c r="AY39" s="2852"/>
      <c r="AZ39" s="2841"/>
      <c r="BA39" s="2852"/>
      <c r="BB39" s="2841"/>
      <c r="BC39" s="2852"/>
      <c r="BD39" s="2841"/>
      <c r="BE39" s="2852"/>
      <c r="BF39" s="2841"/>
      <c r="BG39" s="2852"/>
      <c r="BH39" s="2852"/>
      <c r="BI39" s="2852"/>
      <c r="BJ39" s="2852"/>
      <c r="BK39" s="2864"/>
      <c r="BL39" s="2845"/>
      <c r="BM39" s="2852"/>
      <c r="BN39" s="2842"/>
      <c r="BO39" s="2852"/>
      <c r="BP39" s="2842"/>
      <c r="BQ39" s="2852"/>
      <c r="BR39" s="2848"/>
    </row>
    <row r="40" spans="1:70" ht="60" customHeight="1" x14ac:dyDescent="0.2">
      <c r="A40" s="1938"/>
      <c r="D40" s="1939"/>
      <c r="G40" s="1939"/>
      <c r="J40" s="2824"/>
      <c r="K40" s="2825"/>
      <c r="L40" s="2825"/>
      <c r="M40" s="2850"/>
      <c r="N40" s="2852"/>
      <c r="O40" s="2824"/>
      <c r="P40" s="2824"/>
      <c r="Q40" s="2825"/>
      <c r="R40" s="2859"/>
      <c r="S40" s="2860"/>
      <c r="T40" s="2861"/>
      <c r="U40" s="2825"/>
      <c r="V40" s="1940" t="s">
        <v>1713</v>
      </c>
      <c r="W40" s="1913">
        <v>1500000</v>
      </c>
      <c r="X40" s="1913"/>
      <c r="Y40" s="1913"/>
      <c r="Z40" s="1915">
        <v>88</v>
      </c>
      <c r="AA40" s="1916" t="s">
        <v>467</v>
      </c>
      <c r="AB40" s="2841"/>
      <c r="AC40" s="2852"/>
      <c r="AD40" s="2843"/>
      <c r="AE40" s="2852"/>
      <c r="AF40" s="2841"/>
      <c r="AG40" s="2852"/>
      <c r="AH40" s="2841"/>
      <c r="AI40" s="2852"/>
      <c r="AJ40" s="2841"/>
      <c r="AK40" s="2852"/>
      <c r="AL40" s="2841"/>
      <c r="AM40" s="2852"/>
      <c r="AN40" s="2841"/>
      <c r="AO40" s="2852"/>
      <c r="AP40" s="2841"/>
      <c r="AQ40" s="2852"/>
      <c r="AR40" s="2841"/>
      <c r="AS40" s="2852"/>
      <c r="AT40" s="2841"/>
      <c r="AU40" s="2852"/>
      <c r="AV40" s="2841"/>
      <c r="AW40" s="2852"/>
      <c r="AX40" s="2841"/>
      <c r="AY40" s="2852"/>
      <c r="AZ40" s="2841"/>
      <c r="BA40" s="2852"/>
      <c r="BB40" s="2841"/>
      <c r="BC40" s="2852"/>
      <c r="BD40" s="2841"/>
      <c r="BE40" s="2852"/>
      <c r="BF40" s="2841"/>
      <c r="BG40" s="2852"/>
      <c r="BH40" s="2852"/>
      <c r="BI40" s="2852"/>
      <c r="BJ40" s="2852"/>
      <c r="BK40" s="2864"/>
      <c r="BL40" s="2845"/>
      <c r="BM40" s="2852"/>
      <c r="BN40" s="2842"/>
      <c r="BO40" s="2852"/>
      <c r="BP40" s="2842"/>
      <c r="BQ40" s="2852"/>
      <c r="BR40" s="2848"/>
    </row>
    <row r="41" spans="1:70" ht="60" customHeight="1" x14ac:dyDescent="0.2">
      <c r="A41" s="1938"/>
      <c r="D41" s="1939"/>
      <c r="G41" s="1939"/>
      <c r="J41" s="2824"/>
      <c r="K41" s="2825"/>
      <c r="L41" s="2825"/>
      <c r="M41" s="2850"/>
      <c r="N41" s="2852"/>
      <c r="O41" s="2824"/>
      <c r="P41" s="2824"/>
      <c r="Q41" s="2825"/>
      <c r="R41" s="2859"/>
      <c r="S41" s="2860"/>
      <c r="T41" s="2861"/>
      <c r="U41" s="2825"/>
      <c r="V41" s="1940" t="s">
        <v>1714</v>
      </c>
      <c r="W41" s="1913">
        <v>500000</v>
      </c>
      <c r="X41" s="1913"/>
      <c r="Y41" s="1913"/>
      <c r="Z41" s="1915">
        <v>20</v>
      </c>
      <c r="AA41" s="1916" t="s">
        <v>1674</v>
      </c>
      <c r="AB41" s="2841"/>
      <c r="AC41" s="2852"/>
      <c r="AD41" s="2843"/>
      <c r="AE41" s="2852"/>
      <c r="AF41" s="2841"/>
      <c r="AG41" s="2852"/>
      <c r="AH41" s="2841"/>
      <c r="AI41" s="2852"/>
      <c r="AJ41" s="2841"/>
      <c r="AK41" s="2852"/>
      <c r="AL41" s="2841"/>
      <c r="AM41" s="2852"/>
      <c r="AN41" s="2841"/>
      <c r="AO41" s="2852"/>
      <c r="AP41" s="2841"/>
      <c r="AQ41" s="2852"/>
      <c r="AR41" s="2841"/>
      <c r="AS41" s="2852"/>
      <c r="AT41" s="2841"/>
      <c r="AU41" s="2852"/>
      <c r="AV41" s="2841"/>
      <c r="AW41" s="2852"/>
      <c r="AX41" s="2841"/>
      <c r="AY41" s="2852"/>
      <c r="AZ41" s="2841"/>
      <c r="BA41" s="2852"/>
      <c r="BB41" s="2841"/>
      <c r="BC41" s="2852"/>
      <c r="BD41" s="2841"/>
      <c r="BE41" s="2852"/>
      <c r="BF41" s="2841"/>
      <c r="BG41" s="2852"/>
      <c r="BH41" s="2852"/>
      <c r="BI41" s="2852"/>
      <c r="BJ41" s="2852"/>
      <c r="BK41" s="2864"/>
      <c r="BL41" s="2845"/>
      <c r="BM41" s="2852"/>
      <c r="BN41" s="2842"/>
      <c r="BO41" s="2852"/>
      <c r="BP41" s="2842"/>
      <c r="BQ41" s="2852"/>
      <c r="BR41" s="2848"/>
    </row>
    <row r="42" spans="1:70" ht="60" customHeight="1" x14ac:dyDescent="0.2">
      <c r="A42" s="1938"/>
      <c r="D42" s="1939"/>
      <c r="G42" s="1939"/>
      <c r="J42" s="2824"/>
      <c r="K42" s="2825"/>
      <c r="L42" s="2825"/>
      <c r="M42" s="2850"/>
      <c r="N42" s="2852"/>
      <c r="O42" s="2824"/>
      <c r="P42" s="2824"/>
      <c r="Q42" s="2825"/>
      <c r="R42" s="2859"/>
      <c r="S42" s="2860"/>
      <c r="T42" s="2861"/>
      <c r="U42" s="2825"/>
      <c r="V42" s="1940" t="s">
        <v>1715</v>
      </c>
      <c r="W42" s="1913">
        <v>1000000</v>
      </c>
      <c r="X42" s="1913"/>
      <c r="Y42" s="1913"/>
      <c r="Z42" s="1915">
        <v>88</v>
      </c>
      <c r="AA42" s="1916" t="s">
        <v>467</v>
      </c>
      <c r="AB42" s="2841"/>
      <c r="AC42" s="2852"/>
      <c r="AD42" s="2843"/>
      <c r="AE42" s="2852"/>
      <c r="AF42" s="2841"/>
      <c r="AG42" s="2852"/>
      <c r="AH42" s="2841"/>
      <c r="AI42" s="2852"/>
      <c r="AJ42" s="2841"/>
      <c r="AK42" s="2852"/>
      <c r="AL42" s="2841"/>
      <c r="AM42" s="2852"/>
      <c r="AN42" s="2841"/>
      <c r="AO42" s="2852"/>
      <c r="AP42" s="2841"/>
      <c r="AQ42" s="2852"/>
      <c r="AR42" s="2841"/>
      <c r="AS42" s="2852"/>
      <c r="AT42" s="2841"/>
      <c r="AU42" s="2852"/>
      <c r="AV42" s="2841"/>
      <c r="AW42" s="2852"/>
      <c r="AX42" s="2841"/>
      <c r="AY42" s="2852"/>
      <c r="AZ42" s="2841"/>
      <c r="BA42" s="2852"/>
      <c r="BB42" s="2841"/>
      <c r="BC42" s="2852"/>
      <c r="BD42" s="2841"/>
      <c r="BE42" s="2852"/>
      <c r="BF42" s="2841"/>
      <c r="BG42" s="2852"/>
      <c r="BH42" s="2852"/>
      <c r="BI42" s="2852"/>
      <c r="BJ42" s="2852"/>
      <c r="BK42" s="2864"/>
      <c r="BL42" s="2845"/>
      <c r="BM42" s="2852"/>
      <c r="BN42" s="2842"/>
      <c r="BO42" s="2852"/>
      <c r="BP42" s="2842"/>
      <c r="BQ42" s="2852"/>
      <c r="BR42" s="2848"/>
    </row>
    <row r="43" spans="1:70" ht="60" customHeight="1" x14ac:dyDescent="0.2">
      <c r="A43" s="1938"/>
      <c r="D43" s="1939"/>
      <c r="G43" s="1939"/>
      <c r="J43" s="2824"/>
      <c r="K43" s="2825"/>
      <c r="L43" s="2825"/>
      <c r="M43" s="2850"/>
      <c r="N43" s="2852"/>
      <c r="O43" s="2824"/>
      <c r="P43" s="2824"/>
      <c r="Q43" s="2825"/>
      <c r="R43" s="2859"/>
      <c r="S43" s="2860"/>
      <c r="T43" s="2861"/>
      <c r="U43" s="2825"/>
      <c r="V43" s="1940" t="s">
        <v>1716</v>
      </c>
      <c r="W43" s="1913">
        <v>500000</v>
      </c>
      <c r="X43" s="1913"/>
      <c r="Y43" s="1913"/>
      <c r="Z43" s="1915">
        <v>20</v>
      </c>
      <c r="AA43" s="1916" t="s">
        <v>1674</v>
      </c>
      <c r="AB43" s="2841"/>
      <c r="AC43" s="2852"/>
      <c r="AD43" s="2843"/>
      <c r="AE43" s="2852"/>
      <c r="AF43" s="2841"/>
      <c r="AG43" s="2852"/>
      <c r="AH43" s="2841"/>
      <c r="AI43" s="2852"/>
      <c r="AJ43" s="2841"/>
      <c r="AK43" s="2852"/>
      <c r="AL43" s="2841"/>
      <c r="AM43" s="2852"/>
      <c r="AN43" s="2841"/>
      <c r="AO43" s="2852"/>
      <c r="AP43" s="2841"/>
      <c r="AQ43" s="2852"/>
      <c r="AR43" s="2841"/>
      <c r="AS43" s="2852"/>
      <c r="AT43" s="2841"/>
      <c r="AU43" s="2852"/>
      <c r="AV43" s="2841"/>
      <c r="AW43" s="2852"/>
      <c r="AX43" s="2841"/>
      <c r="AY43" s="2852"/>
      <c r="AZ43" s="2841"/>
      <c r="BA43" s="2852"/>
      <c r="BB43" s="2841"/>
      <c r="BC43" s="2852"/>
      <c r="BD43" s="2841"/>
      <c r="BE43" s="2852"/>
      <c r="BF43" s="2841"/>
      <c r="BG43" s="2852"/>
      <c r="BH43" s="2852"/>
      <c r="BI43" s="2852"/>
      <c r="BJ43" s="2852"/>
      <c r="BK43" s="2864"/>
      <c r="BL43" s="2845"/>
      <c r="BM43" s="2852"/>
      <c r="BN43" s="2842"/>
      <c r="BO43" s="2852"/>
      <c r="BP43" s="2842"/>
      <c r="BQ43" s="2852"/>
      <c r="BR43" s="2848"/>
    </row>
    <row r="44" spans="1:70" ht="60" customHeight="1" x14ac:dyDescent="0.2">
      <c r="A44" s="1938"/>
      <c r="D44" s="1939"/>
      <c r="G44" s="1939"/>
      <c r="J44" s="2824"/>
      <c r="K44" s="2825"/>
      <c r="L44" s="2825"/>
      <c r="M44" s="2850"/>
      <c r="N44" s="2852"/>
      <c r="O44" s="2824"/>
      <c r="P44" s="2824"/>
      <c r="Q44" s="2825"/>
      <c r="R44" s="2859"/>
      <c r="S44" s="2860"/>
      <c r="T44" s="2861"/>
      <c r="U44" s="1940"/>
      <c r="V44" s="1940" t="s">
        <v>1717</v>
      </c>
      <c r="W44" s="1913">
        <v>500000</v>
      </c>
      <c r="X44" s="1913"/>
      <c r="Y44" s="1913"/>
      <c r="Z44" s="1915">
        <v>88</v>
      </c>
      <c r="AA44" s="1916" t="s">
        <v>467</v>
      </c>
      <c r="AB44" s="2841"/>
      <c r="AC44" s="2852"/>
      <c r="AD44" s="2843"/>
      <c r="AE44" s="2852"/>
      <c r="AF44" s="2841"/>
      <c r="AG44" s="2852"/>
      <c r="AH44" s="2841"/>
      <c r="AI44" s="2852"/>
      <c r="AJ44" s="2841"/>
      <c r="AK44" s="2852"/>
      <c r="AL44" s="2841"/>
      <c r="AM44" s="2852"/>
      <c r="AN44" s="2841"/>
      <c r="AO44" s="2852"/>
      <c r="AP44" s="2841"/>
      <c r="AQ44" s="2852"/>
      <c r="AR44" s="2841"/>
      <c r="AS44" s="2852"/>
      <c r="AT44" s="2841"/>
      <c r="AU44" s="2852"/>
      <c r="AV44" s="2841"/>
      <c r="AW44" s="2852"/>
      <c r="AX44" s="2841"/>
      <c r="AY44" s="2852"/>
      <c r="AZ44" s="2841"/>
      <c r="BA44" s="2852"/>
      <c r="BB44" s="2841"/>
      <c r="BC44" s="2852"/>
      <c r="BD44" s="2841"/>
      <c r="BE44" s="2852"/>
      <c r="BF44" s="2841"/>
      <c r="BG44" s="2852"/>
      <c r="BH44" s="2852"/>
      <c r="BI44" s="2852"/>
      <c r="BJ44" s="2852"/>
      <c r="BK44" s="2864"/>
      <c r="BL44" s="2845"/>
      <c r="BM44" s="2852"/>
      <c r="BN44" s="2842"/>
      <c r="BO44" s="2852"/>
      <c r="BP44" s="2842"/>
      <c r="BQ44" s="2852"/>
      <c r="BR44" s="2848"/>
    </row>
    <row r="45" spans="1:70" ht="60" customHeight="1" x14ac:dyDescent="0.2">
      <c r="A45" s="1938"/>
      <c r="D45" s="1939"/>
      <c r="G45" s="1939"/>
      <c r="J45" s="2824"/>
      <c r="K45" s="2825"/>
      <c r="L45" s="2825"/>
      <c r="M45" s="2850"/>
      <c r="N45" s="2852"/>
      <c r="O45" s="2824"/>
      <c r="P45" s="2824"/>
      <c r="Q45" s="2825"/>
      <c r="R45" s="2859"/>
      <c r="S45" s="2860"/>
      <c r="T45" s="2861"/>
      <c r="U45" s="2838" t="s">
        <v>1718</v>
      </c>
      <c r="V45" s="1940" t="s">
        <v>1719</v>
      </c>
      <c r="W45" s="1941">
        <v>15000000</v>
      </c>
      <c r="X45" s="1941"/>
      <c r="Y45" s="1941"/>
      <c r="Z45" s="1915">
        <v>20</v>
      </c>
      <c r="AA45" s="1916" t="s">
        <v>1674</v>
      </c>
      <c r="AB45" s="2841"/>
      <c r="AC45" s="2852"/>
      <c r="AD45" s="2843"/>
      <c r="AE45" s="2852"/>
      <c r="AF45" s="2841"/>
      <c r="AG45" s="2852"/>
      <c r="AH45" s="2841"/>
      <c r="AI45" s="2852"/>
      <c r="AJ45" s="2841"/>
      <c r="AK45" s="2852"/>
      <c r="AL45" s="2841"/>
      <c r="AM45" s="2852"/>
      <c r="AN45" s="2841"/>
      <c r="AO45" s="2852"/>
      <c r="AP45" s="2841"/>
      <c r="AQ45" s="2852"/>
      <c r="AR45" s="2841"/>
      <c r="AS45" s="2852"/>
      <c r="AT45" s="2841"/>
      <c r="AU45" s="2852"/>
      <c r="AV45" s="2841"/>
      <c r="AW45" s="2852"/>
      <c r="AX45" s="2841"/>
      <c r="AY45" s="2852"/>
      <c r="AZ45" s="2841"/>
      <c r="BA45" s="2852"/>
      <c r="BB45" s="2841"/>
      <c r="BC45" s="2852"/>
      <c r="BD45" s="2841"/>
      <c r="BE45" s="2852"/>
      <c r="BF45" s="2841"/>
      <c r="BG45" s="2852"/>
      <c r="BH45" s="2852"/>
      <c r="BI45" s="2852"/>
      <c r="BJ45" s="2852"/>
      <c r="BK45" s="2864"/>
      <c r="BL45" s="2845"/>
      <c r="BM45" s="2852"/>
      <c r="BN45" s="2842"/>
      <c r="BO45" s="2852"/>
      <c r="BP45" s="2842"/>
      <c r="BQ45" s="2852"/>
      <c r="BR45" s="2848"/>
    </row>
    <row r="46" spans="1:70" ht="60" customHeight="1" x14ac:dyDescent="0.2">
      <c r="A46" s="1938"/>
      <c r="D46" s="1939"/>
      <c r="G46" s="1939"/>
      <c r="J46" s="2824"/>
      <c r="K46" s="2825"/>
      <c r="L46" s="2825"/>
      <c r="M46" s="2850"/>
      <c r="N46" s="2852"/>
      <c r="O46" s="2824"/>
      <c r="P46" s="2824"/>
      <c r="Q46" s="2825"/>
      <c r="R46" s="2859"/>
      <c r="S46" s="2860"/>
      <c r="T46" s="2861"/>
      <c r="U46" s="2840"/>
      <c r="V46" s="1940" t="s">
        <v>1720</v>
      </c>
      <c r="W46" s="1941">
        <v>15000000</v>
      </c>
      <c r="X46" s="1941"/>
      <c r="Y46" s="1941"/>
      <c r="Z46" s="1915">
        <v>88</v>
      </c>
      <c r="AA46" s="1916" t="s">
        <v>467</v>
      </c>
      <c r="AB46" s="2841"/>
      <c r="AC46" s="2852"/>
      <c r="AD46" s="2843"/>
      <c r="AE46" s="2852"/>
      <c r="AF46" s="2841"/>
      <c r="AG46" s="2852"/>
      <c r="AH46" s="2841"/>
      <c r="AI46" s="2852"/>
      <c r="AJ46" s="2841"/>
      <c r="AK46" s="2852"/>
      <c r="AL46" s="2841"/>
      <c r="AM46" s="2852"/>
      <c r="AN46" s="2841"/>
      <c r="AO46" s="2852"/>
      <c r="AP46" s="2841"/>
      <c r="AQ46" s="2852"/>
      <c r="AR46" s="2841"/>
      <c r="AS46" s="2852"/>
      <c r="AT46" s="2841"/>
      <c r="AU46" s="2852"/>
      <c r="AV46" s="2841"/>
      <c r="AW46" s="2852"/>
      <c r="AX46" s="2841"/>
      <c r="AY46" s="2852"/>
      <c r="AZ46" s="2841"/>
      <c r="BA46" s="2852"/>
      <c r="BB46" s="2841"/>
      <c r="BC46" s="2852"/>
      <c r="BD46" s="2841"/>
      <c r="BE46" s="2852"/>
      <c r="BF46" s="2841"/>
      <c r="BG46" s="2852"/>
      <c r="BH46" s="2852"/>
      <c r="BI46" s="2852"/>
      <c r="BJ46" s="2852"/>
      <c r="BK46" s="2864"/>
      <c r="BL46" s="2845"/>
      <c r="BM46" s="2852"/>
      <c r="BN46" s="2842"/>
      <c r="BO46" s="2852"/>
      <c r="BP46" s="2842"/>
      <c r="BQ46" s="2852"/>
      <c r="BR46" s="2848"/>
    </row>
    <row r="47" spans="1:70" ht="60" customHeight="1" x14ac:dyDescent="0.2">
      <c r="A47" s="1938"/>
      <c r="D47" s="1939"/>
      <c r="G47" s="1939"/>
      <c r="J47" s="2824"/>
      <c r="K47" s="2825"/>
      <c r="L47" s="2825"/>
      <c r="M47" s="2850"/>
      <c r="N47" s="2852"/>
      <c r="O47" s="2824"/>
      <c r="P47" s="2824"/>
      <c r="Q47" s="2825"/>
      <c r="R47" s="2859"/>
      <c r="S47" s="2860"/>
      <c r="T47" s="2861"/>
      <c r="U47" s="2825" t="s">
        <v>1721</v>
      </c>
      <c r="V47" s="1940" t="s">
        <v>1722</v>
      </c>
      <c r="W47" s="1941">
        <v>3500000</v>
      </c>
      <c r="X47" s="1941"/>
      <c r="Y47" s="1941"/>
      <c r="Z47" s="1915">
        <v>20</v>
      </c>
      <c r="AA47" s="1916" t="s">
        <v>1674</v>
      </c>
      <c r="AB47" s="2841"/>
      <c r="AC47" s="2852"/>
      <c r="AD47" s="2843"/>
      <c r="AE47" s="2852"/>
      <c r="AF47" s="2841"/>
      <c r="AG47" s="2852"/>
      <c r="AH47" s="2841"/>
      <c r="AI47" s="2852"/>
      <c r="AJ47" s="2841"/>
      <c r="AK47" s="2852"/>
      <c r="AL47" s="2841"/>
      <c r="AM47" s="2852"/>
      <c r="AN47" s="2841"/>
      <c r="AO47" s="2852"/>
      <c r="AP47" s="2841"/>
      <c r="AQ47" s="2852"/>
      <c r="AR47" s="2841"/>
      <c r="AS47" s="2852"/>
      <c r="AT47" s="2841"/>
      <c r="AU47" s="2852"/>
      <c r="AV47" s="2841"/>
      <c r="AW47" s="2852"/>
      <c r="AX47" s="2841"/>
      <c r="AY47" s="2852"/>
      <c r="AZ47" s="2841"/>
      <c r="BA47" s="2852"/>
      <c r="BB47" s="2841"/>
      <c r="BC47" s="2852"/>
      <c r="BD47" s="2841"/>
      <c r="BE47" s="2852"/>
      <c r="BF47" s="2841"/>
      <c r="BG47" s="2852"/>
      <c r="BH47" s="2852"/>
      <c r="BI47" s="2852"/>
      <c r="BJ47" s="2852"/>
      <c r="BK47" s="2864"/>
      <c r="BL47" s="2845"/>
      <c r="BM47" s="2852"/>
      <c r="BN47" s="2842"/>
      <c r="BO47" s="2852"/>
      <c r="BP47" s="2842"/>
      <c r="BQ47" s="2852"/>
      <c r="BR47" s="2848"/>
    </row>
    <row r="48" spans="1:70" ht="60" customHeight="1" x14ac:dyDescent="0.2">
      <c r="A48" s="1938"/>
      <c r="D48" s="1939"/>
      <c r="G48" s="1939"/>
      <c r="J48" s="2824"/>
      <c r="K48" s="2825"/>
      <c r="L48" s="2825"/>
      <c r="M48" s="2850"/>
      <c r="N48" s="2852"/>
      <c r="O48" s="2824"/>
      <c r="P48" s="2824"/>
      <c r="Q48" s="2825"/>
      <c r="R48" s="2859"/>
      <c r="S48" s="2860"/>
      <c r="T48" s="2861"/>
      <c r="U48" s="2825"/>
      <c r="V48" s="1940" t="s">
        <v>1723</v>
      </c>
      <c r="W48" s="1941">
        <v>3500000</v>
      </c>
      <c r="X48" s="1941"/>
      <c r="Y48" s="1941"/>
      <c r="Z48" s="1915">
        <v>88</v>
      </c>
      <c r="AA48" s="1916" t="s">
        <v>467</v>
      </c>
      <c r="AB48" s="2841"/>
      <c r="AC48" s="2852"/>
      <c r="AD48" s="2843"/>
      <c r="AE48" s="2852"/>
      <c r="AF48" s="2841"/>
      <c r="AG48" s="2852"/>
      <c r="AH48" s="2841"/>
      <c r="AI48" s="2852"/>
      <c r="AJ48" s="2841"/>
      <c r="AK48" s="2852"/>
      <c r="AL48" s="2841"/>
      <c r="AM48" s="2852"/>
      <c r="AN48" s="2841"/>
      <c r="AO48" s="2852"/>
      <c r="AP48" s="2841"/>
      <c r="AQ48" s="2852"/>
      <c r="AR48" s="2841"/>
      <c r="AS48" s="2852"/>
      <c r="AT48" s="2841"/>
      <c r="AU48" s="2852"/>
      <c r="AV48" s="2841"/>
      <c r="AW48" s="2852"/>
      <c r="AX48" s="2841"/>
      <c r="AY48" s="2852"/>
      <c r="AZ48" s="2841"/>
      <c r="BA48" s="2852"/>
      <c r="BB48" s="2841"/>
      <c r="BC48" s="2852"/>
      <c r="BD48" s="2841"/>
      <c r="BE48" s="2852"/>
      <c r="BF48" s="2841"/>
      <c r="BG48" s="2852"/>
      <c r="BH48" s="2852"/>
      <c r="BI48" s="2852"/>
      <c r="BJ48" s="2852"/>
      <c r="BK48" s="2864"/>
      <c r="BL48" s="2845"/>
      <c r="BM48" s="2852"/>
      <c r="BN48" s="2842"/>
      <c r="BO48" s="2852"/>
      <c r="BP48" s="2842"/>
      <c r="BQ48" s="2852"/>
      <c r="BR48" s="2848"/>
    </row>
    <row r="49" spans="1:70" ht="60" customHeight="1" x14ac:dyDescent="0.2">
      <c r="A49" s="1938"/>
      <c r="D49" s="1939"/>
      <c r="G49" s="1939"/>
      <c r="J49" s="2824"/>
      <c r="K49" s="2825"/>
      <c r="L49" s="2825"/>
      <c r="M49" s="2850"/>
      <c r="N49" s="2852"/>
      <c r="O49" s="2824"/>
      <c r="P49" s="2824"/>
      <c r="Q49" s="2825"/>
      <c r="R49" s="2859"/>
      <c r="S49" s="2860"/>
      <c r="T49" s="2861"/>
      <c r="U49" s="2825"/>
      <c r="V49" s="1940" t="s">
        <v>1724</v>
      </c>
      <c r="W49" s="1942">
        <v>7000000</v>
      </c>
      <c r="X49" s="1941"/>
      <c r="Y49" s="1941"/>
      <c r="Z49" s="1943">
        <v>20</v>
      </c>
      <c r="AA49" s="1944" t="s">
        <v>1674</v>
      </c>
      <c r="AB49" s="2841"/>
      <c r="AC49" s="2852"/>
      <c r="AD49" s="2843"/>
      <c r="AE49" s="2852"/>
      <c r="AF49" s="2841"/>
      <c r="AG49" s="2852"/>
      <c r="AH49" s="2841"/>
      <c r="AI49" s="2852"/>
      <c r="AJ49" s="2841"/>
      <c r="AK49" s="2852"/>
      <c r="AL49" s="2841"/>
      <c r="AM49" s="2852"/>
      <c r="AN49" s="2841"/>
      <c r="AO49" s="2852"/>
      <c r="AP49" s="2841"/>
      <c r="AQ49" s="2852"/>
      <c r="AR49" s="2841"/>
      <c r="AS49" s="2852"/>
      <c r="AT49" s="2841"/>
      <c r="AU49" s="2852"/>
      <c r="AV49" s="2841"/>
      <c r="AW49" s="2852"/>
      <c r="AX49" s="2841"/>
      <c r="AY49" s="2852"/>
      <c r="AZ49" s="2841"/>
      <c r="BA49" s="2852"/>
      <c r="BB49" s="2841"/>
      <c r="BC49" s="2852"/>
      <c r="BD49" s="2841"/>
      <c r="BE49" s="2852"/>
      <c r="BF49" s="2841"/>
      <c r="BG49" s="2852"/>
      <c r="BH49" s="2852"/>
      <c r="BI49" s="2852"/>
      <c r="BJ49" s="2852"/>
      <c r="BK49" s="2864"/>
      <c r="BL49" s="2845"/>
      <c r="BM49" s="2852"/>
      <c r="BN49" s="2842"/>
      <c r="BO49" s="2852"/>
      <c r="BP49" s="2842"/>
      <c r="BQ49" s="2852"/>
      <c r="BR49" s="2848"/>
    </row>
    <row r="50" spans="1:70" ht="60" customHeight="1" x14ac:dyDescent="0.2">
      <c r="A50" s="1938"/>
      <c r="D50" s="1939"/>
      <c r="G50" s="1945"/>
      <c r="J50" s="2824"/>
      <c r="K50" s="2825"/>
      <c r="L50" s="2825"/>
      <c r="M50" s="2850"/>
      <c r="N50" s="2853"/>
      <c r="O50" s="2824"/>
      <c r="P50" s="2824"/>
      <c r="Q50" s="2825"/>
      <c r="R50" s="2859"/>
      <c r="S50" s="2860"/>
      <c r="T50" s="2861"/>
      <c r="U50" s="2825"/>
      <c r="V50" s="1946" t="s">
        <v>1725</v>
      </c>
      <c r="W50" s="1947">
        <v>7000000</v>
      </c>
      <c r="X50" s="1941"/>
      <c r="Y50" s="1941"/>
      <c r="Z50" s="1948">
        <v>88</v>
      </c>
      <c r="AA50" s="1949" t="s">
        <v>467</v>
      </c>
      <c r="AB50" s="2858"/>
      <c r="AC50" s="2853"/>
      <c r="AD50" s="2843"/>
      <c r="AE50" s="2853"/>
      <c r="AF50" s="2841"/>
      <c r="AG50" s="2853"/>
      <c r="AH50" s="2841"/>
      <c r="AI50" s="2853"/>
      <c r="AJ50" s="2841"/>
      <c r="AK50" s="2853"/>
      <c r="AL50" s="2841"/>
      <c r="AM50" s="2853"/>
      <c r="AN50" s="2841"/>
      <c r="AO50" s="2853"/>
      <c r="AP50" s="2841"/>
      <c r="AQ50" s="2853"/>
      <c r="AR50" s="2841"/>
      <c r="AS50" s="2853"/>
      <c r="AT50" s="2841"/>
      <c r="AU50" s="2853"/>
      <c r="AV50" s="2841"/>
      <c r="AW50" s="2853"/>
      <c r="AX50" s="2841"/>
      <c r="AY50" s="2853"/>
      <c r="AZ50" s="2841"/>
      <c r="BA50" s="2853"/>
      <c r="BB50" s="2841"/>
      <c r="BC50" s="2853"/>
      <c r="BD50" s="2841"/>
      <c r="BE50" s="2853"/>
      <c r="BF50" s="2841"/>
      <c r="BG50" s="2853"/>
      <c r="BH50" s="2853"/>
      <c r="BI50" s="2853"/>
      <c r="BJ50" s="2853"/>
      <c r="BK50" s="2865"/>
      <c r="BL50" s="2846"/>
      <c r="BM50" s="2853"/>
      <c r="BN50" s="2842"/>
      <c r="BO50" s="2853"/>
      <c r="BP50" s="2842"/>
      <c r="BQ50" s="2853"/>
      <c r="BR50" s="2848"/>
    </row>
    <row r="51" spans="1:70" ht="39.75" customHeight="1" x14ac:dyDescent="0.2">
      <c r="A51" s="1923"/>
      <c r="B51" s="1924"/>
      <c r="C51" s="1924"/>
      <c r="D51" s="1950">
        <v>27</v>
      </c>
      <c r="E51" s="2862" t="s">
        <v>1726</v>
      </c>
      <c r="F51" s="2862"/>
      <c r="G51" s="2862"/>
      <c r="H51" s="2862"/>
      <c r="I51" s="2862"/>
      <c r="J51" s="2862"/>
      <c r="K51" s="2862"/>
      <c r="L51" s="1951"/>
      <c r="M51" s="1952"/>
      <c r="N51" s="1952"/>
      <c r="O51" s="1952"/>
      <c r="P51" s="1952"/>
      <c r="Q51" s="1951"/>
      <c r="R51" s="1953"/>
      <c r="S51" s="1954"/>
      <c r="T51" s="1955"/>
      <c r="U51" s="1955"/>
      <c r="V51" s="1956"/>
      <c r="W51" s="1957"/>
      <c r="X51" s="1957"/>
      <c r="Y51" s="1957"/>
      <c r="Z51" s="1958"/>
      <c r="AA51" s="1959"/>
      <c r="AB51" s="1960"/>
      <c r="AC51" s="1960"/>
      <c r="AD51" s="1961"/>
      <c r="AE51" s="1961"/>
      <c r="AF51" s="1960"/>
      <c r="AG51" s="1960"/>
      <c r="AH51" s="1960"/>
      <c r="AI51" s="1960"/>
      <c r="AJ51" s="1960"/>
      <c r="AK51" s="1960"/>
      <c r="AL51" s="1960"/>
      <c r="AM51" s="1960"/>
      <c r="AN51" s="1960"/>
      <c r="AO51" s="1960"/>
      <c r="AP51" s="1960"/>
      <c r="AQ51" s="1960"/>
      <c r="AR51" s="1960"/>
      <c r="AS51" s="1960"/>
      <c r="AT51" s="1960"/>
      <c r="AU51" s="1960"/>
      <c r="AV51" s="1960"/>
      <c r="AW51" s="1960"/>
      <c r="AX51" s="1960"/>
      <c r="AY51" s="1960"/>
      <c r="AZ51" s="1960"/>
      <c r="BA51" s="1960"/>
      <c r="BB51" s="1960"/>
      <c r="BC51" s="1960"/>
      <c r="BD51" s="1960"/>
      <c r="BE51" s="1960"/>
      <c r="BF51" s="1960"/>
      <c r="BG51" s="1960"/>
      <c r="BH51" s="1960"/>
      <c r="BI51" s="1960"/>
      <c r="BJ51" s="1960"/>
      <c r="BK51" s="1960"/>
      <c r="BL51" s="1960"/>
      <c r="BM51" s="1960"/>
      <c r="BN51" s="1962"/>
      <c r="BO51" s="1962"/>
      <c r="BP51" s="1963"/>
      <c r="BQ51" s="1963"/>
      <c r="BR51" s="1964"/>
    </row>
    <row r="52" spans="1:70" ht="36" customHeight="1" x14ac:dyDescent="0.2">
      <c r="A52" s="1923"/>
      <c r="B52" s="1924"/>
      <c r="C52" s="1965"/>
      <c r="D52" s="1925"/>
      <c r="E52" s="1924"/>
      <c r="F52" s="1965"/>
      <c r="G52" s="1894">
        <v>85</v>
      </c>
      <c r="H52" s="2823" t="s">
        <v>1727</v>
      </c>
      <c r="I52" s="2823"/>
      <c r="J52" s="2823"/>
      <c r="K52" s="2823"/>
      <c r="L52" s="1895"/>
      <c r="M52" s="1896"/>
      <c r="N52" s="1896"/>
      <c r="O52" s="1896"/>
      <c r="P52" s="1896"/>
      <c r="Q52" s="1895"/>
      <c r="R52" s="1897"/>
      <c r="S52" s="1966"/>
      <c r="T52" s="1928"/>
      <c r="U52" s="1928"/>
      <c r="V52" s="1929"/>
      <c r="W52" s="1900"/>
      <c r="X52" s="1900"/>
      <c r="Y52" s="1900"/>
      <c r="Z52" s="1931"/>
      <c r="AA52" s="1967"/>
      <c r="AB52" s="1933"/>
      <c r="AC52" s="1933"/>
      <c r="AD52" s="1934"/>
      <c r="AE52" s="1934"/>
      <c r="AF52" s="1933"/>
      <c r="AG52" s="1933"/>
      <c r="AH52" s="1933"/>
      <c r="AI52" s="1933"/>
      <c r="AJ52" s="1933"/>
      <c r="AK52" s="1933"/>
      <c r="AL52" s="1933"/>
      <c r="AM52" s="1933"/>
      <c r="AN52" s="1933"/>
      <c r="AO52" s="1933"/>
      <c r="AP52" s="1933"/>
      <c r="AQ52" s="1933"/>
      <c r="AR52" s="1933"/>
      <c r="AS52" s="1933"/>
      <c r="AT52" s="1933"/>
      <c r="AU52" s="1933"/>
      <c r="AV52" s="1933"/>
      <c r="AW52" s="1933"/>
      <c r="AX52" s="1933"/>
      <c r="AY52" s="1933"/>
      <c r="AZ52" s="1933"/>
      <c r="BA52" s="1933"/>
      <c r="BB52" s="1933"/>
      <c r="BC52" s="1933"/>
      <c r="BD52" s="1933"/>
      <c r="BE52" s="1933"/>
      <c r="BF52" s="1933"/>
      <c r="BG52" s="1933"/>
      <c r="BH52" s="1933"/>
      <c r="BI52" s="1933"/>
      <c r="BJ52" s="1933"/>
      <c r="BK52" s="1933"/>
      <c r="BL52" s="1933"/>
      <c r="BM52" s="1933"/>
      <c r="BN52" s="1935"/>
      <c r="BO52" s="1935"/>
      <c r="BP52" s="1936"/>
      <c r="BQ52" s="1936"/>
      <c r="BR52" s="1937"/>
    </row>
    <row r="53" spans="1:70" ht="115.5" customHeight="1" x14ac:dyDescent="0.2">
      <c r="A53" s="1968"/>
      <c r="B53" s="1969"/>
      <c r="C53" s="1970"/>
      <c r="D53" s="1971"/>
      <c r="E53" s="1969"/>
      <c r="F53" s="1969"/>
      <c r="G53" s="1972"/>
      <c r="H53" s="1969"/>
      <c r="I53" s="1969"/>
      <c r="J53" s="2824">
        <v>249</v>
      </c>
      <c r="K53" s="2825" t="s">
        <v>1728</v>
      </c>
      <c r="L53" s="2861" t="s">
        <v>1729</v>
      </c>
      <c r="M53" s="2850">
        <v>1</v>
      </c>
      <c r="N53" s="2851">
        <v>0.2</v>
      </c>
      <c r="O53" s="2824" t="s">
        <v>1730</v>
      </c>
      <c r="P53" s="2824" t="s">
        <v>1731</v>
      </c>
      <c r="Q53" s="2825" t="s">
        <v>1732</v>
      </c>
      <c r="R53" s="2859">
        <v>1</v>
      </c>
      <c r="S53" s="2860">
        <f>SUM(W53:W64)</f>
        <v>120000000</v>
      </c>
      <c r="T53" s="2825" t="s">
        <v>1733</v>
      </c>
      <c r="U53" s="2825" t="s">
        <v>1734</v>
      </c>
      <c r="V53" s="1973" t="s">
        <v>1735</v>
      </c>
      <c r="W53" s="1913">
        <v>7354100</v>
      </c>
      <c r="X53" s="1913"/>
      <c r="Y53" s="1913"/>
      <c r="Z53" s="1915">
        <v>20</v>
      </c>
      <c r="AA53" s="1974" t="s">
        <v>71</v>
      </c>
      <c r="AB53" s="2867">
        <v>294321</v>
      </c>
      <c r="AC53" s="2851"/>
      <c r="AD53" s="2868">
        <v>283947</v>
      </c>
      <c r="AE53" s="2851"/>
      <c r="AF53" s="2869">
        <v>135754</v>
      </c>
      <c r="AG53" s="2851"/>
      <c r="AH53" s="2869">
        <v>44640</v>
      </c>
      <c r="AI53" s="2851"/>
      <c r="AJ53" s="2869">
        <v>308178</v>
      </c>
      <c r="AK53" s="2851"/>
      <c r="AL53" s="2869">
        <v>89696</v>
      </c>
      <c r="AM53" s="2851"/>
      <c r="AN53" s="2869">
        <v>2145</v>
      </c>
      <c r="AO53" s="2851"/>
      <c r="AP53" s="2869">
        <v>12718</v>
      </c>
      <c r="AQ53" s="2851"/>
      <c r="AR53" s="2869">
        <v>26</v>
      </c>
      <c r="AS53" s="2851"/>
      <c r="AT53" s="2869">
        <v>37</v>
      </c>
      <c r="AU53" s="2851"/>
      <c r="AV53" s="2869"/>
      <c r="AW53" s="2851"/>
      <c r="AX53" s="2869"/>
      <c r="AY53" s="2851"/>
      <c r="AZ53" s="2841">
        <v>54612</v>
      </c>
      <c r="BA53" s="2851"/>
      <c r="BB53" s="2841">
        <v>16982</v>
      </c>
      <c r="BC53" s="2851"/>
      <c r="BD53" s="2869">
        <v>1010</v>
      </c>
      <c r="BE53" s="2851"/>
      <c r="BF53" s="2869">
        <f>AB53+AD53</f>
        <v>578268</v>
      </c>
      <c r="BG53" s="2851"/>
      <c r="BH53" s="2851">
        <v>1</v>
      </c>
      <c r="BI53" s="2866">
        <f>SUM(X53:X64)</f>
        <v>12000000</v>
      </c>
      <c r="BJ53" s="2866">
        <f>SUM(Y53:Y64)</f>
        <v>0</v>
      </c>
      <c r="BK53" s="2863">
        <f>BJ53/BI53</f>
        <v>0</v>
      </c>
      <c r="BL53" s="2844" t="s">
        <v>1675</v>
      </c>
      <c r="BM53" s="2844" t="s">
        <v>1736</v>
      </c>
      <c r="BN53" s="2842">
        <v>43102</v>
      </c>
      <c r="BO53" s="2873">
        <v>43537</v>
      </c>
      <c r="BP53" s="2842">
        <v>43465</v>
      </c>
      <c r="BQ53" s="2873">
        <v>43830</v>
      </c>
      <c r="BR53" s="2824" t="s">
        <v>1677</v>
      </c>
    </row>
    <row r="54" spans="1:70" ht="147" customHeight="1" x14ac:dyDescent="0.2">
      <c r="A54" s="1968"/>
      <c r="B54" s="1969"/>
      <c r="C54" s="1970"/>
      <c r="D54" s="1971"/>
      <c r="E54" s="1969"/>
      <c r="F54" s="1969"/>
      <c r="G54" s="1971"/>
      <c r="H54" s="1969"/>
      <c r="I54" s="1969"/>
      <c r="J54" s="2824"/>
      <c r="K54" s="2825"/>
      <c r="L54" s="2861"/>
      <c r="M54" s="2850"/>
      <c r="N54" s="2852"/>
      <c r="O54" s="2824"/>
      <c r="P54" s="2824"/>
      <c r="Q54" s="2825"/>
      <c r="R54" s="2859"/>
      <c r="S54" s="2860"/>
      <c r="T54" s="2825"/>
      <c r="U54" s="2825"/>
      <c r="V54" s="1973" t="s">
        <v>1737</v>
      </c>
      <c r="W54" s="1913">
        <v>11613500</v>
      </c>
      <c r="X54" s="1913"/>
      <c r="Y54" s="1913"/>
      <c r="Z54" s="1915">
        <v>20</v>
      </c>
      <c r="AA54" s="1974" t="s">
        <v>71</v>
      </c>
      <c r="AB54" s="2867"/>
      <c r="AC54" s="2852"/>
      <c r="AD54" s="2868"/>
      <c r="AE54" s="2852"/>
      <c r="AF54" s="2869"/>
      <c r="AG54" s="2852"/>
      <c r="AH54" s="2869"/>
      <c r="AI54" s="2852"/>
      <c r="AJ54" s="2869"/>
      <c r="AK54" s="2852"/>
      <c r="AL54" s="2869"/>
      <c r="AM54" s="2852"/>
      <c r="AN54" s="2869"/>
      <c r="AO54" s="2852"/>
      <c r="AP54" s="2869"/>
      <c r="AQ54" s="2852"/>
      <c r="AR54" s="2869"/>
      <c r="AS54" s="2852"/>
      <c r="AT54" s="2869"/>
      <c r="AU54" s="2852"/>
      <c r="AV54" s="2869"/>
      <c r="AW54" s="2852"/>
      <c r="AX54" s="2869"/>
      <c r="AY54" s="2852"/>
      <c r="AZ54" s="2841"/>
      <c r="BA54" s="2852"/>
      <c r="BB54" s="2841"/>
      <c r="BC54" s="2852"/>
      <c r="BD54" s="2869"/>
      <c r="BE54" s="2852"/>
      <c r="BF54" s="2869"/>
      <c r="BG54" s="2852"/>
      <c r="BH54" s="2852"/>
      <c r="BI54" s="2852"/>
      <c r="BJ54" s="2852"/>
      <c r="BK54" s="2864"/>
      <c r="BL54" s="2845"/>
      <c r="BM54" s="2845"/>
      <c r="BN54" s="2842"/>
      <c r="BO54" s="2852"/>
      <c r="BP54" s="2842"/>
      <c r="BQ54" s="2852"/>
      <c r="BR54" s="2824"/>
    </row>
    <row r="55" spans="1:70" ht="147" customHeight="1" x14ac:dyDescent="0.2">
      <c r="A55" s="1968"/>
      <c r="B55" s="1969"/>
      <c r="C55" s="1970"/>
      <c r="D55" s="1971"/>
      <c r="E55" s="1969"/>
      <c r="F55" s="1969"/>
      <c r="G55" s="1971"/>
      <c r="H55" s="1969"/>
      <c r="I55" s="1969"/>
      <c r="J55" s="2824"/>
      <c r="K55" s="2825"/>
      <c r="L55" s="2861"/>
      <c r="M55" s="2850"/>
      <c r="N55" s="2852"/>
      <c r="O55" s="2824"/>
      <c r="P55" s="2824"/>
      <c r="Q55" s="2825"/>
      <c r="R55" s="2859"/>
      <c r="S55" s="2860"/>
      <c r="T55" s="2825"/>
      <c r="U55" s="2825"/>
      <c r="V55" s="1973" t="s">
        <v>1738</v>
      </c>
      <c r="W55" s="1913">
        <v>17700000</v>
      </c>
      <c r="X55" s="1913"/>
      <c r="Y55" s="1913"/>
      <c r="Z55" s="1915">
        <v>20</v>
      </c>
      <c r="AA55" s="1974" t="s">
        <v>71</v>
      </c>
      <c r="AB55" s="2867"/>
      <c r="AC55" s="2852"/>
      <c r="AD55" s="2868"/>
      <c r="AE55" s="2852"/>
      <c r="AF55" s="2869"/>
      <c r="AG55" s="2852"/>
      <c r="AH55" s="2869"/>
      <c r="AI55" s="2852"/>
      <c r="AJ55" s="2869"/>
      <c r="AK55" s="2852"/>
      <c r="AL55" s="2869"/>
      <c r="AM55" s="2852"/>
      <c r="AN55" s="2869"/>
      <c r="AO55" s="2852"/>
      <c r="AP55" s="2869"/>
      <c r="AQ55" s="2852"/>
      <c r="AR55" s="2869"/>
      <c r="AS55" s="2852"/>
      <c r="AT55" s="2869"/>
      <c r="AU55" s="2852"/>
      <c r="AV55" s="2869"/>
      <c r="AW55" s="2852"/>
      <c r="AX55" s="2869"/>
      <c r="AY55" s="2852"/>
      <c r="AZ55" s="2841"/>
      <c r="BA55" s="2852"/>
      <c r="BB55" s="2841"/>
      <c r="BC55" s="2852"/>
      <c r="BD55" s="2869"/>
      <c r="BE55" s="2852"/>
      <c r="BF55" s="2869"/>
      <c r="BG55" s="2852"/>
      <c r="BH55" s="2852"/>
      <c r="BI55" s="2852"/>
      <c r="BJ55" s="2852"/>
      <c r="BK55" s="2864"/>
      <c r="BL55" s="2845"/>
      <c r="BM55" s="2845"/>
      <c r="BN55" s="2842"/>
      <c r="BO55" s="2852"/>
      <c r="BP55" s="2842"/>
      <c r="BQ55" s="2852"/>
      <c r="BR55" s="2824"/>
    </row>
    <row r="56" spans="1:70" ht="114.75" customHeight="1" x14ac:dyDescent="0.2">
      <c r="A56" s="1968"/>
      <c r="B56" s="1969"/>
      <c r="C56" s="1970"/>
      <c r="D56" s="1971"/>
      <c r="E56" s="1969"/>
      <c r="F56" s="1969"/>
      <c r="G56" s="1971"/>
      <c r="H56" s="1969"/>
      <c r="I56" s="1969"/>
      <c r="J56" s="2824"/>
      <c r="K56" s="2825"/>
      <c r="L56" s="2861"/>
      <c r="M56" s="2850"/>
      <c r="N56" s="2852"/>
      <c r="O56" s="2824"/>
      <c r="P56" s="2824"/>
      <c r="Q56" s="2825"/>
      <c r="R56" s="2859"/>
      <c r="S56" s="2860"/>
      <c r="T56" s="2825"/>
      <c r="U56" s="2825"/>
      <c r="V56" s="1973" t="s">
        <v>1739</v>
      </c>
      <c r="W56" s="1913">
        <v>10000000</v>
      </c>
      <c r="X56" s="1913"/>
      <c r="Y56" s="1913"/>
      <c r="Z56" s="1915">
        <v>20</v>
      </c>
      <c r="AA56" s="1974" t="s">
        <v>71</v>
      </c>
      <c r="AB56" s="2867"/>
      <c r="AC56" s="2852"/>
      <c r="AD56" s="2868"/>
      <c r="AE56" s="2852"/>
      <c r="AF56" s="2869"/>
      <c r="AG56" s="2852"/>
      <c r="AH56" s="2869"/>
      <c r="AI56" s="2852"/>
      <c r="AJ56" s="2869"/>
      <c r="AK56" s="2852"/>
      <c r="AL56" s="2869"/>
      <c r="AM56" s="2852"/>
      <c r="AN56" s="2869"/>
      <c r="AO56" s="2852"/>
      <c r="AP56" s="2869"/>
      <c r="AQ56" s="2852"/>
      <c r="AR56" s="2869"/>
      <c r="AS56" s="2852"/>
      <c r="AT56" s="2869"/>
      <c r="AU56" s="2852"/>
      <c r="AV56" s="2869"/>
      <c r="AW56" s="2852"/>
      <c r="AX56" s="2869"/>
      <c r="AY56" s="2852"/>
      <c r="AZ56" s="2841"/>
      <c r="BA56" s="2852"/>
      <c r="BB56" s="2841"/>
      <c r="BC56" s="2852"/>
      <c r="BD56" s="2869"/>
      <c r="BE56" s="2852"/>
      <c r="BF56" s="2869"/>
      <c r="BG56" s="2852"/>
      <c r="BH56" s="2852"/>
      <c r="BI56" s="2852"/>
      <c r="BJ56" s="2852"/>
      <c r="BK56" s="2864"/>
      <c r="BL56" s="2845"/>
      <c r="BM56" s="2845"/>
      <c r="BN56" s="2842"/>
      <c r="BO56" s="2852"/>
      <c r="BP56" s="2842"/>
      <c r="BQ56" s="2852"/>
      <c r="BR56" s="2824"/>
    </row>
    <row r="57" spans="1:70" ht="60" customHeight="1" x14ac:dyDescent="0.2">
      <c r="A57" s="1968"/>
      <c r="B57" s="1969"/>
      <c r="C57" s="1970"/>
      <c r="D57" s="1971"/>
      <c r="E57" s="1969"/>
      <c r="F57" s="1969"/>
      <c r="G57" s="1971"/>
      <c r="H57" s="1969"/>
      <c r="I57" s="1969"/>
      <c r="J57" s="2824"/>
      <c r="K57" s="2825"/>
      <c r="L57" s="2861"/>
      <c r="M57" s="2850"/>
      <c r="N57" s="2852"/>
      <c r="O57" s="2824"/>
      <c r="P57" s="2824"/>
      <c r="Q57" s="2825"/>
      <c r="R57" s="2859"/>
      <c r="S57" s="2860"/>
      <c r="T57" s="2825"/>
      <c r="U57" s="2838" t="s">
        <v>1740</v>
      </c>
      <c r="V57" s="1973" t="s">
        <v>1741</v>
      </c>
      <c r="W57" s="1913">
        <f>17718900-7000000</f>
        <v>10718900</v>
      </c>
      <c r="X57" s="1913"/>
      <c r="Y57" s="1913"/>
      <c r="Z57" s="1915">
        <v>20</v>
      </c>
      <c r="AA57" s="1974" t="s">
        <v>71</v>
      </c>
      <c r="AB57" s="2867"/>
      <c r="AC57" s="2852"/>
      <c r="AD57" s="2868"/>
      <c r="AE57" s="2852"/>
      <c r="AF57" s="2869"/>
      <c r="AG57" s="2852"/>
      <c r="AH57" s="2869"/>
      <c r="AI57" s="2852"/>
      <c r="AJ57" s="2869"/>
      <c r="AK57" s="2852"/>
      <c r="AL57" s="2869"/>
      <c r="AM57" s="2852"/>
      <c r="AN57" s="2869"/>
      <c r="AO57" s="2852"/>
      <c r="AP57" s="2869"/>
      <c r="AQ57" s="2852"/>
      <c r="AR57" s="2869"/>
      <c r="AS57" s="2852"/>
      <c r="AT57" s="2869"/>
      <c r="AU57" s="2852"/>
      <c r="AV57" s="2869"/>
      <c r="AW57" s="2852"/>
      <c r="AX57" s="2869"/>
      <c r="AY57" s="2852"/>
      <c r="AZ57" s="2841"/>
      <c r="BA57" s="2852"/>
      <c r="BB57" s="2841"/>
      <c r="BC57" s="2852"/>
      <c r="BD57" s="2869"/>
      <c r="BE57" s="2852"/>
      <c r="BF57" s="2869"/>
      <c r="BG57" s="2852"/>
      <c r="BH57" s="2852"/>
      <c r="BI57" s="2852"/>
      <c r="BJ57" s="2852"/>
      <c r="BK57" s="2864"/>
      <c r="BL57" s="2845"/>
      <c r="BM57" s="2845"/>
      <c r="BN57" s="2842"/>
      <c r="BO57" s="2852"/>
      <c r="BP57" s="2842"/>
      <c r="BQ57" s="2852"/>
      <c r="BR57" s="2824"/>
    </row>
    <row r="58" spans="1:70" ht="60" customHeight="1" x14ac:dyDescent="0.2">
      <c r="A58" s="1968"/>
      <c r="B58" s="1969"/>
      <c r="C58" s="1970"/>
      <c r="D58" s="1971"/>
      <c r="E58" s="1969"/>
      <c r="F58" s="1969"/>
      <c r="G58" s="1971"/>
      <c r="H58" s="1969"/>
      <c r="I58" s="1969"/>
      <c r="J58" s="2824"/>
      <c r="K58" s="2825"/>
      <c r="L58" s="2861"/>
      <c r="M58" s="2850"/>
      <c r="N58" s="2852"/>
      <c r="O58" s="2824"/>
      <c r="P58" s="2824"/>
      <c r="Q58" s="2825"/>
      <c r="R58" s="2859"/>
      <c r="S58" s="2860"/>
      <c r="T58" s="2825"/>
      <c r="U58" s="2839"/>
      <c r="V58" s="1973" t="s">
        <v>1742</v>
      </c>
      <c r="W58" s="1913">
        <f>0+12000000</f>
        <v>12000000</v>
      </c>
      <c r="X58" s="1913">
        <v>12000000</v>
      </c>
      <c r="Y58" s="1913"/>
      <c r="Z58" s="1915">
        <v>20</v>
      </c>
      <c r="AA58" s="1974" t="s">
        <v>71</v>
      </c>
      <c r="AB58" s="2867"/>
      <c r="AC58" s="2852"/>
      <c r="AD58" s="2868"/>
      <c r="AE58" s="2852"/>
      <c r="AF58" s="2869"/>
      <c r="AG58" s="2852"/>
      <c r="AH58" s="2869"/>
      <c r="AI58" s="2852"/>
      <c r="AJ58" s="2869"/>
      <c r="AK58" s="2852"/>
      <c r="AL58" s="2869"/>
      <c r="AM58" s="2852"/>
      <c r="AN58" s="2869"/>
      <c r="AO58" s="2852"/>
      <c r="AP58" s="2869"/>
      <c r="AQ58" s="2852"/>
      <c r="AR58" s="2869"/>
      <c r="AS58" s="2852"/>
      <c r="AT58" s="2869"/>
      <c r="AU58" s="2852"/>
      <c r="AV58" s="2869"/>
      <c r="AW58" s="2852"/>
      <c r="AX58" s="2869"/>
      <c r="AY58" s="2852"/>
      <c r="AZ58" s="2841"/>
      <c r="BA58" s="2852"/>
      <c r="BB58" s="2841"/>
      <c r="BC58" s="2852"/>
      <c r="BD58" s="2869"/>
      <c r="BE58" s="2852"/>
      <c r="BF58" s="2869"/>
      <c r="BG58" s="2852"/>
      <c r="BH58" s="2852"/>
      <c r="BI58" s="2852"/>
      <c r="BJ58" s="2852"/>
      <c r="BK58" s="2864"/>
      <c r="BL58" s="2845"/>
      <c r="BM58" s="2845"/>
      <c r="BN58" s="2842"/>
      <c r="BO58" s="2852"/>
      <c r="BP58" s="2842"/>
      <c r="BQ58" s="2852"/>
      <c r="BR58" s="2824"/>
    </row>
    <row r="59" spans="1:70" ht="60" customHeight="1" x14ac:dyDescent="0.2">
      <c r="A59" s="1968"/>
      <c r="B59" s="1969"/>
      <c r="C59" s="1970"/>
      <c r="D59" s="1971"/>
      <c r="E59" s="1969"/>
      <c r="F59" s="1969"/>
      <c r="G59" s="1971"/>
      <c r="H59" s="1969"/>
      <c r="I59" s="1969"/>
      <c r="J59" s="2824"/>
      <c r="K59" s="2825"/>
      <c r="L59" s="2861"/>
      <c r="M59" s="2850"/>
      <c r="N59" s="2852"/>
      <c r="O59" s="2824"/>
      <c r="P59" s="2824"/>
      <c r="Q59" s="2825"/>
      <c r="R59" s="2859"/>
      <c r="S59" s="2860"/>
      <c r="T59" s="2825"/>
      <c r="U59" s="2839"/>
      <c r="V59" s="1975" t="s">
        <v>1743</v>
      </c>
      <c r="W59" s="1913">
        <v>15613500</v>
      </c>
      <c r="X59" s="1913"/>
      <c r="Y59" s="1913"/>
      <c r="Z59" s="1915">
        <v>20</v>
      </c>
      <c r="AA59" s="1974" t="s">
        <v>71</v>
      </c>
      <c r="AB59" s="2867"/>
      <c r="AC59" s="2852"/>
      <c r="AD59" s="2868"/>
      <c r="AE59" s="2852"/>
      <c r="AF59" s="2869"/>
      <c r="AG59" s="2852"/>
      <c r="AH59" s="2869"/>
      <c r="AI59" s="2852"/>
      <c r="AJ59" s="2869"/>
      <c r="AK59" s="2852"/>
      <c r="AL59" s="2869"/>
      <c r="AM59" s="2852"/>
      <c r="AN59" s="2869"/>
      <c r="AO59" s="2852"/>
      <c r="AP59" s="2869"/>
      <c r="AQ59" s="2852"/>
      <c r="AR59" s="2869"/>
      <c r="AS59" s="2852"/>
      <c r="AT59" s="2869"/>
      <c r="AU59" s="2852"/>
      <c r="AV59" s="2869"/>
      <c r="AW59" s="2852"/>
      <c r="AX59" s="2869"/>
      <c r="AY59" s="2852"/>
      <c r="AZ59" s="2841"/>
      <c r="BA59" s="2852"/>
      <c r="BB59" s="2841"/>
      <c r="BC59" s="2852"/>
      <c r="BD59" s="2869"/>
      <c r="BE59" s="2852"/>
      <c r="BF59" s="2869"/>
      <c r="BG59" s="2852"/>
      <c r="BH59" s="2852"/>
      <c r="BI59" s="2852"/>
      <c r="BJ59" s="2852"/>
      <c r="BK59" s="2864"/>
      <c r="BL59" s="2845"/>
      <c r="BM59" s="2845"/>
      <c r="BN59" s="2842"/>
      <c r="BO59" s="2852"/>
      <c r="BP59" s="2842"/>
      <c r="BQ59" s="2852"/>
      <c r="BR59" s="2824"/>
    </row>
    <row r="60" spans="1:70" ht="60" customHeight="1" x14ac:dyDescent="0.2">
      <c r="A60" s="1968"/>
      <c r="B60" s="1969"/>
      <c r="C60" s="1970"/>
      <c r="D60" s="1971"/>
      <c r="E60" s="1969"/>
      <c r="F60" s="1969"/>
      <c r="G60" s="1971"/>
      <c r="H60" s="1969"/>
      <c r="I60" s="1969"/>
      <c r="J60" s="2824"/>
      <c r="K60" s="2825"/>
      <c r="L60" s="2861"/>
      <c r="M60" s="2850"/>
      <c r="N60" s="2852"/>
      <c r="O60" s="2824"/>
      <c r="P60" s="2824"/>
      <c r="Q60" s="2825"/>
      <c r="R60" s="2859"/>
      <c r="S60" s="2860"/>
      <c r="T60" s="2825"/>
      <c r="U60" s="2839"/>
      <c r="V60" s="1975" t="s">
        <v>1744</v>
      </c>
      <c r="W60" s="1913">
        <f>0+4000000</f>
        <v>4000000</v>
      </c>
      <c r="X60" s="1913"/>
      <c r="Y60" s="1913"/>
      <c r="Z60" s="1915">
        <v>20</v>
      </c>
      <c r="AA60" s="1974" t="s">
        <v>71</v>
      </c>
      <c r="AB60" s="2867"/>
      <c r="AC60" s="2852"/>
      <c r="AD60" s="2868"/>
      <c r="AE60" s="2852"/>
      <c r="AF60" s="2869"/>
      <c r="AG60" s="2852"/>
      <c r="AH60" s="2869"/>
      <c r="AI60" s="2852"/>
      <c r="AJ60" s="2869"/>
      <c r="AK60" s="2852"/>
      <c r="AL60" s="2869"/>
      <c r="AM60" s="2852"/>
      <c r="AN60" s="2869"/>
      <c r="AO60" s="2852"/>
      <c r="AP60" s="2869"/>
      <c r="AQ60" s="2852"/>
      <c r="AR60" s="2869"/>
      <c r="AS60" s="2852"/>
      <c r="AT60" s="2869"/>
      <c r="AU60" s="2852"/>
      <c r="AV60" s="2869"/>
      <c r="AW60" s="2852"/>
      <c r="AX60" s="2869"/>
      <c r="AY60" s="2852"/>
      <c r="AZ60" s="2841"/>
      <c r="BA60" s="2852"/>
      <c r="BB60" s="2841"/>
      <c r="BC60" s="2852"/>
      <c r="BD60" s="2869"/>
      <c r="BE60" s="2852"/>
      <c r="BF60" s="2869"/>
      <c r="BG60" s="2852"/>
      <c r="BH60" s="2852"/>
      <c r="BI60" s="2852"/>
      <c r="BJ60" s="2852"/>
      <c r="BK60" s="2864"/>
      <c r="BL60" s="2845"/>
      <c r="BM60" s="2845"/>
      <c r="BN60" s="2842"/>
      <c r="BO60" s="2852"/>
      <c r="BP60" s="2842"/>
      <c r="BQ60" s="2852"/>
      <c r="BR60" s="2824"/>
    </row>
    <row r="61" spans="1:70" ht="60" customHeight="1" x14ac:dyDescent="0.2">
      <c r="A61" s="1968"/>
      <c r="B61" s="1969"/>
      <c r="C61" s="1970"/>
      <c r="D61" s="1971"/>
      <c r="E61" s="1969"/>
      <c r="F61" s="1969"/>
      <c r="G61" s="1971"/>
      <c r="H61" s="1969"/>
      <c r="I61" s="1969"/>
      <c r="J61" s="2824"/>
      <c r="K61" s="2825"/>
      <c r="L61" s="2861"/>
      <c r="M61" s="2850"/>
      <c r="N61" s="2852"/>
      <c r="O61" s="2824"/>
      <c r="P61" s="2824"/>
      <c r="Q61" s="2825"/>
      <c r="R61" s="2859"/>
      <c r="S61" s="2860"/>
      <c r="T61" s="2825"/>
      <c r="U61" s="2839"/>
      <c r="V61" s="1975" t="s">
        <v>1745</v>
      </c>
      <c r="W61" s="1913">
        <f>0+500000</f>
        <v>500000</v>
      </c>
      <c r="X61" s="1913"/>
      <c r="Y61" s="1913"/>
      <c r="Z61" s="1915">
        <v>20</v>
      </c>
      <c r="AA61" s="1974" t="s">
        <v>71</v>
      </c>
      <c r="AB61" s="2867"/>
      <c r="AC61" s="2852"/>
      <c r="AD61" s="2868"/>
      <c r="AE61" s="2852"/>
      <c r="AF61" s="2869"/>
      <c r="AG61" s="2852"/>
      <c r="AH61" s="2869"/>
      <c r="AI61" s="2852"/>
      <c r="AJ61" s="2869"/>
      <c r="AK61" s="2852"/>
      <c r="AL61" s="2869"/>
      <c r="AM61" s="2852"/>
      <c r="AN61" s="2869"/>
      <c r="AO61" s="2852"/>
      <c r="AP61" s="2869"/>
      <c r="AQ61" s="2852"/>
      <c r="AR61" s="2869"/>
      <c r="AS61" s="2852"/>
      <c r="AT61" s="2869"/>
      <c r="AU61" s="2852"/>
      <c r="AV61" s="2869"/>
      <c r="AW61" s="2852"/>
      <c r="AX61" s="2869"/>
      <c r="AY61" s="2852"/>
      <c r="AZ61" s="2841"/>
      <c r="BA61" s="2852"/>
      <c r="BB61" s="2841"/>
      <c r="BC61" s="2852"/>
      <c r="BD61" s="2869"/>
      <c r="BE61" s="2852"/>
      <c r="BF61" s="2869"/>
      <c r="BG61" s="2852"/>
      <c r="BH61" s="2852"/>
      <c r="BI61" s="2852"/>
      <c r="BJ61" s="2852"/>
      <c r="BK61" s="2864"/>
      <c r="BL61" s="2845"/>
      <c r="BM61" s="2845"/>
      <c r="BN61" s="2842"/>
      <c r="BO61" s="2852"/>
      <c r="BP61" s="2842"/>
      <c r="BQ61" s="2852"/>
      <c r="BR61" s="2824"/>
    </row>
    <row r="62" spans="1:70" ht="60" customHeight="1" x14ac:dyDescent="0.2">
      <c r="A62" s="1968"/>
      <c r="B62" s="1969"/>
      <c r="C62" s="1970"/>
      <c r="D62" s="1971"/>
      <c r="E62" s="1969"/>
      <c r="F62" s="1969"/>
      <c r="G62" s="1971"/>
      <c r="H62" s="1969"/>
      <c r="I62" s="1969"/>
      <c r="J62" s="2824"/>
      <c r="K62" s="2825"/>
      <c r="L62" s="2861"/>
      <c r="M62" s="2850"/>
      <c r="N62" s="2852"/>
      <c r="O62" s="2824"/>
      <c r="P62" s="2824"/>
      <c r="Q62" s="2825"/>
      <c r="R62" s="2859"/>
      <c r="S62" s="2860"/>
      <c r="T62" s="2825"/>
      <c r="U62" s="2840"/>
      <c r="V62" s="1975" t="s">
        <v>1746</v>
      </c>
      <c r="W62" s="1913">
        <f>0+500000</f>
        <v>500000</v>
      </c>
      <c r="X62" s="1913"/>
      <c r="Y62" s="1913"/>
      <c r="Z62" s="1915">
        <v>20</v>
      </c>
      <c r="AA62" s="1974" t="s">
        <v>71</v>
      </c>
      <c r="AB62" s="2867"/>
      <c r="AC62" s="2852"/>
      <c r="AD62" s="2868"/>
      <c r="AE62" s="2852"/>
      <c r="AF62" s="2869"/>
      <c r="AG62" s="2852"/>
      <c r="AH62" s="2869"/>
      <c r="AI62" s="2852"/>
      <c r="AJ62" s="2869"/>
      <c r="AK62" s="2852"/>
      <c r="AL62" s="2869"/>
      <c r="AM62" s="2852"/>
      <c r="AN62" s="2869"/>
      <c r="AO62" s="2852"/>
      <c r="AP62" s="2869"/>
      <c r="AQ62" s="2852"/>
      <c r="AR62" s="2869"/>
      <c r="AS62" s="2852"/>
      <c r="AT62" s="2869"/>
      <c r="AU62" s="2852"/>
      <c r="AV62" s="2869"/>
      <c r="AW62" s="2852"/>
      <c r="AX62" s="2869"/>
      <c r="AY62" s="2852"/>
      <c r="AZ62" s="2841"/>
      <c r="BA62" s="2852"/>
      <c r="BB62" s="2841"/>
      <c r="BC62" s="2852"/>
      <c r="BD62" s="2869"/>
      <c r="BE62" s="2852"/>
      <c r="BF62" s="2869"/>
      <c r="BG62" s="2852"/>
      <c r="BH62" s="2852"/>
      <c r="BI62" s="2852"/>
      <c r="BJ62" s="2852"/>
      <c r="BK62" s="2864"/>
      <c r="BL62" s="2845"/>
      <c r="BM62" s="2845"/>
      <c r="BN62" s="2842"/>
      <c r="BO62" s="2852"/>
      <c r="BP62" s="2842"/>
      <c r="BQ62" s="2852"/>
      <c r="BR62" s="2824"/>
    </row>
    <row r="63" spans="1:70" ht="60" customHeight="1" x14ac:dyDescent="0.2">
      <c r="A63" s="1968"/>
      <c r="B63" s="1969"/>
      <c r="C63" s="1970"/>
      <c r="D63" s="1971"/>
      <c r="E63" s="1969"/>
      <c r="F63" s="1969"/>
      <c r="G63" s="1971"/>
      <c r="H63" s="1969"/>
      <c r="I63" s="1969"/>
      <c r="J63" s="2824"/>
      <c r="K63" s="2825"/>
      <c r="L63" s="2861"/>
      <c r="M63" s="2850"/>
      <c r="N63" s="2852"/>
      <c r="O63" s="2824"/>
      <c r="P63" s="2824"/>
      <c r="Q63" s="2825"/>
      <c r="R63" s="2859"/>
      <c r="S63" s="2860"/>
      <c r="T63" s="2825"/>
      <c r="U63" s="2825" t="s">
        <v>1747</v>
      </c>
      <c r="V63" s="1976" t="s">
        <v>1748</v>
      </c>
      <c r="W63" s="1913">
        <f>20000000-5000000</f>
        <v>15000000</v>
      </c>
      <c r="X63" s="1913"/>
      <c r="Y63" s="1913"/>
      <c r="Z63" s="1915">
        <v>20</v>
      </c>
      <c r="AA63" s="1974" t="s">
        <v>71</v>
      </c>
      <c r="AB63" s="2867"/>
      <c r="AC63" s="2852"/>
      <c r="AD63" s="2868"/>
      <c r="AE63" s="2852"/>
      <c r="AF63" s="2869"/>
      <c r="AG63" s="2852"/>
      <c r="AH63" s="2869"/>
      <c r="AI63" s="2852"/>
      <c r="AJ63" s="2869"/>
      <c r="AK63" s="2852"/>
      <c r="AL63" s="2869"/>
      <c r="AM63" s="2852"/>
      <c r="AN63" s="2869"/>
      <c r="AO63" s="2852"/>
      <c r="AP63" s="2869"/>
      <c r="AQ63" s="2852"/>
      <c r="AR63" s="2869"/>
      <c r="AS63" s="2852"/>
      <c r="AT63" s="2869"/>
      <c r="AU63" s="2852"/>
      <c r="AV63" s="2869"/>
      <c r="AW63" s="2852"/>
      <c r="AX63" s="2869"/>
      <c r="AY63" s="2852"/>
      <c r="AZ63" s="2841"/>
      <c r="BA63" s="2852"/>
      <c r="BB63" s="2841"/>
      <c r="BC63" s="2852"/>
      <c r="BD63" s="2869"/>
      <c r="BE63" s="2852"/>
      <c r="BF63" s="2869"/>
      <c r="BG63" s="2852"/>
      <c r="BH63" s="2852"/>
      <c r="BI63" s="2852"/>
      <c r="BJ63" s="2852"/>
      <c r="BK63" s="2864"/>
      <c r="BL63" s="2845"/>
      <c r="BM63" s="2845"/>
      <c r="BN63" s="2842"/>
      <c r="BO63" s="2852"/>
      <c r="BP63" s="2842"/>
      <c r="BQ63" s="2852"/>
      <c r="BR63" s="2824"/>
    </row>
    <row r="64" spans="1:70" ht="60" customHeight="1" x14ac:dyDescent="0.2">
      <c r="A64" s="1968"/>
      <c r="B64" s="1969"/>
      <c r="C64" s="1970"/>
      <c r="D64" s="1971"/>
      <c r="E64" s="1969"/>
      <c r="F64" s="1969"/>
      <c r="G64" s="1971"/>
      <c r="H64" s="1969"/>
      <c r="I64" s="1969"/>
      <c r="J64" s="2824"/>
      <c r="K64" s="2825"/>
      <c r="L64" s="2861"/>
      <c r="M64" s="2850"/>
      <c r="N64" s="2853"/>
      <c r="O64" s="2824"/>
      <c r="P64" s="2824"/>
      <c r="Q64" s="2825"/>
      <c r="R64" s="2859"/>
      <c r="S64" s="2860"/>
      <c r="T64" s="2825"/>
      <c r="U64" s="2825"/>
      <c r="V64" s="1976" t="s">
        <v>1749</v>
      </c>
      <c r="W64" s="1913">
        <f>20000000-5000000</f>
        <v>15000000</v>
      </c>
      <c r="X64" s="1913"/>
      <c r="Y64" s="1913"/>
      <c r="Z64" s="1915">
        <v>20</v>
      </c>
      <c r="AA64" s="1974" t="s">
        <v>71</v>
      </c>
      <c r="AB64" s="2867"/>
      <c r="AC64" s="2853"/>
      <c r="AD64" s="2868"/>
      <c r="AE64" s="2853"/>
      <c r="AF64" s="2869"/>
      <c r="AG64" s="2853"/>
      <c r="AH64" s="2869"/>
      <c r="AI64" s="2853"/>
      <c r="AJ64" s="2869"/>
      <c r="AK64" s="2853"/>
      <c r="AL64" s="2869"/>
      <c r="AM64" s="2853"/>
      <c r="AN64" s="2869"/>
      <c r="AO64" s="2853"/>
      <c r="AP64" s="2869"/>
      <c r="AQ64" s="2853"/>
      <c r="AR64" s="2869"/>
      <c r="AS64" s="2853"/>
      <c r="AT64" s="2869"/>
      <c r="AU64" s="2853"/>
      <c r="AV64" s="2869"/>
      <c r="AW64" s="2853"/>
      <c r="AX64" s="2869"/>
      <c r="AY64" s="2853"/>
      <c r="AZ64" s="2841"/>
      <c r="BA64" s="2853"/>
      <c r="BB64" s="2841"/>
      <c r="BC64" s="2853"/>
      <c r="BD64" s="2869"/>
      <c r="BE64" s="2853"/>
      <c r="BF64" s="2869"/>
      <c r="BG64" s="2853"/>
      <c r="BH64" s="2853"/>
      <c r="BI64" s="2853"/>
      <c r="BJ64" s="2853"/>
      <c r="BK64" s="2865"/>
      <c r="BL64" s="2846"/>
      <c r="BM64" s="2846"/>
      <c r="BN64" s="2842"/>
      <c r="BO64" s="2853"/>
      <c r="BP64" s="2842"/>
      <c r="BQ64" s="2853"/>
      <c r="BR64" s="2824"/>
    </row>
    <row r="65" spans="1:70" ht="39.75" customHeight="1" x14ac:dyDescent="0.2">
      <c r="A65" s="1923"/>
      <c r="B65" s="1924"/>
      <c r="C65" s="1965"/>
      <c r="D65" s="1977">
        <v>28</v>
      </c>
      <c r="E65" s="1978"/>
      <c r="F65" s="2870" t="s">
        <v>1750</v>
      </c>
      <c r="G65" s="2870"/>
      <c r="H65" s="2870"/>
      <c r="I65" s="2870"/>
      <c r="J65" s="2870"/>
      <c r="K65" s="2870"/>
      <c r="L65" s="1979"/>
      <c r="M65" s="1980"/>
      <c r="N65" s="1980"/>
      <c r="O65" s="1980"/>
      <c r="P65" s="1980"/>
      <c r="Q65" s="1979"/>
      <c r="R65" s="1981"/>
      <c r="S65" s="1982"/>
      <c r="T65" s="1983"/>
      <c r="U65" s="1983"/>
      <c r="V65" s="1984"/>
      <c r="W65" s="1985"/>
      <c r="X65" s="1985"/>
      <c r="Y65" s="1985"/>
      <c r="Z65" s="1986"/>
      <c r="AA65" s="1987"/>
      <c r="AB65" s="1988"/>
      <c r="AC65" s="1988"/>
      <c r="AD65" s="1989"/>
      <c r="AE65" s="1989"/>
      <c r="AF65" s="1988"/>
      <c r="AG65" s="1988"/>
      <c r="AH65" s="1988"/>
      <c r="AI65" s="1988"/>
      <c r="AJ65" s="1988"/>
      <c r="AK65" s="1988"/>
      <c r="AL65" s="1988"/>
      <c r="AM65" s="1988"/>
      <c r="AN65" s="1988"/>
      <c r="AO65" s="1988"/>
      <c r="AP65" s="1988"/>
      <c r="AQ65" s="1988"/>
      <c r="AR65" s="1988"/>
      <c r="AS65" s="1988"/>
      <c r="AT65" s="1988"/>
      <c r="AU65" s="1988"/>
      <c r="AV65" s="1988"/>
      <c r="AW65" s="1988"/>
      <c r="AX65" s="1988"/>
      <c r="AY65" s="1988"/>
      <c r="AZ65" s="1988"/>
      <c r="BA65" s="1988"/>
      <c r="BB65" s="1988"/>
      <c r="BC65" s="1988"/>
      <c r="BD65" s="1988"/>
      <c r="BE65" s="1988"/>
      <c r="BF65" s="1988"/>
      <c r="BG65" s="1988"/>
      <c r="BH65" s="1988"/>
      <c r="BI65" s="1988"/>
      <c r="BJ65" s="1988"/>
      <c r="BK65" s="1988"/>
      <c r="BL65" s="1988"/>
      <c r="BM65" s="1988"/>
      <c r="BN65" s="1990"/>
      <c r="BO65" s="1990"/>
      <c r="BP65" s="1991"/>
      <c r="BQ65" s="1991"/>
      <c r="BR65" s="1992"/>
    </row>
    <row r="66" spans="1:70" ht="39.75" customHeight="1" x14ac:dyDescent="0.2">
      <c r="A66" s="1923"/>
      <c r="B66" s="1924"/>
      <c r="C66" s="1924"/>
      <c r="D66" s="1993"/>
      <c r="E66" s="1994"/>
      <c r="F66" s="1995"/>
      <c r="G66" s="1894">
        <v>87</v>
      </c>
      <c r="H66" s="1902" t="s">
        <v>1751</v>
      </c>
      <c r="I66" s="1902"/>
      <c r="J66" s="1902"/>
      <c r="K66" s="1902"/>
      <c r="L66" s="1895"/>
      <c r="M66" s="1896"/>
      <c r="N66" s="1996"/>
      <c r="O66" s="1996"/>
      <c r="P66" s="1996"/>
      <c r="Q66" s="1895"/>
      <c r="R66" s="1897"/>
      <c r="S66" s="1966"/>
      <c r="T66" s="1928"/>
      <c r="U66" s="1928"/>
      <c r="V66" s="1929"/>
      <c r="W66" s="1900"/>
      <c r="X66" s="1997"/>
      <c r="Y66" s="1997"/>
      <c r="Z66" s="1998"/>
      <c r="AA66" s="1999"/>
      <c r="AB66" s="1933"/>
      <c r="AC66" s="1933"/>
      <c r="AD66" s="1934"/>
      <c r="AE66" s="1934"/>
      <c r="AF66" s="1933"/>
      <c r="AG66" s="2000"/>
      <c r="AH66" s="2000"/>
      <c r="AI66" s="2000"/>
      <c r="AJ66" s="2000"/>
      <c r="AK66" s="2000"/>
      <c r="AL66" s="2000"/>
      <c r="AM66" s="2000"/>
      <c r="AN66" s="2000"/>
      <c r="AO66" s="2000"/>
      <c r="AP66" s="2000"/>
      <c r="AQ66" s="2000"/>
      <c r="AR66" s="1933"/>
      <c r="AS66" s="1933"/>
      <c r="AT66" s="1933"/>
      <c r="AU66" s="1933"/>
      <c r="AV66" s="1933"/>
      <c r="AW66" s="1933"/>
      <c r="AX66" s="1933"/>
      <c r="AY66" s="1933"/>
      <c r="AZ66" s="1933"/>
      <c r="BA66" s="1933"/>
      <c r="BB66" s="1933"/>
      <c r="BC66" s="1933"/>
      <c r="BD66" s="1933"/>
      <c r="BE66" s="1933"/>
      <c r="BF66" s="1933"/>
      <c r="BG66" s="1933"/>
      <c r="BH66" s="1933"/>
      <c r="BI66" s="1933"/>
      <c r="BJ66" s="1933"/>
      <c r="BK66" s="1933"/>
      <c r="BL66" s="1933"/>
      <c r="BM66" s="1933"/>
      <c r="BN66" s="1935"/>
      <c r="BO66" s="1935"/>
      <c r="BP66" s="1936"/>
      <c r="BQ66" s="1936"/>
      <c r="BR66" s="1937"/>
    </row>
    <row r="67" spans="1:70" ht="48" customHeight="1" x14ac:dyDescent="0.2">
      <c r="A67" s="1938"/>
      <c r="D67" s="1939"/>
      <c r="G67" s="2001"/>
      <c r="H67" s="2002"/>
      <c r="I67" s="2002"/>
      <c r="J67" s="2848">
        <v>257</v>
      </c>
      <c r="K67" s="2825" t="s">
        <v>1752</v>
      </c>
      <c r="L67" s="2825" t="s">
        <v>506</v>
      </c>
      <c r="M67" s="2871">
        <v>1</v>
      </c>
      <c r="N67" s="2872">
        <v>0.3</v>
      </c>
      <c r="O67" s="2003"/>
      <c r="P67" s="2844" t="s">
        <v>1753</v>
      </c>
      <c r="Q67" s="2881" t="s">
        <v>1754</v>
      </c>
      <c r="R67" s="2859">
        <f>SUM(W67:W74)/S67</f>
        <v>0.53037272006344172</v>
      </c>
      <c r="S67" s="2883">
        <f>SUM(W67:W81)</f>
        <v>378300000</v>
      </c>
      <c r="T67" s="2838" t="s">
        <v>1755</v>
      </c>
      <c r="U67" s="2825" t="s">
        <v>1756</v>
      </c>
      <c r="V67" s="1912" t="s">
        <v>1757</v>
      </c>
      <c r="W67" s="1913">
        <f>23200000-1208000</f>
        <v>21992000</v>
      </c>
      <c r="X67" s="2004">
        <v>21992000</v>
      </c>
      <c r="Y67" s="2004">
        <v>5298400</v>
      </c>
      <c r="Z67" s="1944">
        <v>20</v>
      </c>
      <c r="AA67" s="1944" t="s">
        <v>1758</v>
      </c>
      <c r="AB67" s="2886">
        <v>294321</v>
      </c>
      <c r="AC67" s="2005"/>
      <c r="AD67" s="2874">
        <v>283947</v>
      </c>
      <c r="AE67" s="2006"/>
      <c r="AF67" s="2877">
        <v>135754</v>
      </c>
      <c r="AG67" s="2006"/>
      <c r="AH67" s="2880">
        <v>44640</v>
      </c>
      <c r="AI67" s="2844"/>
      <c r="AJ67" s="2880">
        <v>308178</v>
      </c>
      <c r="AK67" s="2844"/>
      <c r="AL67" s="2880">
        <v>89696</v>
      </c>
      <c r="AM67" s="2844"/>
      <c r="AN67" s="2880">
        <v>2145</v>
      </c>
      <c r="AO67" s="2844"/>
      <c r="AP67" s="2880">
        <v>12718</v>
      </c>
      <c r="AQ67" s="2844"/>
      <c r="AR67" s="2874">
        <v>26</v>
      </c>
      <c r="AS67" s="2844"/>
      <c r="AT67" s="2874">
        <v>37</v>
      </c>
      <c r="AU67" s="2844"/>
      <c r="AV67" s="2874"/>
      <c r="AW67" s="2844"/>
      <c r="AX67" s="2874"/>
      <c r="AY67" s="2844"/>
      <c r="AZ67" s="2841">
        <v>54612</v>
      </c>
      <c r="BA67" s="2844"/>
      <c r="BB67" s="2874">
        <v>16982</v>
      </c>
      <c r="BC67" s="2844"/>
      <c r="BD67" s="2874">
        <v>1010</v>
      </c>
      <c r="BE67" s="2844"/>
      <c r="BF67" s="2874">
        <f>AB67+AD67</f>
        <v>578268</v>
      </c>
      <c r="BG67" s="2844"/>
      <c r="BH67" s="2844">
        <v>10</v>
      </c>
      <c r="BI67" s="2896">
        <f>SUM(X67:X81)</f>
        <v>152788600</v>
      </c>
      <c r="BJ67" s="2896">
        <f>SUM(Y67:Y81)</f>
        <v>30379000</v>
      </c>
      <c r="BK67" s="2916">
        <f>BJ67/BI67</f>
        <v>0.19883027922240271</v>
      </c>
      <c r="BL67" s="2844" t="s">
        <v>1675</v>
      </c>
      <c r="BM67" s="2844" t="s">
        <v>1736</v>
      </c>
      <c r="BN67" s="2903">
        <v>43102</v>
      </c>
      <c r="BO67" s="2906">
        <v>43482</v>
      </c>
      <c r="BP67" s="2903">
        <v>43465</v>
      </c>
      <c r="BQ67" s="2906">
        <v>43830</v>
      </c>
      <c r="BR67" s="2907" t="s">
        <v>1677</v>
      </c>
    </row>
    <row r="68" spans="1:70" ht="48" customHeight="1" x14ac:dyDescent="0.2">
      <c r="A68" s="1938"/>
      <c r="D68" s="1939"/>
      <c r="G68" s="1939"/>
      <c r="J68" s="2848"/>
      <c r="K68" s="2825"/>
      <c r="L68" s="2825"/>
      <c r="M68" s="2871"/>
      <c r="N68" s="2872"/>
      <c r="O68" s="2007"/>
      <c r="P68" s="2845"/>
      <c r="Q68" s="2882"/>
      <c r="R68" s="2859"/>
      <c r="S68" s="2884"/>
      <c r="T68" s="2839"/>
      <c r="U68" s="2825"/>
      <c r="V68" s="2892" t="s">
        <v>1759</v>
      </c>
      <c r="W68" s="1913">
        <f>0+69608000</f>
        <v>69608000</v>
      </c>
      <c r="X68" s="2004">
        <v>65653000</v>
      </c>
      <c r="Y68" s="2004">
        <v>8763400</v>
      </c>
      <c r="Z68" s="1944">
        <v>20</v>
      </c>
      <c r="AA68" s="1944" t="s">
        <v>1758</v>
      </c>
      <c r="AB68" s="2887"/>
      <c r="AC68" s="2008"/>
      <c r="AD68" s="2875"/>
      <c r="AE68" s="2009"/>
      <c r="AF68" s="2878"/>
      <c r="AG68" s="2009"/>
      <c r="AH68" s="2880"/>
      <c r="AI68" s="2845"/>
      <c r="AJ68" s="2880"/>
      <c r="AK68" s="2845"/>
      <c r="AL68" s="2880"/>
      <c r="AM68" s="2845"/>
      <c r="AN68" s="2880"/>
      <c r="AO68" s="2845"/>
      <c r="AP68" s="2880"/>
      <c r="AQ68" s="2845"/>
      <c r="AR68" s="2875"/>
      <c r="AS68" s="2845"/>
      <c r="AT68" s="2875"/>
      <c r="AU68" s="2845"/>
      <c r="AV68" s="2875"/>
      <c r="AW68" s="2845"/>
      <c r="AX68" s="2875"/>
      <c r="AY68" s="2845"/>
      <c r="AZ68" s="2841"/>
      <c r="BA68" s="2845"/>
      <c r="BB68" s="2875"/>
      <c r="BC68" s="2845"/>
      <c r="BD68" s="2875"/>
      <c r="BE68" s="2845"/>
      <c r="BF68" s="2875"/>
      <c r="BG68" s="2845"/>
      <c r="BH68" s="2845"/>
      <c r="BI68" s="2845"/>
      <c r="BJ68" s="2845"/>
      <c r="BK68" s="2917"/>
      <c r="BL68" s="2845"/>
      <c r="BM68" s="2845"/>
      <c r="BN68" s="2904"/>
      <c r="BO68" s="2845"/>
      <c r="BP68" s="2904"/>
      <c r="BQ68" s="2845"/>
      <c r="BR68" s="2908"/>
    </row>
    <row r="69" spans="1:70" ht="48" customHeight="1" x14ac:dyDescent="0.2">
      <c r="A69" s="1938"/>
      <c r="D69" s="1939"/>
      <c r="G69" s="1939"/>
      <c r="J69" s="2848"/>
      <c r="K69" s="2825"/>
      <c r="L69" s="2825"/>
      <c r="M69" s="2871"/>
      <c r="N69" s="2872"/>
      <c r="O69" s="2007"/>
      <c r="P69" s="2845"/>
      <c r="Q69" s="2882"/>
      <c r="R69" s="2859"/>
      <c r="S69" s="2884"/>
      <c r="T69" s="2839"/>
      <c r="U69" s="2825"/>
      <c r="V69" s="2893"/>
      <c r="W69" s="2004">
        <f>0+25833800</f>
        <v>25833800</v>
      </c>
      <c r="X69" s="2004"/>
      <c r="Y69" s="2004"/>
      <c r="Z69" s="1944">
        <v>88</v>
      </c>
      <c r="AA69" s="1944" t="s">
        <v>1760</v>
      </c>
      <c r="AB69" s="2887"/>
      <c r="AC69" s="2008"/>
      <c r="AD69" s="2875"/>
      <c r="AE69" s="2009"/>
      <c r="AF69" s="2878"/>
      <c r="AG69" s="2009"/>
      <c r="AH69" s="2880"/>
      <c r="AI69" s="2845"/>
      <c r="AJ69" s="2880"/>
      <c r="AK69" s="2845"/>
      <c r="AL69" s="2880"/>
      <c r="AM69" s="2845"/>
      <c r="AN69" s="2880"/>
      <c r="AO69" s="2845"/>
      <c r="AP69" s="2880"/>
      <c r="AQ69" s="2845"/>
      <c r="AR69" s="2875"/>
      <c r="AS69" s="2845"/>
      <c r="AT69" s="2875"/>
      <c r="AU69" s="2845"/>
      <c r="AV69" s="2875"/>
      <c r="AW69" s="2845"/>
      <c r="AX69" s="2875"/>
      <c r="AY69" s="2845"/>
      <c r="AZ69" s="2841"/>
      <c r="BA69" s="2845"/>
      <c r="BB69" s="2875"/>
      <c r="BC69" s="2845"/>
      <c r="BD69" s="2875"/>
      <c r="BE69" s="2845"/>
      <c r="BF69" s="2875"/>
      <c r="BG69" s="2845"/>
      <c r="BH69" s="2845"/>
      <c r="BI69" s="2845"/>
      <c r="BJ69" s="2845"/>
      <c r="BK69" s="2917"/>
      <c r="BL69" s="2845"/>
      <c r="BM69" s="2845"/>
      <c r="BN69" s="2904"/>
      <c r="BO69" s="2845"/>
      <c r="BP69" s="2904"/>
      <c r="BQ69" s="2845"/>
      <c r="BR69" s="2908"/>
    </row>
    <row r="70" spans="1:70" ht="48" customHeight="1" x14ac:dyDescent="0.2">
      <c r="A70" s="1938"/>
      <c r="D70" s="1939"/>
      <c r="G70" s="1939"/>
      <c r="J70" s="2848"/>
      <c r="K70" s="2825"/>
      <c r="L70" s="2825"/>
      <c r="M70" s="2871"/>
      <c r="N70" s="2872"/>
      <c r="O70" s="2007"/>
      <c r="P70" s="2845"/>
      <c r="Q70" s="2882"/>
      <c r="R70" s="2859"/>
      <c r="S70" s="2884"/>
      <c r="T70" s="2839"/>
      <c r="U70" s="2885"/>
      <c r="V70" s="2910" t="s">
        <v>1761</v>
      </c>
      <c r="W70" s="2004">
        <f>68400000-6360000</f>
        <v>62040000</v>
      </c>
      <c r="X70" s="2004">
        <v>22743600</v>
      </c>
      <c r="Y70" s="2004">
        <v>3597200</v>
      </c>
      <c r="Z70" s="1944" t="s">
        <v>689</v>
      </c>
      <c r="AA70" s="1944" t="s">
        <v>1758</v>
      </c>
      <c r="AB70" s="2887"/>
      <c r="AC70" s="2008"/>
      <c r="AD70" s="2875"/>
      <c r="AE70" s="2009"/>
      <c r="AF70" s="2878"/>
      <c r="AG70" s="2009"/>
      <c r="AH70" s="2880"/>
      <c r="AI70" s="2845"/>
      <c r="AJ70" s="2880"/>
      <c r="AK70" s="2845"/>
      <c r="AL70" s="2880"/>
      <c r="AM70" s="2845"/>
      <c r="AN70" s="2880"/>
      <c r="AO70" s="2845"/>
      <c r="AP70" s="2880"/>
      <c r="AQ70" s="2845"/>
      <c r="AR70" s="2875"/>
      <c r="AS70" s="2845"/>
      <c r="AT70" s="2875"/>
      <c r="AU70" s="2845"/>
      <c r="AV70" s="2875"/>
      <c r="AW70" s="2845"/>
      <c r="AX70" s="2875"/>
      <c r="AY70" s="2845"/>
      <c r="AZ70" s="2841"/>
      <c r="BA70" s="2845"/>
      <c r="BB70" s="2875"/>
      <c r="BC70" s="2845"/>
      <c r="BD70" s="2875"/>
      <c r="BE70" s="2845"/>
      <c r="BF70" s="2875"/>
      <c r="BG70" s="2845"/>
      <c r="BH70" s="2845"/>
      <c r="BI70" s="2845"/>
      <c r="BJ70" s="2845"/>
      <c r="BK70" s="2917"/>
      <c r="BL70" s="2845"/>
      <c r="BM70" s="2845"/>
      <c r="BN70" s="2904"/>
      <c r="BO70" s="2845"/>
      <c r="BP70" s="2904"/>
      <c r="BQ70" s="2845"/>
      <c r="BR70" s="2908"/>
    </row>
    <row r="71" spans="1:70" ht="48" customHeight="1" x14ac:dyDescent="0.2">
      <c r="A71" s="1938"/>
      <c r="D71" s="1939"/>
      <c r="G71" s="1939"/>
      <c r="J71" s="2848"/>
      <c r="K71" s="2825"/>
      <c r="L71" s="2825"/>
      <c r="M71" s="2871"/>
      <c r="N71" s="2872"/>
      <c r="O71" s="2007"/>
      <c r="P71" s="2845"/>
      <c r="Q71" s="2882"/>
      <c r="R71" s="2859"/>
      <c r="S71" s="2884"/>
      <c r="T71" s="2839"/>
      <c r="U71" s="2885"/>
      <c r="V71" s="2911"/>
      <c r="W71" s="2010">
        <f>0+4584800</f>
        <v>4584800</v>
      </c>
      <c r="X71" s="2010"/>
      <c r="Y71" s="2010"/>
      <c r="Z71" s="2011">
        <v>88</v>
      </c>
      <c r="AA71" s="2011" t="s">
        <v>1760</v>
      </c>
      <c r="AB71" s="2888"/>
      <c r="AC71" s="2012"/>
      <c r="AD71" s="2875"/>
      <c r="AE71" s="2009"/>
      <c r="AF71" s="2878"/>
      <c r="AG71" s="2009"/>
      <c r="AH71" s="2880"/>
      <c r="AI71" s="2845"/>
      <c r="AJ71" s="2880"/>
      <c r="AK71" s="2845"/>
      <c r="AL71" s="2880"/>
      <c r="AM71" s="2845"/>
      <c r="AN71" s="2880"/>
      <c r="AO71" s="2845"/>
      <c r="AP71" s="2880"/>
      <c r="AQ71" s="2845"/>
      <c r="AR71" s="2875"/>
      <c r="AS71" s="2845"/>
      <c r="AT71" s="2875"/>
      <c r="AU71" s="2845"/>
      <c r="AV71" s="2875"/>
      <c r="AW71" s="2845"/>
      <c r="AX71" s="2875"/>
      <c r="AY71" s="2845"/>
      <c r="AZ71" s="2841"/>
      <c r="BA71" s="2845"/>
      <c r="BB71" s="2875"/>
      <c r="BC71" s="2845"/>
      <c r="BD71" s="2875"/>
      <c r="BE71" s="2845"/>
      <c r="BF71" s="2875"/>
      <c r="BG71" s="2845"/>
      <c r="BH71" s="2845"/>
      <c r="BI71" s="2845"/>
      <c r="BJ71" s="2845"/>
      <c r="BK71" s="2917"/>
      <c r="BL71" s="2845"/>
      <c r="BM71" s="2845"/>
      <c r="BN71" s="2904"/>
      <c r="BO71" s="2845"/>
      <c r="BP71" s="2904"/>
      <c r="BQ71" s="2845"/>
      <c r="BR71" s="2908"/>
    </row>
    <row r="72" spans="1:70" ht="48" customHeight="1" x14ac:dyDescent="0.2">
      <c r="A72" s="1938"/>
      <c r="D72" s="1939"/>
      <c r="G72" s="1939"/>
      <c r="J72" s="2848"/>
      <c r="K72" s="2825"/>
      <c r="L72" s="2825"/>
      <c r="M72" s="2871"/>
      <c r="N72" s="2872"/>
      <c r="O72" s="2007"/>
      <c r="P72" s="2845"/>
      <c r="Q72" s="2882"/>
      <c r="R72" s="2859"/>
      <c r="S72" s="2884"/>
      <c r="T72" s="2839"/>
      <c r="U72" s="2885"/>
      <c r="V72" s="2013" t="s">
        <v>1762</v>
      </c>
      <c r="W72" s="2014">
        <f>0+6360000</f>
        <v>6360000</v>
      </c>
      <c r="X72" s="2014"/>
      <c r="Y72" s="2014"/>
      <c r="Z72" s="2015">
        <v>20</v>
      </c>
      <c r="AA72" s="2015" t="s">
        <v>1758</v>
      </c>
      <c r="AB72" s="2888"/>
      <c r="AC72" s="2012"/>
      <c r="AD72" s="2875"/>
      <c r="AE72" s="2009"/>
      <c r="AF72" s="2878"/>
      <c r="AG72" s="2009"/>
      <c r="AH72" s="2880"/>
      <c r="AI72" s="2845"/>
      <c r="AJ72" s="2880"/>
      <c r="AK72" s="2845"/>
      <c r="AL72" s="2880"/>
      <c r="AM72" s="2845"/>
      <c r="AN72" s="2880"/>
      <c r="AO72" s="2845"/>
      <c r="AP72" s="2880"/>
      <c r="AQ72" s="2845"/>
      <c r="AR72" s="2875"/>
      <c r="AS72" s="2845"/>
      <c r="AT72" s="2875"/>
      <c r="AU72" s="2845"/>
      <c r="AV72" s="2875"/>
      <c r="AW72" s="2845"/>
      <c r="AX72" s="2875"/>
      <c r="AY72" s="2845"/>
      <c r="AZ72" s="2841"/>
      <c r="BA72" s="2845"/>
      <c r="BB72" s="2875"/>
      <c r="BC72" s="2845"/>
      <c r="BD72" s="2875"/>
      <c r="BE72" s="2845"/>
      <c r="BF72" s="2875"/>
      <c r="BG72" s="2845"/>
      <c r="BH72" s="2845"/>
      <c r="BI72" s="2845"/>
      <c r="BJ72" s="2845"/>
      <c r="BK72" s="2917"/>
      <c r="BL72" s="2845"/>
      <c r="BM72" s="2845"/>
      <c r="BN72" s="2904"/>
      <c r="BO72" s="2845"/>
      <c r="BP72" s="2904"/>
      <c r="BQ72" s="2845"/>
      <c r="BR72" s="2908"/>
    </row>
    <row r="73" spans="1:70" ht="48" customHeight="1" x14ac:dyDescent="0.2">
      <c r="A73" s="1938"/>
      <c r="D73" s="1939"/>
      <c r="G73" s="1939"/>
      <c r="J73" s="2848"/>
      <c r="K73" s="2825"/>
      <c r="L73" s="2825"/>
      <c r="M73" s="2871"/>
      <c r="N73" s="2872"/>
      <c r="O73" s="2007"/>
      <c r="P73" s="2845"/>
      <c r="Q73" s="2882"/>
      <c r="R73" s="2859"/>
      <c r="S73" s="2884"/>
      <c r="T73" s="2839"/>
      <c r="U73" s="2885"/>
      <c r="V73" s="2016" t="s">
        <v>1763</v>
      </c>
      <c r="W73" s="2010">
        <f>0+3000000</f>
        <v>3000000</v>
      </c>
      <c r="X73" s="2010"/>
      <c r="Y73" s="2010"/>
      <c r="Z73" s="2011">
        <v>88</v>
      </c>
      <c r="AA73" s="2011" t="s">
        <v>1760</v>
      </c>
      <c r="AB73" s="2888"/>
      <c r="AC73" s="2012"/>
      <c r="AD73" s="2875"/>
      <c r="AE73" s="2009"/>
      <c r="AF73" s="2878"/>
      <c r="AG73" s="2009"/>
      <c r="AH73" s="2880"/>
      <c r="AI73" s="2845"/>
      <c r="AJ73" s="2880"/>
      <c r="AK73" s="2845"/>
      <c r="AL73" s="2880"/>
      <c r="AM73" s="2845"/>
      <c r="AN73" s="2880"/>
      <c r="AO73" s="2845"/>
      <c r="AP73" s="2880"/>
      <c r="AQ73" s="2845"/>
      <c r="AR73" s="2875"/>
      <c r="AS73" s="2845"/>
      <c r="AT73" s="2875"/>
      <c r="AU73" s="2845"/>
      <c r="AV73" s="2875"/>
      <c r="AW73" s="2845"/>
      <c r="AX73" s="2875"/>
      <c r="AY73" s="2845"/>
      <c r="AZ73" s="2841"/>
      <c r="BA73" s="2845"/>
      <c r="BB73" s="2875"/>
      <c r="BC73" s="2845"/>
      <c r="BD73" s="2875"/>
      <c r="BE73" s="2845"/>
      <c r="BF73" s="2875"/>
      <c r="BG73" s="2845"/>
      <c r="BH73" s="2845"/>
      <c r="BI73" s="2845"/>
      <c r="BJ73" s="2845"/>
      <c r="BK73" s="2917"/>
      <c r="BL73" s="2845"/>
      <c r="BM73" s="2845"/>
      <c r="BN73" s="2904"/>
      <c r="BO73" s="2845"/>
      <c r="BP73" s="2904"/>
      <c r="BQ73" s="2845"/>
      <c r="BR73" s="2908"/>
    </row>
    <row r="74" spans="1:70" ht="48" customHeight="1" x14ac:dyDescent="0.2">
      <c r="A74" s="1938"/>
      <c r="D74" s="1939"/>
      <c r="G74" s="1939"/>
      <c r="I74" s="2017"/>
      <c r="J74" s="2848"/>
      <c r="K74" s="2825"/>
      <c r="L74" s="2825"/>
      <c r="M74" s="2871"/>
      <c r="N74" s="2872"/>
      <c r="O74" s="2007"/>
      <c r="P74" s="2845"/>
      <c r="Q74" s="2882"/>
      <c r="R74" s="2859"/>
      <c r="S74" s="2884"/>
      <c r="T74" s="2839"/>
      <c r="U74" s="2885"/>
      <c r="V74" s="2018" t="s">
        <v>1764</v>
      </c>
      <c r="W74" s="2019">
        <f>0+7221400</f>
        <v>7221400</v>
      </c>
      <c r="X74" s="2019"/>
      <c r="Y74" s="2019"/>
      <c r="Z74" s="2011">
        <v>88</v>
      </c>
      <c r="AA74" s="2011" t="s">
        <v>1760</v>
      </c>
      <c r="AB74" s="2888"/>
      <c r="AC74" s="2012"/>
      <c r="AD74" s="2875"/>
      <c r="AE74" s="2009"/>
      <c r="AF74" s="2878"/>
      <c r="AG74" s="2009"/>
      <c r="AH74" s="2880"/>
      <c r="AI74" s="2845"/>
      <c r="AJ74" s="2880"/>
      <c r="AK74" s="2845"/>
      <c r="AL74" s="2880"/>
      <c r="AM74" s="2845"/>
      <c r="AN74" s="2880"/>
      <c r="AO74" s="2845"/>
      <c r="AP74" s="2880"/>
      <c r="AQ74" s="2845"/>
      <c r="AR74" s="2875"/>
      <c r="AS74" s="2845"/>
      <c r="AT74" s="2875"/>
      <c r="AU74" s="2845"/>
      <c r="AV74" s="2875"/>
      <c r="AW74" s="2845"/>
      <c r="AX74" s="2875"/>
      <c r="AY74" s="2845"/>
      <c r="AZ74" s="2841"/>
      <c r="BA74" s="2845"/>
      <c r="BB74" s="2875"/>
      <c r="BC74" s="2845"/>
      <c r="BD74" s="2875"/>
      <c r="BE74" s="2845"/>
      <c r="BF74" s="2875"/>
      <c r="BG74" s="2845"/>
      <c r="BH74" s="2845"/>
      <c r="BI74" s="2845"/>
      <c r="BJ74" s="2845"/>
      <c r="BK74" s="2917"/>
      <c r="BL74" s="2845"/>
      <c r="BM74" s="2845"/>
      <c r="BN74" s="2904"/>
      <c r="BO74" s="2845"/>
      <c r="BP74" s="2904"/>
      <c r="BQ74" s="2845"/>
      <c r="BR74" s="2908"/>
    </row>
    <row r="75" spans="1:70" ht="80.25" customHeight="1" x14ac:dyDescent="0.2">
      <c r="A75" s="1938"/>
      <c r="D75" s="1939"/>
      <c r="G75" s="1939"/>
      <c r="I75" s="2017"/>
      <c r="J75" s="1944">
        <v>258</v>
      </c>
      <c r="K75" s="2020" t="s">
        <v>1765</v>
      </c>
      <c r="L75" s="2020" t="s">
        <v>1766</v>
      </c>
      <c r="M75" s="2021">
        <v>1</v>
      </c>
      <c r="N75" s="2022">
        <v>0.4</v>
      </c>
      <c r="O75" s="2023" t="s">
        <v>1767</v>
      </c>
      <c r="P75" s="2845"/>
      <c r="Q75" s="2882"/>
      <c r="R75" s="2024">
        <f>(W75)/S67</f>
        <v>7.8773460216759184E-2</v>
      </c>
      <c r="S75" s="2884"/>
      <c r="T75" s="2839"/>
      <c r="U75" s="2020" t="s">
        <v>1768</v>
      </c>
      <c r="V75" s="2025" t="s">
        <v>1769</v>
      </c>
      <c r="W75" s="2026">
        <v>29800000</v>
      </c>
      <c r="X75" s="2027">
        <v>10600000</v>
      </c>
      <c r="Y75" s="2027">
        <v>4240000</v>
      </c>
      <c r="Z75" s="2028">
        <v>20</v>
      </c>
      <c r="AA75" s="2028" t="s">
        <v>1758</v>
      </c>
      <c r="AB75" s="2887"/>
      <c r="AC75" s="2008"/>
      <c r="AD75" s="2875"/>
      <c r="AE75" s="2009"/>
      <c r="AF75" s="2878"/>
      <c r="AG75" s="2009"/>
      <c r="AH75" s="2880"/>
      <c r="AI75" s="2845"/>
      <c r="AJ75" s="2880"/>
      <c r="AK75" s="2845"/>
      <c r="AL75" s="2880"/>
      <c r="AM75" s="2845"/>
      <c r="AN75" s="2880"/>
      <c r="AO75" s="2845"/>
      <c r="AP75" s="2880"/>
      <c r="AQ75" s="2845"/>
      <c r="AR75" s="2875"/>
      <c r="AS75" s="2845"/>
      <c r="AT75" s="2875"/>
      <c r="AU75" s="2845"/>
      <c r="AV75" s="2875"/>
      <c r="AW75" s="2845"/>
      <c r="AX75" s="2875"/>
      <c r="AY75" s="2845"/>
      <c r="AZ75" s="2841"/>
      <c r="BA75" s="2845"/>
      <c r="BB75" s="2875"/>
      <c r="BC75" s="2845"/>
      <c r="BD75" s="2875"/>
      <c r="BE75" s="2845"/>
      <c r="BF75" s="2875"/>
      <c r="BG75" s="2845"/>
      <c r="BH75" s="2845"/>
      <c r="BI75" s="2845"/>
      <c r="BJ75" s="2845"/>
      <c r="BK75" s="2917"/>
      <c r="BL75" s="2845"/>
      <c r="BM75" s="2845"/>
      <c r="BN75" s="2904"/>
      <c r="BO75" s="2845"/>
      <c r="BP75" s="2904"/>
      <c r="BQ75" s="2845"/>
      <c r="BR75" s="2908"/>
    </row>
    <row r="76" spans="1:70" ht="84.75" customHeight="1" x14ac:dyDescent="0.2">
      <c r="A76" s="1938"/>
      <c r="D76" s="1939"/>
      <c r="G76" s="1939"/>
      <c r="J76" s="1916">
        <v>259</v>
      </c>
      <c r="K76" s="1940" t="s">
        <v>1770</v>
      </c>
      <c r="L76" s="1940" t="s">
        <v>1771</v>
      </c>
      <c r="M76" s="2029">
        <v>1</v>
      </c>
      <c r="N76" s="2022">
        <v>0.4</v>
      </c>
      <c r="O76" s="2023" t="s">
        <v>1772</v>
      </c>
      <c r="P76" s="2845"/>
      <c r="Q76" s="2882"/>
      <c r="R76" s="2030">
        <f>W76/S67</f>
        <v>2.2468939994713191E-2</v>
      </c>
      <c r="S76" s="2884"/>
      <c r="T76" s="2839"/>
      <c r="U76" s="1940" t="s">
        <v>1773</v>
      </c>
      <c r="V76" s="1912" t="s">
        <v>1774</v>
      </c>
      <c r="W76" s="1913">
        <v>8500000</v>
      </c>
      <c r="X76" s="2004"/>
      <c r="Y76" s="2004"/>
      <c r="Z76" s="1944" t="s">
        <v>852</v>
      </c>
      <c r="AA76" s="1944" t="s">
        <v>1758</v>
      </c>
      <c r="AB76" s="2887"/>
      <c r="AC76" s="2008"/>
      <c r="AD76" s="2875"/>
      <c r="AE76" s="2009"/>
      <c r="AF76" s="2878"/>
      <c r="AG76" s="2009"/>
      <c r="AH76" s="2880"/>
      <c r="AI76" s="2845"/>
      <c r="AJ76" s="2880"/>
      <c r="AK76" s="2845"/>
      <c r="AL76" s="2880"/>
      <c r="AM76" s="2845"/>
      <c r="AN76" s="2880"/>
      <c r="AO76" s="2845"/>
      <c r="AP76" s="2880"/>
      <c r="AQ76" s="2845"/>
      <c r="AR76" s="2875"/>
      <c r="AS76" s="2845"/>
      <c r="AT76" s="2875"/>
      <c r="AU76" s="2845"/>
      <c r="AV76" s="2875"/>
      <c r="AW76" s="2845"/>
      <c r="AX76" s="2875"/>
      <c r="AY76" s="2845"/>
      <c r="AZ76" s="2841"/>
      <c r="BA76" s="2845"/>
      <c r="BB76" s="2875"/>
      <c r="BC76" s="2845"/>
      <c r="BD76" s="2875"/>
      <c r="BE76" s="2845"/>
      <c r="BF76" s="2875"/>
      <c r="BG76" s="2845"/>
      <c r="BH76" s="2845"/>
      <c r="BI76" s="2845"/>
      <c r="BJ76" s="2845"/>
      <c r="BK76" s="2917"/>
      <c r="BL76" s="2845"/>
      <c r="BM76" s="2845"/>
      <c r="BN76" s="2904"/>
      <c r="BO76" s="2845"/>
      <c r="BP76" s="2904"/>
      <c r="BQ76" s="2845"/>
      <c r="BR76" s="2908"/>
    </row>
    <row r="77" spans="1:70" ht="65.25" customHeight="1" x14ac:dyDescent="0.2">
      <c r="A77" s="1938"/>
      <c r="D77" s="1939"/>
      <c r="G77" s="1939"/>
      <c r="J77" s="1916">
        <v>263</v>
      </c>
      <c r="K77" s="1940" t="s">
        <v>1775</v>
      </c>
      <c r="L77" s="1940" t="s">
        <v>1776</v>
      </c>
      <c r="M77" s="2029">
        <v>1</v>
      </c>
      <c r="N77" s="2031"/>
      <c r="O77" s="2007"/>
      <c r="P77" s="2845"/>
      <c r="Q77" s="2882"/>
      <c r="R77" s="2030">
        <f>W77/S67</f>
        <v>0.21147237642083003</v>
      </c>
      <c r="S77" s="2884"/>
      <c r="T77" s="2839"/>
      <c r="U77" s="1940" t="s">
        <v>1777</v>
      </c>
      <c r="V77" s="2032" t="s">
        <v>1778</v>
      </c>
      <c r="W77" s="1913">
        <v>80000000</v>
      </c>
      <c r="X77" s="2004"/>
      <c r="Y77" s="2004"/>
      <c r="Z77" s="1944">
        <v>20</v>
      </c>
      <c r="AA77" s="1944" t="s">
        <v>1758</v>
      </c>
      <c r="AB77" s="2887"/>
      <c r="AC77" s="2008"/>
      <c r="AD77" s="2875"/>
      <c r="AE77" s="2009"/>
      <c r="AF77" s="2878"/>
      <c r="AG77" s="2009"/>
      <c r="AH77" s="2880"/>
      <c r="AI77" s="2845"/>
      <c r="AJ77" s="2880"/>
      <c r="AK77" s="2845"/>
      <c r="AL77" s="2880"/>
      <c r="AM77" s="2845"/>
      <c r="AN77" s="2880"/>
      <c r="AO77" s="2845"/>
      <c r="AP77" s="2880"/>
      <c r="AQ77" s="2845"/>
      <c r="AR77" s="2875"/>
      <c r="AS77" s="2845"/>
      <c r="AT77" s="2875"/>
      <c r="AU77" s="2845"/>
      <c r="AV77" s="2875"/>
      <c r="AW77" s="2845"/>
      <c r="AX77" s="2875"/>
      <c r="AY77" s="2845"/>
      <c r="AZ77" s="2841"/>
      <c r="BA77" s="2845"/>
      <c r="BB77" s="2875"/>
      <c r="BC77" s="2845"/>
      <c r="BD77" s="2875"/>
      <c r="BE77" s="2845"/>
      <c r="BF77" s="2875"/>
      <c r="BG77" s="2845"/>
      <c r="BH77" s="2845"/>
      <c r="BI77" s="2845"/>
      <c r="BJ77" s="2845"/>
      <c r="BK77" s="2917"/>
      <c r="BL77" s="2845"/>
      <c r="BM77" s="2845"/>
      <c r="BN77" s="2904"/>
      <c r="BO77" s="2845"/>
      <c r="BP77" s="2904"/>
      <c r="BQ77" s="2845"/>
      <c r="BR77" s="2908"/>
    </row>
    <row r="78" spans="1:70" ht="60" customHeight="1" x14ac:dyDescent="0.2">
      <c r="A78" s="1938"/>
      <c r="D78" s="1939"/>
      <c r="G78" s="1939"/>
      <c r="J78" s="2907">
        <v>261</v>
      </c>
      <c r="K78" s="2838" t="s">
        <v>1779</v>
      </c>
      <c r="L78" s="2838" t="s">
        <v>1780</v>
      </c>
      <c r="M78" s="2912">
        <v>2</v>
      </c>
      <c r="N78" s="2914">
        <v>1.4</v>
      </c>
      <c r="O78" s="2007"/>
      <c r="P78" s="2845"/>
      <c r="Q78" s="2882"/>
      <c r="R78" s="2890">
        <f>SUM(W78:W81)/S67</f>
        <v>0.15691250330425588</v>
      </c>
      <c r="S78" s="2884"/>
      <c r="T78" s="2839"/>
      <c r="U78" s="2838" t="s">
        <v>1781</v>
      </c>
      <c r="V78" s="2892" t="s">
        <v>1782</v>
      </c>
      <c r="W78" s="1913">
        <v>26400000</v>
      </c>
      <c r="X78" s="2004">
        <v>18200000</v>
      </c>
      <c r="Y78" s="2004">
        <v>3240000</v>
      </c>
      <c r="Z78" s="1944">
        <v>20</v>
      </c>
      <c r="AA78" s="1944" t="s">
        <v>1758</v>
      </c>
      <c r="AB78" s="2887"/>
      <c r="AC78" s="2008"/>
      <c r="AD78" s="2875"/>
      <c r="AE78" s="2009"/>
      <c r="AF78" s="2878"/>
      <c r="AG78" s="2009"/>
      <c r="AH78" s="2880"/>
      <c r="AI78" s="2845"/>
      <c r="AJ78" s="2880"/>
      <c r="AK78" s="2845"/>
      <c r="AL78" s="2880"/>
      <c r="AM78" s="2845"/>
      <c r="AN78" s="2880"/>
      <c r="AO78" s="2845"/>
      <c r="AP78" s="2880"/>
      <c r="AQ78" s="2845"/>
      <c r="AR78" s="2875"/>
      <c r="AS78" s="2845"/>
      <c r="AT78" s="2875"/>
      <c r="AU78" s="2845"/>
      <c r="AV78" s="2875"/>
      <c r="AW78" s="2845"/>
      <c r="AX78" s="2875"/>
      <c r="AY78" s="2845"/>
      <c r="AZ78" s="2841"/>
      <c r="BA78" s="2845"/>
      <c r="BB78" s="2875"/>
      <c r="BC78" s="2845"/>
      <c r="BD78" s="2875"/>
      <c r="BE78" s="2845"/>
      <c r="BF78" s="2875"/>
      <c r="BG78" s="2845"/>
      <c r="BH78" s="2845"/>
      <c r="BI78" s="2845"/>
      <c r="BJ78" s="2845"/>
      <c r="BK78" s="2917"/>
      <c r="BL78" s="2845"/>
      <c r="BM78" s="2845"/>
      <c r="BN78" s="2904"/>
      <c r="BO78" s="2845"/>
      <c r="BP78" s="2904"/>
      <c r="BQ78" s="2845"/>
      <c r="BR78" s="2908"/>
    </row>
    <row r="79" spans="1:70" ht="60" customHeight="1" x14ac:dyDescent="0.2">
      <c r="A79" s="1938"/>
      <c r="D79" s="1939"/>
      <c r="G79" s="1939"/>
      <c r="J79" s="2908"/>
      <c r="K79" s="2839"/>
      <c r="L79" s="2839"/>
      <c r="M79" s="2913"/>
      <c r="N79" s="2915"/>
      <c r="O79" s="2007"/>
      <c r="P79" s="2845"/>
      <c r="Q79" s="2882"/>
      <c r="R79" s="2891"/>
      <c r="S79" s="2884"/>
      <c r="T79" s="2839"/>
      <c r="U79" s="2839"/>
      <c r="V79" s="2893"/>
      <c r="W79" s="2033">
        <f>0+8760000</f>
        <v>8760000</v>
      </c>
      <c r="X79" s="1913"/>
      <c r="Y79" s="1913"/>
      <c r="Z79" s="2034">
        <v>88</v>
      </c>
      <c r="AA79" s="2011" t="s">
        <v>1760</v>
      </c>
      <c r="AB79" s="2887"/>
      <c r="AC79" s="2008"/>
      <c r="AD79" s="2875"/>
      <c r="AE79" s="2009"/>
      <c r="AF79" s="2878"/>
      <c r="AG79" s="2009"/>
      <c r="AH79" s="2880"/>
      <c r="AI79" s="2845"/>
      <c r="AJ79" s="2880"/>
      <c r="AK79" s="2845"/>
      <c r="AL79" s="2880"/>
      <c r="AM79" s="2845"/>
      <c r="AN79" s="2880"/>
      <c r="AO79" s="2845"/>
      <c r="AP79" s="2880"/>
      <c r="AQ79" s="2845"/>
      <c r="AR79" s="2875"/>
      <c r="AS79" s="2845"/>
      <c r="AT79" s="2875"/>
      <c r="AU79" s="2845"/>
      <c r="AV79" s="2875"/>
      <c r="AW79" s="2845"/>
      <c r="AX79" s="2875"/>
      <c r="AY79" s="2845"/>
      <c r="AZ79" s="2841"/>
      <c r="BA79" s="2845"/>
      <c r="BB79" s="2875"/>
      <c r="BC79" s="2845"/>
      <c r="BD79" s="2875"/>
      <c r="BE79" s="2845"/>
      <c r="BF79" s="2875"/>
      <c r="BG79" s="2845"/>
      <c r="BH79" s="2845"/>
      <c r="BI79" s="2845"/>
      <c r="BJ79" s="2845"/>
      <c r="BK79" s="2917"/>
      <c r="BL79" s="2845"/>
      <c r="BM79" s="2845"/>
      <c r="BN79" s="2904"/>
      <c r="BO79" s="2845"/>
      <c r="BP79" s="2904"/>
      <c r="BQ79" s="2845"/>
      <c r="BR79" s="2908"/>
    </row>
    <row r="80" spans="1:70" ht="60" customHeight="1" x14ac:dyDescent="0.2">
      <c r="A80" s="1938"/>
      <c r="D80" s="1939"/>
      <c r="G80" s="1939"/>
      <c r="J80" s="2908"/>
      <c r="K80" s="2839"/>
      <c r="L80" s="2839"/>
      <c r="M80" s="2913"/>
      <c r="N80" s="2915"/>
      <c r="O80" s="2007"/>
      <c r="P80" s="2845"/>
      <c r="Q80" s="2882"/>
      <c r="R80" s="2891"/>
      <c r="S80" s="2884"/>
      <c r="T80" s="2839"/>
      <c r="U80" s="2839"/>
      <c r="V80" s="2894" t="s">
        <v>1783</v>
      </c>
      <c r="W80" s="2035">
        <v>13600000</v>
      </c>
      <c r="X80" s="2035">
        <v>13600000</v>
      </c>
      <c r="Y80" s="2035">
        <v>5240000</v>
      </c>
      <c r="Z80" s="1944">
        <v>20</v>
      </c>
      <c r="AA80" s="1944" t="s">
        <v>1758</v>
      </c>
      <c r="AB80" s="2887"/>
      <c r="AC80" s="2008"/>
      <c r="AD80" s="2875"/>
      <c r="AE80" s="2009"/>
      <c r="AF80" s="2878"/>
      <c r="AG80" s="2009"/>
      <c r="AH80" s="2880"/>
      <c r="AI80" s="2845"/>
      <c r="AJ80" s="2880"/>
      <c r="AK80" s="2845"/>
      <c r="AL80" s="2880"/>
      <c r="AM80" s="2845"/>
      <c r="AN80" s="2880"/>
      <c r="AO80" s="2845"/>
      <c r="AP80" s="2880"/>
      <c r="AQ80" s="2845"/>
      <c r="AR80" s="2875"/>
      <c r="AS80" s="2845"/>
      <c r="AT80" s="2875"/>
      <c r="AU80" s="2845"/>
      <c r="AV80" s="2875"/>
      <c r="AW80" s="2845"/>
      <c r="AX80" s="2875"/>
      <c r="AY80" s="2845"/>
      <c r="AZ80" s="2841"/>
      <c r="BA80" s="2845"/>
      <c r="BB80" s="2875"/>
      <c r="BC80" s="2845"/>
      <c r="BD80" s="2875"/>
      <c r="BE80" s="2845"/>
      <c r="BF80" s="2875"/>
      <c r="BG80" s="2845"/>
      <c r="BH80" s="2845"/>
      <c r="BI80" s="2845"/>
      <c r="BJ80" s="2845"/>
      <c r="BK80" s="2917"/>
      <c r="BL80" s="2845"/>
      <c r="BM80" s="2845"/>
      <c r="BN80" s="2904"/>
      <c r="BO80" s="2845"/>
      <c r="BP80" s="2904"/>
      <c r="BQ80" s="2845"/>
      <c r="BR80" s="2908"/>
    </row>
    <row r="81" spans="1:70" ht="60" customHeight="1" x14ac:dyDescent="0.2">
      <c r="A81" s="1938"/>
      <c r="D81" s="1939"/>
      <c r="G81" s="1939"/>
      <c r="J81" s="2908"/>
      <c r="K81" s="2839"/>
      <c r="L81" s="2839"/>
      <c r="M81" s="2913"/>
      <c r="N81" s="2915"/>
      <c r="O81" s="2007"/>
      <c r="P81" s="2845"/>
      <c r="Q81" s="2882"/>
      <c r="R81" s="2891"/>
      <c r="S81" s="2884"/>
      <c r="T81" s="2840"/>
      <c r="U81" s="2840"/>
      <c r="V81" s="2895"/>
      <c r="W81" s="2019">
        <f>0+10600000</f>
        <v>10600000</v>
      </c>
      <c r="X81" s="2019"/>
      <c r="Y81" s="2019"/>
      <c r="Z81" s="2011">
        <v>88</v>
      </c>
      <c r="AA81" s="2011" t="s">
        <v>1760</v>
      </c>
      <c r="AB81" s="2889"/>
      <c r="AC81" s="2036"/>
      <c r="AD81" s="2876"/>
      <c r="AE81" s="2037"/>
      <c r="AF81" s="2879"/>
      <c r="AG81" s="2037"/>
      <c r="AH81" s="2880"/>
      <c r="AI81" s="2846"/>
      <c r="AJ81" s="2880"/>
      <c r="AK81" s="2846"/>
      <c r="AL81" s="2880"/>
      <c r="AM81" s="2846"/>
      <c r="AN81" s="2880"/>
      <c r="AO81" s="2846"/>
      <c r="AP81" s="2880"/>
      <c r="AQ81" s="2846"/>
      <c r="AR81" s="2876"/>
      <c r="AS81" s="2846"/>
      <c r="AT81" s="2876"/>
      <c r="AU81" s="2846"/>
      <c r="AV81" s="2876"/>
      <c r="AW81" s="2846"/>
      <c r="AX81" s="2876"/>
      <c r="AY81" s="2846"/>
      <c r="AZ81" s="2841"/>
      <c r="BA81" s="2846"/>
      <c r="BB81" s="2876"/>
      <c r="BC81" s="2846"/>
      <c r="BD81" s="2876"/>
      <c r="BE81" s="2846"/>
      <c r="BF81" s="2876"/>
      <c r="BG81" s="2846"/>
      <c r="BH81" s="2846"/>
      <c r="BI81" s="2846"/>
      <c r="BJ81" s="2846"/>
      <c r="BK81" s="2918"/>
      <c r="BL81" s="2846"/>
      <c r="BM81" s="2846"/>
      <c r="BN81" s="2905"/>
      <c r="BO81" s="2846"/>
      <c r="BP81" s="2905"/>
      <c r="BQ81" s="2846"/>
      <c r="BR81" s="2909"/>
    </row>
    <row r="82" spans="1:70" ht="36" customHeight="1" x14ac:dyDescent="0.2">
      <c r="A82" s="1906"/>
      <c r="D82" s="1908"/>
      <c r="E82" s="2897"/>
      <c r="F82" s="2897"/>
      <c r="G82" s="2898"/>
      <c r="H82" s="2897"/>
      <c r="I82" s="2897"/>
      <c r="J82" s="2899">
        <v>262</v>
      </c>
      <c r="K82" s="2901" t="s">
        <v>1784</v>
      </c>
      <c r="L82" s="2901" t="s">
        <v>1785</v>
      </c>
      <c r="M82" s="2899">
        <v>1</v>
      </c>
      <c r="N82" s="2899">
        <v>0.2</v>
      </c>
      <c r="O82" s="2899" t="s">
        <v>1786</v>
      </c>
      <c r="P82" s="2899" t="s">
        <v>1787</v>
      </c>
      <c r="Q82" s="2901" t="s">
        <v>1788</v>
      </c>
      <c r="R82" s="2930">
        <v>1</v>
      </c>
      <c r="S82" s="2921">
        <f>SUM(W82:W90)</f>
        <v>59999999.999999993</v>
      </c>
      <c r="T82" s="2923" t="s">
        <v>1789</v>
      </c>
      <c r="U82" s="2924" t="s">
        <v>1790</v>
      </c>
      <c r="V82" s="2927" t="s">
        <v>1791</v>
      </c>
      <c r="W82" s="2038">
        <v>6000000</v>
      </c>
      <c r="X82" s="2039">
        <v>6000000</v>
      </c>
      <c r="Y82" s="2039">
        <v>2784000</v>
      </c>
      <c r="Z82" s="2028">
        <v>20</v>
      </c>
      <c r="AA82" s="2040" t="s">
        <v>1758</v>
      </c>
      <c r="AB82" s="2869">
        <v>294321</v>
      </c>
      <c r="AC82" s="2919"/>
      <c r="AD82" s="2868">
        <v>283947</v>
      </c>
      <c r="AE82" s="2919"/>
      <c r="AF82" s="2869">
        <v>135754</v>
      </c>
      <c r="AG82" s="2919"/>
      <c r="AH82" s="2869">
        <v>44640</v>
      </c>
      <c r="AI82" s="2919"/>
      <c r="AJ82" s="2869">
        <v>308178</v>
      </c>
      <c r="AK82" s="2919"/>
      <c r="AL82" s="2869">
        <v>89696</v>
      </c>
      <c r="AM82" s="2919"/>
      <c r="AN82" s="2869">
        <v>2145</v>
      </c>
      <c r="AO82" s="2919"/>
      <c r="AP82" s="2869">
        <v>12718</v>
      </c>
      <c r="AQ82" s="2919"/>
      <c r="AR82" s="2869">
        <v>26</v>
      </c>
      <c r="AS82" s="2919"/>
      <c r="AT82" s="2929">
        <v>37</v>
      </c>
      <c r="AU82" s="2919"/>
      <c r="AV82" s="2869"/>
      <c r="AW82" s="2919"/>
      <c r="AX82" s="2869"/>
      <c r="AY82" s="2919"/>
      <c r="AZ82" s="2869">
        <v>54612</v>
      </c>
      <c r="BA82" s="2919"/>
      <c r="BB82" s="2869">
        <v>16982</v>
      </c>
      <c r="BC82" s="2919"/>
      <c r="BD82" s="2869">
        <v>1010</v>
      </c>
      <c r="BE82" s="2919"/>
      <c r="BF82" s="2869">
        <f>AB82+AD82</f>
        <v>578268</v>
      </c>
      <c r="BG82" s="2919"/>
      <c r="BH82" s="2919">
        <v>1</v>
      </c>
      <c r="BI82" s="2937">
        <f>SUM(X82:X90)</f>
        <v>17915000</v>
      </c>
      <c r="BJ82" s="2937">
        <f>SUM(Y82:Y90)</f>
        <v>7166000</v>
      </c>
      <c r="BK82" s="2938">
        <f>BJ82/BI82</f>
        <v>0.4</v>
      </c>
      <c r="BL82" s="2919" t="s">
        <v>1675</v>
      </c>
      <c r="BM82" s="2919" t="s">
        <v>1792</v>
      </c>
      <c r="BN82" s="2842">
        <v>43102</v>
      </c>
      <c r="BO82" s="2950">
        <v>43488</v>
      </c>
      <c r="BP82" s="2842">
        <v>43465</v>
      </c>
      <c r="BQ82" s="2932">
        <v>43830</v>
      </c>
      <c r="BR82" s="2909" t="s">
        <v>1793</v>
      </c>
    </row>
    <row r="83" spans="1:70" ht="62.25" customHeight="1" x14ac:dyDescent="0.2">
      <c r="A83" s="1906"/>
      <c r="D83" s="1908"/>
      <c r="E83" s="2897"/>
      <c r="F83" s="2897"/>
      <c r="G83" s="2898"/>
      <c r="H83" s="2897"/>
      <c r="I83" s="2897"/>
      <c r="J83" s="2899"/>
      <c r="K83" s="2901"/>
      <c r="L83" s="2901"/>
      <c r="M83" s="2899"/>
      <c r="N83" s="2899"/>
      <c r="O83" s="2899"/>
      <c r="P83" s="2899"/>
      <c r="Q83" s="2901"/>
      <c r="R83" s="2930"/>
      <c r="S83" s="2921"/>
      <c r="T83" s="2923"/>
      <c r="U83" s="2925"/>
      <c r="V83" s="2928"/>
      <c r="W83" s="2033">
        <f>0+4500000</f>
        <v>4500000</v>
      </c>
      <c r="X83" s="2035"/>
      <c r="Y83" s="2035"/>
      <c r="Z83" s="1944">
        <v>88</v>
      </c>
      <c r="AA83" s="1916" t="s">
        <v>1760</v>
      </c>
      <c r="AB83" s="2869"/>
      <c r="AC83" s="2899"/>
      <c r="AD83" s="2868"/>
      <c r="AE83" s="2899"/>
      <c r="AF83" s="2869"/>
      <c r="AG83" s="2899"/>
      <c r="AH83" s="2941"/>
      <c r="AI83" s="2899"/>
      <c r="AJ83" s="2941"/>
      <c r="AK83" s="2899"/>
      <c r="AL83" s="2941"/>
      <c r="AM83" s="2899"/>
      <c r="AN83" s="2941"/>
      <c r="AO83" s="2899"/>
      <c r="AP83" s="2941"/>
      <c r="AQ83" s="2899"/>
      <c r="AR83" s="2869"/>
      <c r="AS83" s="2899"/>
      <c r="AT83" s="2929"/>
      <c r="AU83" s="2899"/>
      <c r="AV83" s="2869"/>
      <c r="AW83" s="2899"/>
      <c r="AX83" s="2869"/>
      <c r="AY83" s="2899"/>
      <c r="AZ83" s="2869"/>
      <c r="BA83" s="2899"/>
      <c r="BB83" s="2869"/>
      <c r="BC83" s="2899"/>
      <c r="BD83" s="2869"/>
      <c r="BE83" s="2899"/>
      <c r="BF83" s="2869"/>
      <c r="BG83" s="2899"/>
      <c r="BH83" s="2899"/>
      <c r="BI83" s="2899"/>
      <c r="BJ83" s="2899"/>
      <c r="BK83" s="2939"/>
      <c r="BL83" s="2899"/>
      <c r="BM83" s="2899"/>
      <c r="BN83" s="2842"/>
      <c r="BO83" s="2899"/>
      <c r="BP83" s="2842"/>
      <c r="BQ83" s="2933"/>
      <c r="BR83" s="2848"/>
    </row>
    <row r="84" spans="1:70" ht="56.25" customHeight="1" x14ac:dyDescent="0.2">
      <c r="A84" s="1906"/>
      <c r="D84" s="1908"/>
      <c r="E84" s="2897"/>
      <c r="F84" s="2897"/>
      <c r="G84" s="2898"/>
      <c r="H84" s="2897"/>
      <c r="I84" s="2897"/>
      <c r="J84" s="2899"/>
      <c r="K84" s="2901"/>
      <c r="L84" s="2901"/>
      <c r="M84" s="2899"/>
      <c r="N84" s="2899"/>
      <c r="O84" s="2899"/>
      <c r="P84" s="2899"/>
      <c r="Q84" s="2901"/>
      <c r="R84" s="2930"/>
      <c r="S84" s="2921"/>
      <c r="T84" s="2923"/>
      <c r="U84" s="2925"/>
      <c r="V84" s="2935" t="s">
        <v>1794</v>
      </c>
      <c r="W84" s="2033">
        <v>3600000</v>
      </c>
      <c r="X84" s="2035">
        <v>3600000</v>
      </c>
      <c r="Y84" s="2035">
        <v>1440000</v>
      </c>
      <c r="Z84" s="1944" t="s">
        <v>852</v>
      </c>
      <c r="AA84" s="2040" t="s">
        <v>1758</v>
      </c>
      <c r="AB84" s="2869"/>
      <c r="AC84" s="2899"/>
      <c r="AD84" s="2868"/>
      <c r="AE84" s="2899"/>
      <c r="AF84" s="2869"/>
      <c r="AG84" s="2899"/>
      <c r="AH84" s="2941"/>
      <c r="AI84" s="2899"/>
      <c r="AJ84" s="2941"/>
      <c r="AK84" s="2899"/>
      <c r="AL84" s="2941"/>
      <c r="AM84" s="2899"/>
      <c r="AN84" s="2941"/>
      <c r="AO84" s="2899"/>
      <c r="AP84" s="2941"/>
      <c r="AQ84" s="2899"/>
      <c r="AR84" s="2869"/>
      <c r="AS84" s="2899"/>
      <c r="AT84" s="2929"/>
      <c r="AU84" s="2899"/>
      <c r="AV84" s="2869"/>
      <c r="AW84" s="2899"/>
      <c r="AX84" s="2869"/>
      <c r="AY84" s="2899"/>
      <c r="AZ84" s="2869"/>
      <c r="BA84" s="2899"/>
      <c r="BB84" s="2869"/>
      <c r="BC84" s="2899"/>
      <c r="BD84" s="2869"/>
      <c r="BE84" s="2899"/>
      <c r="BF84" s="2869"/>
      <c r="BG84" s="2899"/>
      <c r="BH84" s="2899"/>
      <c r="BI84" s="2899"/>
      <c r="BJ84" s="2899"/>
      <c r="BK84" s="2939"/>
      <c r="BL84" s="2899"/>
      <c r="BM84" s="2899"/>
      <c r="BN84" s="2842"/>
      <c r="BO84" s="2899"/>
      <c r="BP84" s="2842"/>
      <c r="BQ84" s="2933"/>
      <c r="BR84" s="2848"/>
    </row>
    <row r="85" spans="1:70" ht="55.5" customHeight="1" x14ac:dyDescent="0.2">
      <c r="A85" s="1906"/>
      <c r="D85" s="1908"/>
      <c r="E85" s="2897"/>
      <c r="F85" s="2897"/>
      <c r="G85" s="2898"/>
      <c r="H85" s="2897"/>
      <c r="I85" s="2897"/>
      <c r="J85" s="2899"/>
      <c r="K85" s="2901"/>
      <c r="L85" s="2901"/>
      <c r="M85" s="2899"/>
      <c r="N85" s="2899"/>
      <c r="O85" s="2899"/>
      <c r="P85" s="2899"/>
      <c r="Q85" s="2901"/>
      <c r="R85" s="2930"/>
      <c r="S85" s="2921"/>
      <c r="T85" s="2923"/>
      <c r="U85" s="2925"/>
      <c r="V85" s="2936"/>
      <c r="W85" s="2033">
        <f>0+9300000</f>
        <v>9300000</v>
      </c>
      <c r="X85" s="2035"/>
      <c r="Y85" s="2035"/>
      <c r="Z85" s="1944">
        <v>88</v>
      </c>
      <c r="AA85" s="1916" t="s">
        <v>1760</v>
      </c>
      <c r="AB85" s="2869"/>
      <c r="AC85" s="2899"/>
      <c r="AD85" s="2868"/>
      <c r="AE85" s="2899"/>
      <c r="AF85" s="2869"/>
      <c r="AG85" s="2899"/>
      <c r="AH85" s="2941"/>
      <c r="AI85" s="2899"/>
      <c r="AJ85" s="2941"/>
      <c r="AK85" s="2899"/>
      <c r="AL85" s="2941"/>
      <c r="AM85" s="2899"/>
      <c r="AN85" s="2941"/>
      <c r="AO85" s="2899"/>
      <c r="AP85" s="2941"/>
      <c r="AQ85" s="2899"/>
      <c r="AR85" s="2869"/>
      <c r="AS85" s="2899"/>
      <c r="AT85" s="2929"/>
      <c r="AU85" s="2899"/>
      <c r="AV85" s="2869"/>
      <c r="AW85" s="2899"/>
      <c r="AX85" s="2869"/>
      <c r="AY85" s="2899"/>
      <c r="AZ85" s="2869"/>
      <c r="BA85" s="2899"/>
      <c r="BB85" s="2869"/>
      <c r="BC85" s="2899"/>
      <c r="BD85" s="2869"/>
      <c r="BE85" s="2899"/>
      <c r="BF85" s="2869"/>
      <c r="BG85" s="2899"/>
      <c r="BH85" s="2899"/>
      <c r="BI85" s="2899"/>
      <c r="BJ85" s="2899"/>
      <c r="BK85" s="2939"/>
      <c r="BL85" s="2899"/>
      <c r="BM85" s="2899"/>
      <c r="BN85" s="2842"/>
      <c r="BO85" s="2899"/>
      <c r="BP85" s="2842"/>
      <c r="BQ85" s="2933"/>
      <c r="BR85" s="2848"/>
    </row>
    <row r="86" spans="1:70" ht="42.75" customHeight="1" x14ac:dyDescent="0.2">
      <c r="A86" s="1906"/>
      <c r="D86" s="1908"/>
      <c r="E86" s="2897"/>
      <c r="F86" s="2897"/>
      <c r="G86" s="2898"/>
      <c r="H86" s="2897"/>
      <c r="I86" s="2897"/>
      <c r="J86" s="2899"/>
      <c r="K86" s="2901"/>
      <c r="L86" s="2901"/>
      <c r="M86" s="2899"/>
      <c r="N86" s="2899"/>
      <c r="O86" s="2899"/>
      <c r="P86" s="2899"/>
      <c r="Q86" s="2901"/>
      <c r="R86" s="2930"/>
      <c r="S86" s="2921"/>
      <c r="T86" s="2923"/>
      <c r="U86" s="2925"/>
      <c r="V86" s="2927" t="s">
        <v>1795</v>
      </c>
      <c r="W86" s="2033">
        <v>960000</v>
      </c>
      <c r="X86" s="2035">
        <v>960000</v>
      </c>
      <c r="Y86" s="2035"/>
      <c r="Z86" s="1944">
        <v>20</v>
      </c>
      <c r="AA86" s="2040" t="s">
        <v>1758</v>
      </c>
      <c r="AB86" s="2869"/>
      <c r="AC86" s="2899"/>
      <c r="AD86" s="2868"/>
      <c r="AE86" s="2899"/>
      <c r="AF86" s="2869"/>
      <c r="AG86" s="2899"/>
      <c r="AH86" s="2869"/>
      <c r="AI86" s="2899"/>
      <c r="AJ86" s="2869"/>
      <c r="AK86" s="2899"/>
      <c r="AL86" s="2869"/>
      <c r="AM86" s="2899"/>
      <c r="AN86" s="2869"/>
      <c r="AO86" s="2899"/>
      <c r="AP86" s="2869"/>
      <c r="AQ86" s="2899"/>
      <c r="AR86" s="2869"/>
      <c r="AS86" s="2899"/>
      <c r="AT86" s="2929"/>
      <c r="AU86" s="2899"/>
      <c r="AV86" s="2869"/>
      <c r="AW86" s="2899"/>
      <c r="AX86" s="2869"/>
      <c r="AY86" s="2899"/>
      <c r="AZ86" s="2869"/>
      <c r="BA86" s="2899"/>
      <c r="BB86" s="2869"/>
      <c r="BC86" s="2899"/>
      <c r="BD86" s="2869"/>
      <c r="BE86" s="2899"/>
      <c r="BF86" s="2869"/>
      <c r="BG86" s="2899"/>
      <c r="BH86" s="2899"/>
      <c r="BI86" s="2899"/>
      <c r="BJ86" s="2899"/>
      <c r="BK86" s="2939"/>
      <c r="BL86" s="2899"/>
      <c r="BM86" s="2899"/>
      <c r="BN86" s="2842"/>
      <c r="BO86" s="2899"/>
      <c r="BP86" s="2842"/>
      <c r="BQ86" s="2933"/>
      <c r="BR86" s="2848"/>
    </row>
    <row r="87" spans="1:70" ht="52.5" customHeight="1" x14ac:dyDescent="0.2">
      <c r="A87" s="1906"/>
      <c r="D87" s="1908"/>
      <c r="E87" s="2897"/>
      <c r="F87" s="2897"/>
      <c r="G87" s="2898"/>
      <c r="H87" s="2897"/>
      <c r="I87" s="2897"/>
      <c r="J87" s="2899"/>
      <c r="K87" s="2901"/>
      <c r="L87" s="2901"/>
      <c r="M87" s="2899"/>
      <c r="N87" s="2899"/>
      <c r="O87" s="2899"/>
      <c r="P87" s="2899"/>
      <c r="Q87" s="2901"/>
      <c r="R87" s="2930"/>
      <c r="S87" s="2921"/>
      <c r="T87" s="2923"/>
      <c r="U87" s="2925"/>
      <c r="V87" s="2928"/>
      <c r="W87" s="2035">
        <f>0+3888666.63</f>
        <v>3888666.63</v>
      </c>
      <c r="X87" s="2035"/>
      <c r="Y87" s="2035"/>
      <c r="Z87" s="1944">
        <v>88</v>
      </c>
      <c r="AA87" s="1944" t="s">
        <v>1760</v>
      </c>
      <c r="AB87" s="2869"/>
      <c r="AC87" s="2899"/>
      <c r="AD87" s="2868"/>
      <c r="AE87" s="2899"/>
      <c r="AF87" s="2869"/>
      <c r="AG87" s="2899"/>
      <c r="AH87" s="2869"/>
      <c r="AI87" s="2899"/>
      <c r="AJ87" s="2869"/>
      <c r="AK87" s="2899"/>
      <c r="AL87" s="2869"/>
      <c r="AM87" s="2899"/>
      <c r="AN87" s="2869"/>
      <c r="AO87" s="2899"/>
      <c r="AP87" s="2869"/>
      <c r="AQ87" s="2899"/>
      <c r="AR87" s="2869"/>
      <c r="AS87" s="2899"/>
      <c r="AT87" s="2929"/>
      <c r="AU87" s="2899"/>
      <c r="AV87" s="2869"/>
      <c r="AW87" s="2899"/>
      <c r="AX87" s="2869"/>
      <c r="AY87" s="2899"/>
      <c r="AZ87" s="2869"/>
      <c r="BA87" s="2899"/>
      <c r="BB87" s="2869"/>
      <c r="BC87" s="2899"/>
      <c r="BD87" s="2869"/>
      <c r="BE87" s="2899"/>
      <c r="BF87" s="2869"/>
      <c r="BG87" s="2899"/>
      <c r="BH87" s="2899"/>
      <c r="BI87" s="2899"/>
      <c r="BJ87" s="2899"/>
      <c r="BK87" s="2939"/>
      <c r="BL87" s="2899"/>
      <c r="BM87" s="2899"/>
      <c r="BN87" s="2842"/>
      <c r="BO87" s="2899"/>
      <c r="BP87" s="2842"/>
      <c r="BQ87" s="2933"/>
      <c r="BR87" s="2848"/>
    </row>
    <row r="88" spans="1:70" ht="90.75" customHeight="1" x14ac:dyDescent="0.2">
      <c r="A88" s="1906"/>
      <c r="D88" s="1908"/>
      <c r="E88" s="2897"/>
      <c r="F88" s="2897"/>
      <c r="G88" s="2898"/>
      <c r="H88" s="2897"/>
      <c r="I88" s="2897"/>
      <c r="J88" s="2899"/>
      <c r="K88" s="2901"/>
      <c r="L88" s="2901"/>
      <c r="M88" s="2899"/>
      <c r="N88" s="2899"/>
      <c r="O88" s="2899"/>
      <c r="P88" s="2899"/>
      <c r="Q88" s="2901"/>
      <c r="R88" s="2930"/>
      <c r="S88" s="2921"/>
      <c r="T88" s="2923"/>
      <c r="U88" s="2925"/>
      <c r="V88" s="2041" t="s">
        <v>1796</v>
      </c>
      <c r="W88" s="2010">
        <v>19440000</v>
      </c>
      <c r="X88" s="2010">
        <v>7355000</v>
      </c>
      <c r="Y88" s="2010">
        <v>2942000</v>
      </c>
      <c r="Z88" s="2011" t="s">
        <v>852</v>
      </c>
      <c r="AA88" s="2011" t="s">
        <v>1758</v>
      </c>
      <c r="AB88" s="2929"/>
      <c r="AC88" s="2899"/>
      <c r="AD88" s="2868"/>
      <c r="AE88" s="2899"/>
      <c r="AF88" s="2869"/>
      <c r="AG88" s="2899"/>
      <c r="AH88" s="2869"/>
      <c r="AI88" s="2899"/>
      <c r="AJ88" s="2869"/>
      <c r="AK88" s="2899"/>
      <c r="AL88" s="2869"/>
      <c r="AM88" s="2899"/>
      <c r="AN88" s="2869"/>
      <c r="AO88" s="2899"/>
      <c r="AP88" s="2869"/>
      <c r="AQ88" s="2899"/>
      <c r="AR88" s="2869"/>
      <c r="AS88" s="2899"/>
      <c r="AT88" s="2929"/>
      <c r="AU88" s="2899"/>
      <c r="AV88" s="2869"/>
      <c r="AW88" s="2899"/>
      <c r="AX88" s="2869"/>
      <c r="AY88" s="2899"/>
      <c r="AZ88" s="2869"/>
      <c r="BA88" s="2899"/>
      <c r="BB88" s="2869"/>
      <c r="BC88" s="2899"/>
      <c r="BD88" s="2869"/>
      <c r="BE88" s="2899"/>
      <c r="BF88" s="2869"/>
      <c r="BG88" s="2899"/>
      <c r="BH88" s="2899"/>
      <c r="BI88" s="2899"/>
      <c r="BJ88" s="2899"/>
      <c r="BK88" s="2939"/>
      <c r="BL88" s="2899"/>
      <c r="BM88" s="2899"/>
      <c r="BN88" s="2842"/>
      <c r="BO88" s="2899"/>
      <c r="BP88" s="2842"/>
      <c r="BQ88" s="2933"/>
      <c r="BR88" s="2848"/>
    </row>
    <row r="89" spans="1:70" ht="79.5" customHeight="1" x14ac:dyDescent="0.2">
      <c r="A89" s="1906"/>
      <c r="D89" s="1908"/>
      <c r="E89" s="2897"/>
      <c r="F89" s="2897"/>
      <c r="G89" s="2898"/>
      <c r="H89" s="2897"/>
      <c r="I89" s="2897"/>
      <c r="J89" s="2899"/>
      <c r="K89" s="2901"/>
      <c r="L89" s="2901"/>
      <c r="M89" s="2899"/>
      <c r="N89" s="2899"/>
      <c r="O89" s="2899"/>
      <c r="P89" s="2899"/>
      <c r="Q89" s="2901"/>
      <c r="R89" s="2930"/>
      <c r="S89" s="2921"/>
      <c r="T89" s="2923"/>
      <c r="U89" s="2926"/>
      <c r="V89" s="2042" t="s">
        <v>1797</v>
      </c>
      <c r="W89" s="2043">
        <f>0+7296333.33</f>
        <v>7296333.3300000001</v>
      </c>
      <c r="X89" s="2043"/>
      <c r="Y89" s="2043"/>
      <c r="Z89" s="2011">
        <v>88</v>
      </c>
      <c r="AA89" s="1944" t="s">
        <v>1760</v>
      </c>
      <c r="AB89" s="2929"/>
      <c r="AC89" s="2899"/>
      <c r="AD89" s="2868"/>
      <c r="AE89" s="2899"/>
      <c r="AF89" s="2869"/>
      <c r="AG89" s="2899"/>
      <c r="AH89" s="2869"/>
      <c r="AI89" s="2899"/>
      <c r="AJ89" s="2869"/>
      <c r="AK89" s="2899"/>
      <c r="AL89" s="2869"/>
      <c r="AM89" s="2899"/>
      <c r="AN89" s="2869"/>
      <c r="AO89" s="2899"/>
      <c r="AP89" s="2869"/>
      <c r="AQ89" s="2899"/>
      <c r="AR89" s="2869"/>
      <c r="AS89" s="2899"/>
      <c r="AT89" s="2929"/>
      <c r="AU89" s="2899"/>
      <c r="AV89" s="2869"/>
      <c r="AW89" s="2899"/>
      <c r="AX89" s="2869"/>
      <c r="AY89" s="2899"/>
      <c r="AZ89" s="2869"/>
      <c r="BA89" s="2899"/>
      <c r="BB89" s="2869"/>
      <c r="BC89" s="2899"/>
      <c r="BD89" s="2869"/>
      <c r="BE89" s="2899"/>
      <c r="BF89" s="2869"/>
      <c r="BG89" s="2899"/>
      <c r="BH89" s="2899"/>
      <c r="BI89" s="2899"/>
      <c r="BJ89" s="2899"/>
      <c r="BK89" s="2939"/>
      <c r="BL89" s="2899"/>
      <c r="BM89" s="2899"/>
      <c r="BN89" s="2842"/>
      <c r="BO89" s="2899"/>
      <c r="BP89" s="2842"/>
      <c r="BQ89" s="2933"/>
      <c r="BR89" s="2848"/>
    </row>
    <row r="90" spans="1:70" ht="191.25" customHeight="1" x14ac:dyDescent="0.2">
      <c r="A90" s="1906"/>
      <c r="D90" s="1908"/>
      <c r="E90" s="2897"/>
      <c r="F90" s="2897"/>
      <c r="G90" s="2898"/>
      <c r="H90" s="2897"/>
      <c r="I90" s="2897"/>
      <c r="J90" s="2900"/>
      <c r="K90" s="2902"/>
      <c r="L90" s="2902"/>
      <c r="M90" s="2900"/>
      <c r="N90" s="2900"/>
      <c r="O90" s="2900"/>
      <c r="P90" s="2900"/>
      <c r="Q90" s="2902"/>
      <c r="R90" s="2931"/>
      <c r="S90" s="2922"/>
      <c r="T90" s="2923"/>
      <c r="U90" s="1910" t="s">
        <v>1798</v>
      </c>
      <c r="V90" s="2044" t="s">
        <v>1799</v>
      </c>
      <c r="W90" s="2045">
        <f>0+5015000.04</f>
        <v>5015000.04</v>
      </c>
      <c r="X90" s="2045"/>
      <c r="Y90" s="2045"/>
      <c r="Z90" s="2046">
        <v>88</v>
      </c>
      <c r="AA90" s="1944" t="s">
        <v>1760</v>
      </c>
      <c r="AB90" s="2929"/>
      <c r="AC90" s="2920"/>
      <c r="AD90" s="2868"/>
      <c r="AE90" s="2920"/>
      <c r="AF90" s="2869"/>
      <c r="AG90" s="2920"/>
      <c r="AH90" s="2869"/>
      <c r="AI90" s="2920"/>
      <c r="AJ90" s="2869"/>
      <c r="AK90" s="2920"/>
      <c r="AL90" s="2869"/>
      <c r="AM90" s="2920"/>
      <c r="AN90" s="2869"/>
      <c r="AO90" s="2920"/>
      <c r="AP90" s="2869"/>
      <c r="AQ90" s="2920"/>
      <c r="AR90" s="2869"/>
      <c r="AS90" s="2920"/>
      <c r="AT90" s="2929"/>
      <c r="AU90" s="2920"/>
      <c r="AV90" s="2869"/>
      <c r="AW90" s="2920"/>
      <c r="AX90" s="2869"/>
      <c r="AY90" s="2920"/>
      <c r="AZ90" s="2869"/>
      <c r="BA90" s="2920"/>
      <c r="BB90" s="2869"/>
      <c r="BC90" s="2920"/>
      <c r="BD90" s="2869"/>
      <c r="BE90" s="2920"/>
      <c r="BF90" s="2869"/>
      <c r="BG90" s="2920"/>
      <c r="BH90" s="2920"/>
      <c r="BI90" s="2920"/>
      <c r="BJ90" s="2920"/>
      <c r="BK90" s="2940"/>
      <c r="BL90" s="2920"/>
      <c r="BM90" s="2920"/>
      <c r="BN90" s="2842"/>
      <c r="BO90" s="2920"/>
      <c r="BP90" s="2842"/>
      <c r="BQ90" s="2934"/>
      <c r="BR90" s="2848"/>
    </row>
    <row r="91" spans="1:70" ht="43.5" customHeight="1" x14ac:dyDescent="0.2">
      <c r="A91" s="1906"/>
      <c r="D91" s="1908"/>
      <c r="E91" s="1907"/>
      <c r="F91" s="1907"/>
      <c r="G91" s="1908"/>
      <c r="H91" s="1907"/>
      <c r="I91" s="1907"/>
      <c r="J91" s="2942">
        <v>264</v>
      </c>
      <c r="K91" s="2944" t="s">
        <v>1800</v>
      </c>
      <c r="L91" s="2944" t="s">
        <v>1801</v>
      </c>
      <c r="M91" s="2942">
        <v>1</v>
      </c>
      <c r="N91" s="2943"/>
      <c r="O91" s="2948" t="s">
        <v>1802</v>
      </c>
      <c r="P91" s="2942" t="s">
        <v>1803</v>
      </c>
      <c r="Q91" s="2944" t="s">
        <v>1804</v>
      </c>
      <c r="R91" s="2955">
        <v>1</v>
      </c>
      <c r="S91" s="2957">
        <f>SUM(W91:W96)</f>
        <v>100000000</v>
      </c>
      <c r="T91" s="2923" t="s">
        <v>1805</v>
      </c>
      <c r="U91" s="2825" t="s">
        <v>1806</v>
      </c>
      <c r="V91" s="2951" t="s">
        <v>1807</v>
      </c>
      <c r="W91" s="2047">
        <v>10000000</v>
      </c>
      <c r="X91" s="2047"/>
      <c r="Y91" s="2047"/>
      <c r="Z91" s="2011">
        <v>20</v>
      </c>
      <c r="AA91" s="2048" t="s">
        <v>1758</v>
      </c>
      <c r="AB91" s="2953">
        <v>294321</v>
      </c>
      <c r="AC91" s="2912"/>
      <c r="AD91" s="2954">
        <v>283947</v>
      </c>
      <c r="AE91" s="2912"/>
      <c r="AF91" s="2941">
        <v>135754</v>
      </c>
      <c r="AG91" s="2912"/>
      <c r="AH91" s="2941">
        <v>44640</v>
      </c>
      <c r="AI91" s="2912"/>
      <c r="AJ91" s="2941">
        <v>308178</v>
      </c>
      <c r="AK91" s="2912"/>
      <c r="AL91" s="2941">
        <v>89696</v>
      </c>
      <c r="AM91" s="2912"/>
      <c r="AN91" s="2941">
        <v>2145</v>
      </c>
      <c r="AO91" s="2912"/>
      <c r="AP91" s="2941">
        <v>12718</v>
      </c>
      <c r="AQ91" s="2912"/>
      <c r="AR91" s="2941">
        <v>26</v>
      </c>
      <c r="AS91" s="2912"/>
      <c r="AT91" s="2941">
        <v>37</v>
      </c>
      <c r="AU91" s="2912"/>
      <c r="AV91" s="2941"/>
      <c r="AW91" s="2912"/>
      <c r="AX91" s="2941"/>
      <c r="AY91" s="2912"/>
      <c r="AZ91" s="2941">
        <v>54612</v>
      </c>
      <c r="BA91" s="2912"/>
      <c r="BB91" s="2941">
        <v>16982</v>
      </c>
      <c r="BC91" s="2912"/>
      <c r="BD91" s="2941">
        <v>1010</v>
      </c>
      <c r="BE91" s="2912"/>
      <c r="BF91" s="2941">
        <f>+AB91+AD91</f>
        <v>578268</v>
      </c>
      <c r="BG91" s="2912"/>
      <c r="BH91" s="2912"/>
      <c r="BI91" s="2912">
        <f>SUM(X91:X96)</f>
        <v>0</v>
      </c>
      <c r="BJ91" s="2912">
        <f>SUM(Y91:Y96)</f>
        <v>0</v>
      </c>
      <c r="BK91" s="2863">
        <v>0</v>
      </c>
      <c r="BL91" s="2912"/>
      <c r="BM91" s="2912"/>
      <c r="BN91" s="2905">
        <v>43102</v>
      </c>
      <c r="BO91" s="2912"/>
      <c r="BP91" s="2905">
        <v>43465</v>
      </c>
      <c r="BQ91" s="2912"/>
      <c r="BR91" s="2848" t="s">
        <v>1677</v>
      </c>
    </row>
    <row r="92" spans="1:70" ht="36.75" customHeight="1" x14ac:dyDescent="0.2">
      <c r="A92" s="1906"/>
      <c r="D92" s="1908"/>
      <c r="E92" s="1907"/>
      <c r="F92" s="1907"/>
      <c r="G92" s="1908"/>
      <c r="H92" s="1907"/>
      <c r="I92" s="1907"/>
      <c r="J92" s="2942"/>
      <c r="K92" s="2944"/>
      <c r="L92" s="2944"/>
      <c r="M92" s="2942"/>
      <c r="N92" s="2946"/>
      <c r="O92" s="2948"/>
      <c r="P92" s="2942"/>
      <c r="Q92" s="2944"/>
      <c r="R92" s="2955"/>
      <c r="S92" s="2957"/>
      <c r="T92" s="2923"/>
      <c r="U92" s="2825"/>
      <c r="V92" s="2952"/>
      <c r="W92" s="2047">
        <f>0+15000000</f>
        <v>15000000</v>
      </c>
      <c r="X92" s="2047"/>
      <c r="Y92" s="2047"/>
      <c r="Z92" s="2011">
        <v>88</v>
      </c>
      <c r="AA92" s="2048" t="s">
        <v>369</v>
      </c>
      <c r="AB92" s="2953"/>
      <c r="AC92" s="2913"/>
      <c r="AD92" s="2954"/>
      <c r="AE92" s="2913"/>
      <c r="AF92" s="2941"/>
      <c r="AG92" s="2913"/>
      <c r="AH92" s="2941"/>
      <c r="AI92" s="2913"/>
      <c r="AJ92" s="2941"/>
      <c r="AK92" s="2913"/>
      <c r="AL92" s="2941"/>
      <c r="AM92" s="2913"/>
      <c r="AN92" s="2941"/>
      <c r="AO92" s="2913"/>
      <c r="AP92" s="2941"/>
      <c r="AQ92" s="2913"/>
      <c r="AR92" s="2941"/>
      <c r="AS92" s="2913"/>
      <c r="AT92" s="2869"/>
      <c r="AU92" s="2913"/>
      <c r="AV92" s="2869"/>
      <c r="AW92" s="2913"/>
      <c r="AX92" s="2869"/>
      <c r="AY92" s="2913"/>
      <c r="AZ92" s="2869"/>
      <c r="BA92" s="2913"/>
      <c r="BB92" s="2869"/>
      <c r="BC92" s="2913"/>
      <c r="BD92" s="2869"/>
      <c r="BE92" s="2913"/>
      <c r="BF92" s="2869"/>
      <c r="BG92" s="2913"/>
      <c r="BH92" s="2913"/>
      <c r="BI92" s="2913"/>
      <c r="BJ92" s="2913"/>
      <c r="BK92" s="2864"/>
      <c r="BL92" s="2913"/>
      <c r="BM92" s="2913"/>
      <c r="BN92" s="2842"/>
      <c r="BO92" s="2913"/>
      <c r="BP92" s="2842"/>
      <c r="BQ92" s="2913"/>
      <c r="BR92" s="2848"/>
    </row>
    <row r="93" spans="1:70" ht="37.5" customHeight="1" x14ac:dyDescent="0.2">
      <c r="A93" s="1906"/>
      <c r="D93" s="1908"/>
      <c r="E93" s="1907"/>
      <c r="F93" s="1907"/>
      <c r="G93" s="1908"/>
      <c r="H93" s="1907"/>
      <c r="I93" s="1907"/>
      <c r="J93" s="2942"/>
      <c r="K93" s="2944"/>
      <c r="L93" s="2944"/>
      <c r="M93" s="2942"/>
      <c r="N93" s="2946"/>
      <c r="O93" s="2948"/>
      <c r="P93" s="2942"/>
      <c r="Q93" s="2944"/>
      <c r="R93" s="2955"/>
      <c r="S93" s="2957"/>
      <c r="T93" s="2923"/>
      <c r="U93" s="2825"/>
      <c r="V93" s="2959" t="s">
        <v>1808</v>
      </c>
      <c r="W93" s="2047">
        <v>10000000</v>
      </c>
      <c r="X93" s="2047"/>
      <c r="Y93" s="2047"/>
      <c r="Z93" s="2011">
        <v>20</v>
      </c>
      <c r="AA93" s="2048" t="s">
        <v>1758</v>
      </c>
      <c r="AB93" s="2929"/>
      <c r="AC93" s="2913"/>
      <c r="AD93" s="2868"/>
      <c r="AE93" s="2913"/>
      <c r="AF93" s="2869"/>
      <c r="AG93" s="2913"/>
      <c r="AH93" s="2869"/>
      <c r="AI93" s="2913"/>
      <c r="AJ93" s="2869"/>
      <c r="AK93" s="2913"/>
      <c r="AL93" s="2869"/>
      <c r="AM93" s="2913"/>
      <c r="AN93" s="2869"/>
      <c r="AO93" s="2913"/>
      <c r="AP93" s="2869"/>
      <c r="AQ93" s="2913"/>
      <c r="AR93" s="2869"/>
      <c r="AS93" s="2913"/>
      <c r="AT93" s="2869"/>
      <c r="AU93" s="2913"/>
      <c r="AV93" s="2869"/>
      <c r="AW93" s="2913"/>
      <c r="AX93" s="2869"/>
      <c r="AY93" s="2913"/>
      <c r="AZ93" s="2869"/>
      <c r="BA93" s="2913"/>
      <c r="BB93" s="2869"/>
      <c r="BC93" s="2913"/>
      <c r="BD93" s="2869"/>
      <c r="BE93" s="2913"/>
      <c r="BF93" s="2869"/>
      <c r="BG93" s="2913"/>
      <c r="BH93" s="2913"/>
      <c r="BI93" s="2913"/>
      <c r="BJ93" s="2913"/>
      <c r="BK93" s="2864"/>
      <c r="BL93" s="2913"/>
      <c r="BM93" s="2913"/>
      <c r="BN93" s="2842"/>
      <c r="BO93" s="2913"/>
      <c r="BP93" s="2842"/>
      <c r="BQ93" s="2913"/>
      <c r="BR93" s="2848"/>
    </row>
    <row r="94" spans="1:70" ht="37.5" customHeight="1" x14ac:dyDescent="0.2">
      <c r="A94" s="1906"/>
      <c r="D94" s="1908"/>
      <c r="E94" s="1907"/>
      <c r="F94" s="1907"/>
      <c r="G94" s="1908"/>
      <c r="H94" s="1907"/>
      <c r="I94" s="1907"/>
      <c r="J94" s="2942"/>
      <c r="K94" s="2944"/>
      <c r="L94" s="2944"/>
      <c r="M94" s="2942"/>
      <c r="N94" s="2946"/>
      <c r="O94" s="2948"/>
      <c r="P94" s="2942"/>
      <c r="Q94" s="2944"/>
      <c r="R94" s="2955"/>
      <c r="S94" s="2957"/>
      <c r="T94" s="2923"/>
      <c r="U94" s="2825"/>
      <c r="V94" s="2960"/>
      <c r="W94" s="2047">
        <f>0+15000000</f>
        <v>15000000</v>
      </c>
      <c r="X94" s="2047"/>
      <c r="Y94" s="2047"/>
      <c r="Z94" s="2011">
        <v>88</v>
      </c>
      <c r="AA94" s="2048" t="s">
        <v>369</v>
      </c>
      <c r="AB94" s="2929"/>
      <c r="AC94" s="2913"/>
      <c r="AD94" s="2868"/>
      <c r="AE94" s="2913"/>
      <c r="AF94" s="2869"/>
      <c r="AG94" s="2913"/>
      <c r="AH94" s="2869"/>
      <c r="AI94" s="2913"/>
      <c r="AJ94" s="2869"/>
      <c r="AK94" s="2913"/>
      <c r="AL94" s="2869"/>
      <c r="AM94" s="2913"/>
      <c r="AN94" s="2869"/>
      <c r="AO94" s="2913"/>
      <c r="AP94" s="2869"/>
      <c r="AQ94" s="2913"/>
      <c r="AR94" s="2869"/>
      <c r="AS94" s="2913"/>
      <c r="AT94" s="2869"/>
      <c r="AU94" s="2913"/>
      <c r="AV94" s="2869"/>
      <c r="AW94" s="2913"/>
      <c r="AX94" s="2869"/>
      <c r="AY94" s="2913"/>
      <c r="AZ94" s="2869"/>
      <c r="BA94" s="2913"/>
      <c r="BB94" s="2869"/>
      <c r="BC94" s="2913"/>
      <c r="BD94" s="2869"/>
      <c r="BE94" s="2913"/>
      <c r="BF94" s="2869"/>
      <c r="BG94" s="2913"/>
      <c r="BH94" s="2913"/>
      <c r="BI94" s="2913"/>
      <c r="BJ94" s="2913"/>
      <c r="BK94" s="2864"/>
      <c r="BL94" s="2913"/>
      <c r="BM94" s="2913"/>
      <c r="BN94" s="2842"/>
      <c r="BO94" s="2913"/>
      <c r="BP94" s="2842"/>
      <c r="BQ94" s="2913"/>
      <c r="BR94" s="2848"/>
    </row>
    <row r="95" spans="1:70" ht="45.75" customHeight="1" x14ac:dyDescent="0.2">
      <c r="A95" s="1906"/>
      <c r="D95" s="1908"/>
      <c r="E95" s="1907"/>
      <c r="F95" s="1907"/>
      <c r="G95" s="1908"/>
      <c r="H95" s="1907"/>
      <c r="I95" s="1907"/>
      <c r="J95" s="2942"/>
      <c r="K95" s="2944"/>
      <c r="L95" s="2944"/>
      <c r="M95" s="2942"/>
      <c r="N95" s="2946"/>
      <c r="O95" s="2948"/>
      <c r="P95" s="2942"/>
      <c r="Q95" s="2944"/>
      <c r="R95" s="2955"/>
      <c r="S95" s="2957"/>
      <c r="T95" s="2923"/>
      <c r="U95" s="2825"/>
      <c r="V95" s="2961" t="s">
        <v>1809</v>
      </c>
      <c r="W95" s="2047">
        <v>30000000</v>
      </c>
      <c r="X95" s="2047"/>
      <c r="Y95" s="2047"/>
      <c r="Z95" s="2011">
        <v>20</v>
      </c>
      <c r="AA95" s="2048" t="s">
        <v>1758</v>
      </c>
      <c r="AB95" s="2929"/>
      <c r="AC95" s="2913"/>
      <c r="AD95" s="2868"/>
      <c r="AE95" s="2913"/>
      <c r="AF95" s="2869"/>
      <c r="AG95" s="2913"/>
      <c r="AH95" s="2869"/>
      <c r="AI95" s="2913"/>
      <c r="AJ95" s="2869"/>
      <c r="AK95" s="2913"/>
      <c r="AL95" s="2869"/>
      <c r="AM95" s="2913"/>
      <c r="AN95" s="2869"/>
      <c r="AO95" s="2913"/>
      <c r="AP95" s="2869"/>
      <c r="AQ95" s="2913"/>
      <c r="AR95" s="2869"/>
      <c r="AS95" s="2913"/>
      <c r="AT95" s="2869"/>
      <c r="AU95" s="2913"/>
      <c r="AV95" s="2869"/>
      <c r="AW95" s="2913"/>
      <c r="AX95" s="2869"/>
      <c r="AY95" s="2913"/>
      <c r="AZ95" s="2869"/>
      <c r="BA95" s="2913"/>
      <c r="BB95" s="2869"/>
      <c r="BC95" s="2913"/>
      <c r="BD95" s="2869"/>
      <c r="BE95" s="2913"/>
      <c r="BF95" s="2869"/>
      <c r="BG95" s="2913"/>
      <c r="BH95" s="2913"/>
      <c r="BI95" s="2913"/>
      <c r="BJ95" s="2913"/>
      <c r="BK95" s="2864"/>
      <c r="BL95" s="2913"/>
      <c r="BM95" s="2913"/>
      <c r="BN95" s="2842"/>
      <c r="BO95" s="2913"/>
      <c r="BP95" s="2842"/>
      <c r="BQ95" s="2913"/>
      <c r="BR95" s="2848"/>
    </row>
    <row r="96" spans="1:70" ht="44.25" customHeight="1" x14ac:dyDescent="0.2">
      <c r="A96" s="1906"/>
      <c r="D96" s="1908"/>
      <c r="E96" s="1907"/>
      <c r="F96" s="1907"/>
      <c r="G96" s="1908"/>
      <c r="H96" s="1907"/>
      <c r="I96" s="1907"/>
      <c r="J96" s="2943"/>
      <c r="K96" s="2945"/>
      <c r="L96" s="2945"/>
      <c r="M96" s="2943"/>
      <c r="N96" s="2947"/>
      <c r="O96" s="2949"/>
      <c r="P96" s="2943"/>
      <c r="Q96" s="2945"/>
      <c r="R96" s="2956"/>
      <c r="S96" s="2958"/>
      <c r="T96" s="2923"/>
      <c r="U96" s="2825"/>
      <c r="V96" s="2952"/>
      <c r="W96" s="2019">
        <f>0+20000000</f>
        <v>20000000</v>
      </c>
      <c r="X96" s="2019"/>
      <c r="Y96" s="2019"/>
      <c r="Z96" s="2011">
        <v>88</v>
      </c>
      <c r="AA96" s="2048" t="s">
        <v>369</v>
      </c>
      <c r="AB96" s="2929"/>
      <c r="AC96" s="2941"/>
      <c r="AD96" s="2868"/>
      <c r="AE96" s="2941"/>
      <c r="AF96" s="2869"/>
      <c r="AG96" s="2941"/>
      <c r="AH96" s="2869"/>
      <c r="AI96" s="2941"/>
      <c r="AJ96" s="2869"/>
      <c r="AK96" s="2941"/>
      <c r="AL96" s="2869"/>
      <c r="AM96" s="2941"/>
      <c r="AN96" s="2869"/>
      <c r="AO96" s="2941"/>
      <c r="AP96" s="2869"/>
      <c r="AQ96" s="2941"/>
      <c r="AR96" s="2869"/>
      <c r="AS96" s="2941"/>
      <c r="AT96" s="2869"/>
      <c r="AU96" s="2941"/>
      <c r="AV96" s="2869"/>
      <c r="AW96" s="2941"/>
      <c r="AX96" s="2869"/>
      <c r="AY96" s="2941"/>
      <c r="AZ96" s="2869"/>
      <c r="BA96" s="2941"/>
      <c r="BB96" s="2869"/>
      <c r="BC96" s="2941"/>
      <c r="BD96" s="2869"/>
      <c r="BE96" s="2941"/>
      <c r="BF96" s="2869"/>
      <c r="BG96" s="2941"/>
      <c r="BH96" s="2941"/>
      <c r="BI96" s="2941"/>
      <c r="BJ96" s="2941"/>
      <c r="BK96" s="2865"/>
      <c r="BL96" s="2941"/>
      <c r="BM96" s="2941"/>
      <c r="BN96" s="2842"/>
      <c r="BO96" s="2941"/>
      <c r="BP96" s="2842"/>
      <c r="BQ96" s="2941"/>
      <c r="BR96" s="2848"/>
    </row>
    <row r="97" spans="1:70" ht="69" customHeight="1" x14ac:dyDescent="0.2">
      <c r="A97" s="2962"/>
      <c r="B97" s="2963"/>
      <c r="C97" s="2963"/>
      <c r="D97" s="2964"/>
      <c r="E97" s="2963"/>
      <c r="F97" s="2963"/>
      <c r="G97" s="2964"/>
      <c r="H97" s="2965"/>
      <c r="I97" s="2965"/>
      <c r="J97" s="2993">
        <v>265</v>
      </c>
      <c r="K97" s="2901" t="s">
        <v>1810</v>
      </c>
      <c r="L97" s="2901" t="s">
        <v>1811</v>
      </c>
      <c r="M97" s="2994">
        <v>1</v>
      </c>
      <c r="N97" s="2966">
        <v>0.15</v>
      </c>
      <c r="O97" s="2899" t="s">
        <v>1812</v>
      </c>
      <c r="P97" s="2899" t="s">
        <v>1813</v>
      </c>
      <c r="Q97" s="2971" t="s">
        <v>1814</v>
      </c>
      <c r="R97" s="2972">
        <v>1</v>
      </c>
      <c r="S97" s="2973">
        <f>SUM(W97:W115)</f>
        <v>475000000</v>
      </c>
      <c r="T97" s="2923" t="s">
        <v>1815</v>
      </c>
      <c r="U97" s="2825" t="s">
        <v>1816</v>
      </c>
      <c r="V97" s="1912" t="s">
        <v>1817</v>
      </c>
      <c r="W97" s="2026">
        <v>18000000</v>
      </c>
      <c r="X97" s="2027"/>
      <c r="Y97" s="2027"/>
      <c r="Z97" s="2028" t="s">
        <v>852</v>
      </c>
      <c r="AA97" s="2040" t="s">
        <v>371</v>
      </c>
      <c r="AB97" s="2966">
        <v>294321</v>
      </c>
      <c r="AC97" s="2966"/>
      <c r="AD97" s="2874">
        <v>283947</v>
      </c>
      <c r="AE97" s="2966"/>
      <c r="AF97" s="2966">
        <v>135754</v>
      </c>
      <c r="AG97" s="2966"/>
      <c r="AH97" s="2966">
        <v>44640</v>
      </c>
      <c r="AI97" s="2966"/>
      <c r="AJ97" s="2966">
        <v>308178</v>
      </c>
      <c r="AK97" s="2966"/>
      <c r="AL97" s="2966">
        <v>89696</v>
      </c>
      <c r="AM97" s="2966"/>
      <c r="AN97" s="2966">
        <v>2145</v>
      </c>
      <c r="AO97" s="2966"/>
      <c r="AP97" s="2966">
        <v>12718</v>
      </c>
      <c r="AQ97" s="2966"/>
      <c r="AR97" s="2966">
        <v>26</v>
      </c>
      <c r="AS97" s="2966"/>
      <c r="AT97" s="2966">
        <v>37</v>
      </c>
      <c r="AU97" s="2966"/>
      <c r="AV97" s="2966"/>
      <c r="AW97" s="2966"/>
      <c r="AX97" s="2966"/>
      <c r="AY97" s="2966"/>
      <c r="AZ97" s="2966">
        <v>54612</v>
      </c>
      <c r="BA97" s="2966"/>
      <c r="BB97" s="2966">
        <v>16982</v>
      </c>
      <c r="BC97" s="2966"/>
      <c r="BD97" s="2966">
        <v>1010</v>
      </c>
      <c r="BE97" s="2966"/>
      <c r="BF97" s="2966">
        <f>+AB97+AD97</f>
        <v>578268</v>
      </c>
      <c r="BG97" s="2966"/>
      <c r="BH97" s="2966">
        <v>13</v>
      </c>
      <c r="BI97" s="2990">
        <f>SUM(X97:X115)</f>
        <v>233490567</v>
      </c>
      <c r="BJ97" s="2990">
        <f>SUM(Y97:Y115)</f>
        <v>60974000</v>
      </c>
      <c r="BK97" s="2863">
        <f>BJ97/BI97</f>
        <v>0.26114117064095355</v>
      </c>
      <c r="BL97" s="2986" t="s">
        <v>1675</v>
      </c>
      <c r="BM97" s="2986" t="s">
        <v>1818</v>
      </c>
      <c r="BN97" s="2842">
        <v>43102</v>
      </c>
      <c r="BO97" s="2989">
        <v>43482</v>
      </c>
      <c r="BP97" s="2842">
        <v>43465</v>
      </c>
      <c r="BQ97" s="2989">
        <v>43830</v>
      </c>
      <c r="BR97" s="2848" t="s">
        <v>1793</v>
      </c>
    </row>
    <row r="98" spans="1:70" ht="104.25" customHeight="1" x14ac:dyDescent="0.2">
      <c r="A98" s="2962"/>
      <c r="B98" s="2963"/>
      <c r="C98" s="2963"/>
      <c r="D98" s="2964"/>
      <c r="E98" s="2963"/>
      <c r="F98" s="2963"/>
      <c r="G98" s="2964"/>
      <c r="H98" s="2965"/>
      <c r="I98" s="2965"/>
      <c r="J98" s="2993"/>
      <c r="K98" s="2901"/>
      <c r="L98" s="2901"/>
      <c r="M98" s="2994"/>
      <c r="N98" s="2967"/>
      <c r="O98" s="2899"/>
      <c r="P98" s="2899"/>
      <c r="Q98" s="2971"/>
      <c r="R98" s="2972"/>
      <c r="S98" s="2973"/>
      <c r="T98" s="2923"/>
      <c r="U98" s="2825"/>
      <c r="V98" s="1912" t="s">
        <v>1819</v>
      </c>
      <c r="W98" s="1913">
        <v>55440000</v>
      </c>
      <c r="X98" s="2004">
        <v>31500000</v>
      </c>
      <c r="Y98" s="2004">
        <v>4484000</v>
      </c>
      <c r="Z98" s="1944">
        <v>20</v>
      </c>
      <c r="AA98" s="1916" t="s">
        <v>371</v>
      </c>
      <c r="AB98" s="2967"/>
      <c r="AC98" s="2967"/>
      <c r="AD98" s="2875"/>
      <c r="AE98" s="2967"/>
      <c r="AF98" s="2967"/>
      <c r="AG98" s="2967"/>
      <c r="AH98" s="2967"/>
      <c r="AI98" s="2967"/>
      <c r="AJ98" s="2967"/>
      <c r="AK98" s="2967"/>
      <c r="AL98" s="2967"/>
      <c r="AM98" s="2967"/>
      <c r="AN98" s="2967"/>
      <c r="AO98" s="2967"/>
      <c r="AP98" s="2967"/>
      <c r="AQ98" s="2967"/>
      <c r="AR98" s="2967"/>
      <c r="AS98" s="2967"/>
      <c r="AT98" s="2967"/>
      <c r="AU98" s="2967"/>
      <c r="AV98" s="2967"/>
      <c r="AW98" s="2967"/>
      <c r="AX98" s="2967"/>
      <c r="AY98" s="2967"/>
      <c r="AZ98" s="2967"/>
      <c r="BA98" s="2967"/>
      <c r="BB98" s="2967"/>
      <c r="BC98" s="2967"/>
      <c r="BD98" s="2967"/>
      <c r="BE98" s="2967"/>
      <c r="BF98" s="2967"/>
      <c r="BG98" s="2967"/>
      <c r="BH98" s="2967"/>
      <c r="BI98" s="2967"/>
      <c r="BJ98" s="2967"/>
      <c r="BK98" s="2864"/>
      <c r="BL98" s="2987"/>
      <c r="BM98" s="2967"/>
      <c r="BN98" s="2842"/>
      <c r="BO98" s="2967"/>
      <c r="BP98" s="2842"/>
      <c r="BQ98" s="2967"/>
      <c r="BR98" s="2848"/>
    </row>
    <row r="99" spans="1:70" ht="62.25" customHeight="1" x14ac:dyDescent="0.2">
      <c r="A99" s="2962"/>
      <c r="B99" s="2963"/>
      <c r="C99" s="2963"/>
      <c r="D99" s="2964"/>
      <c r="E99" s="2963"/>
      <c r="F99" s="2963"/>
      <c r="G99" s="2964"/>
      <c r="H99" s="2965"/>
      <c r="I99" s="2965"/>
      <c r="J99" s="2993"/>
      <c r="K99" s="2901"/>
      <c r="L99" s="2901"/>
      <c r="M99" s="2994"/>
      <c r="N99" s="2967"/>
      <c r="O99" s="2899"/>
      <c r="P99" s="2899"/>
      <c r="Q99" s="2971"/>
      <c r="R99" s="2972"/>
      <c r="S99" s="2973"/>
      <c r="T99" s="2923"/>
      <c r="U99" s="2825"/>
      <c r="V99" s="1975" t="s">
        <v>1820</v>
      </c>
      <c r="W99" s="1913">
        <v>92400000</v>
      </c>
      <c r="X99" s="2004">
        <v>11751600</v>
      </c>
      <c r="Y99" s="2004"/>
      <c r="Z99" s="1944">
        <v>20</v>
      </c>
      <c r="AA99" s="1916" t="s">
        <v>371</v>
      </c>
      <c r="AB99" s="2967"/>
      <c r="AC99" s="2967"/>
      <c r="AD99" s="2875"/>
      <c r="AE99" s="2967"/>
      <c r="AF99" s="2967"/>
      <c r="AG99" s="2967"/>
      <c r="AH99" s="2967"/>
      <c r="AI99" s="2967"/>
      <c r="AJ99" s="2967"/>
      <c r="AK99" s="2967"/>
      <c r="AL99" s="2967"/>
      <c r="AM99" s="2967"/>
      <c r="AN99" s="2967"/>
      <c r="AO99" s="2967"/>
      <c r="AP99" s="2967"/>
      <c r="AQ99" s="2967"/>
      <c r="AR99" s="2967"/>
      <c r="AS99" s="2967"/>
      <c r="AT99" s="2967"/>
      <c r="AU99" s="2967"/>
      <c r="AV99" s="2967"/>
      <c r="AW99" s="2967"/>
      <c r="AX99" s="2967"/>
      <c r="AY99" s="2967"/>
      <c r="AZ99" s="2967"/>
      <c r="BA99" s="2967"/>
      <c r="BB99" s="2967"/>
      <c r="BC99" s="2967"/>
      <c r="BD99" s="2967"/>
      <c r="BE99" s="2967"/>
      <c r="BF99" s="2967"/>
      <c r="BG99" s="2967"/>
      <c r="BH99" s="2967"/>
      <c r="BI99" s="2967"/>
      <c r="BJ99" s="2967"/>
      <c r="BK99" s="2864"/>
      <c r="BL99" s="2987"/>
      <c r="BM99" s="2967"/>
      <c r="BN99" s="2842"/>
      <c r="BO99" s="2967"/>
      <c r="BP99" s="2842"/>
      <c r="BQ99" s="2967"/>
      <c r="BR99" s="2848"/>
    </row>
    <row r="100" spans="1:70" ht="48" customHeight="1" x14ac:dyDescent="0.2">
      <c r="A100" s="2962"/>
      <c r="B100" s="2963"/>
      <c r="C100" s="2963"/>
      <c r="D100" s="2964"/>
      <c r="E100" s="2963"/>
      <c r="F100" s="2963"/>
      <c r="G100" s="2964"/>
      <c r="H100" s="2965"/>
      <c r="I100" s="2965"/>
      <c r="J100" s="2993"/>
      <c r="K100" s="2901"/>
      <c r="L100" s="2901"/>
      <c r="M100" s="2994"/>
      <c r="N100" s="2967"/>
      <c r="O100" s="2899"/>
      <c r="P100" s="2899"/>
      <c r="Q100" s="2971"/>
      <c r="R100" s="2972"/>
      <c r="S100" s="2973"/>
      <c r="T100" s="2923"/>
      <c r="U100" s="2825"/>
      <c r="V100" s="2978" t="s">
        <v>1821</v>
      </c>
      <c r="W100" s="1913">
        <f>5760000+20170000</f>
        <v>25930000</v>
      </c>
      <c r="X100" s="2004"/>
      <c r="Y100" s="2004"/>
      <c r="Z100" s="1944">
        <v>20</v>
      </c>
      <c r="AA100" s="1916" t="s">
        <v>71</v>
      </c>
      <c r="AB100" s="2967"/>
      <c r="AC100" s="2967"/>
      <c r="AD100" s="2875"/>
      <c r="AE100" s="2967"/>
      <c r="AF100" s="2967"/>
      <c r="AG100" s="2967"/>
      <c r="AH100" s="2967"/>
      <c r="AI100" s="2967"/>
      <c r="AJ100" s="2967"/>
      <c r="AK100" s="2967"/>
      <c r="AL100" s="2967"/>
      <c r="AM100" s="2967"/>
      <c r="AN100" s="2967"/>
      <c r="AO100" s="2967"/>
      <c r="AP100" s="2967"/>
      <c r="AQ100" s="2967"/>
      <c r="AR100" s="2967"/>
      <c r="AS100" s="2967"/>
      <c r="AT100" s="2967"/>
      <c r="AU100" s="2967"/>
      <c r="AV100" s="2967"/>
      <c r="AW100" s="2967"/>
      <c r="AX100" s="2967"/>
      <c r="AY100" s="2967"/>
      <c r="AZ100" s="2967"/>
      <c r="BA100" s="2967"/>
      <c r="BB100" s="2967"/>
      <c r="BC100" s="2967"/>
      <c r="BD100" s="2967"/>
      <c r="BE100" s="2967"/>
      <c r="BF100" s="2967"/>
      <c r="BG100" s="2967"/>
      <c r="BH100" s="2967"/>
      <c r="BI100" s="2967"/>
      <c r="BJ100" s="2967"/>
      <c r="BK100" s="2864"/>
      <c r="BL100" s="2987"/>
      <c r="BM100" s="2967"/>
      <c r="BN100" s="2842"/>
      <c r="BO100" s="2967"/>
      <c r="BP100" s="2842"/>
      <c r="BQ100" s="2967"/>
      <c r="BR100" s="2848"/>
    </row>
    <row r="101" spans="1:70" ht="70.5" customHeight="1" x14ac:dyDescent="0.2">
      <c r="A101" s="2962"/>
      <c r="B101" s="2963"/>
      <c r="C101" s="2963"/>
      <c r="D101" s="2964"/>
      <c r="E101" s="2963"/>
      <c r="F101" s="2963"/>
      <c r="G101" s="2964"/>
      <c r="H101" s="2965"/>
      <c r="I101" s="2965"/>
      <c r="J101" s="2993"/>
      <c r="K101" s="2901"/>
      <c r="L101" s="2901"/>
      <c r="M101" s="2994"/>
      <c r="N101" s="2967"/>
      <c r="O101" s="2899"/>
      <c r="P101" s="2899"/>
      <c r="Q101" s="2971"/>
      <c r="R101" s="2972"/>
      <c r="S101" s="2973"/>
      <c r="T101" s="2923"/>
      <c r="U101" s="2825"/>
      <c r="V101" s="2979"/>
      <c r="W101" s="1913">
        <f>0+20000</f>
        <v>20000</v>
      </c>
      <c r="X101" s="2004"/>
      <c r="Y101" s="2004"/>
      <c r="Z101" s="1944">
        <v>88</v>
      </c>
      <c r="AA101" s="1916" t="s">
        <v>369</v>
      </c>
      <c r="AB101" s="2967"/>
      <c r="AC101" s="2967"/>
      <c r="AD101" s="2875"/>
      <c r="AE101" s="2967"/>
      <c r="AF101" s="2967"/>
      <c r="AG101" s="2967"/>
      <c r="AH101" s="2967"/>
      <c r="AI101" s="2967"/>
      <c r="AJ101" s="2967"/>
      <c r="AK101" s="2967"/>
      <c r="AL101" s="2967"/>
      <c r="AM101" s="2967"/>
      <c r="AN101" s="2967"/>
      <c r="AO101" s="2967"/>
      <c r="AP101" s="2967"/>
      <c r="AQ101" s="2967"/>
      <c r="AR101" s="2967"/>
      <c r="AS101" s="2967"/>
      <c r="AT101" s="2967"/>
      <c r="AU101" s="2967"/>
      <c r="AV101" s="2967"/>
      <c r="AW101" s="2967"/>
      <c r="AX101" s="2967"/>
      <c r="AY101" s="2967"/>
      <c r="AZ101" s="2967"/>
      <c r="BA101" s="2967"/>
      <c r="BB101" s="2967"/>
      <c r="BC101" s="2967"/>
      <c r="BD101" s="2967"/>
      <c r="BE101" s="2967"/>
      <c r="BF101" s="2967"/>
      <c r="BG101" s="2967"/>
      <c r="BH101" s="2967"/>
      <c r="BI101" s="2967"/>
      <c r="BJ101" s="2967"/>
      <c r="BK101" s="2864"/>
      <c r="BL101" s="2987"/>
      <c r="BM101" s="2967"/>
      <c r="BN101" s="2842"/>
      <c r="BO101" s="2967"/>
      <c r="BP101" s="2842"/>
      <c r="BQ101" s="2967"/>
      <c r="BR101" s="2848"/>
    </row>
    <row r="102" spans="1:70" ht="70.5" customHeight="1" x14ac:dyDescent="0.2">
      <c r="A102" s="2962"/>
      <c r="B102" s="2963"/>
      <c r="C102" s="2963"/>
      <c r="D102" s="2964"/>
      <c r="E102" s="2963"/>
      <c r="F102" s="2963"/>
      <c r="G102" s="2964"/>
      <c r="H102" s="2965"/>
      <c r="I102" s="2965"/>
      <c r="J102" s="2993"/>
      <c r="K102" s="2901"/>
      <c r="L102" s="2901"/>
      <c r="M102" s="2994"/>
      <c r="N102" s="2967"/>
      <c r="O102" s="2899"/>
      <c r="P102" s="2899"/>
      <c r="Q102" s="2971"/>
      <c r="R102" s="2972"/>
      <c r="S102" s="2973"/>
      <c r="T102" s="2923"/>
      <c r="U102" s="2825" t="s">
        <v>1822</v>
      </c>
      <c r="V102" s="1912" t="s">
        <v>1823</v>
      </c>
      <c r="W102" s="1913">
        <v>8500000</v>
      </c>
      <c r="X102" s="2004">
        <v>4170000</v>
      </c>
      <c r="Y102" s="2004">
        <v>850000</v>
      </c>
      <c r="Z102" s="1944">
        <v>20</v>
      </c>
      <c r="AA102" s="1974" t="s">
        <v>371</v>
      </c>
      <c r="AB102" s="2967"/>
      <c r="AC102" s="2967"/>
      <c r="AD102" s="2875"/>
      <c r="AE102" s="2967"/>
      <c r="AF102" s="2967"/>
      <c r="AG102" s="2967"/>
      <c r="AH102" s="2967"/>
      <c r="AI102" s="2967"/>
      <c r="AJ102" s="2967"/>
      <c r="AK102" s="2967"/>
      <c r="AL102" s="2967"/>
      <c r="AM102" s="2967"/>
      <c r="AN102" s="2967"/>
      <c r="AO102" s="2967"/>
      <c r="AP102" s="2967"/>
      <c r="AQ102" s="2967"/>
      <c r="AR102" s="2967"/>
      <c r="AS102" s="2967"/>
      <c r="AT102" s="2967"/>
      <c r="AU102" s="2967"/>
      <c r="AV102" s="2967"/>
      <c r="AW102" s="2967"/>
      <c r="AX102" s="2967"/>
      <c r="AY102" s="2967"/>
      <c r="AZ102" s="2967"/>
      <c r="BA102" s="2967"/>
      <c r="BB102" s="2967"/>
      <c r="BC102" s="2967"/>
      <c r="BD102" s="2967"/>
      <c r="BE102" s="2967"/>
      <c r="BF102" s="2967"/>
      <c r="BG102" s="2967"/>
      <c r="BH102" s="2967"/>
      <c r="BI102" s="2967"/>
      <c r="BJ102" s="2967"/>
      <c r="BK102" s="2864"/>
      <c r="BL102" s="2987"/>
      <c r="BM102" s="2967"/>
      <c r="BN102" s="2842"/>
      <c r="BO102" s="2967"/>
      <c r="BP102" s="2842"/>
      <c r="BQ102" s="2967"/>
      <c r="BR102" s="2848"/>
    </row>
    <row r="103" spans="1:70" ht="70.5" customHeight="1" x14ac:dyDescent="0.2">
      <c r="A103" s="2962"/>
      <c r="B103" s="2963"/>
      <c r="C103" s="2963"/>
      <c r="D103" s="2964"/>
      <c r="E103" s="2963"/>
      <c r="F103" s="2963"/>
      <c r="G103" s="2964"/>
      <c r="H103" s="2965"/>
      <c r="I103" s="2965"/>
      <c r="J103" s="2993"/>
      <c r="K103" s="2901"/>
      <c r="L103" s="2901"/>
      <c r="M103" s="2994"/>
      <c r="N103" s="2967"/>
      <c r="O103" s="2899"/>
      <c r="P103" s="2899"/>
      <c r="Q103" s="2971"/>
      <c r="R103" s="2972"/>
      <c r="S103" s="2973"/>
      <c r="T103" s="2923"/>
      <c r="U103" s="2825"/>
      <c r="V103" s="1912" t="s">
        <v>1824</v>
      </c>
      <c r="W103" s="1913">
        <v>6500000</v>
      </c>
      <c r="X103" s="2004">
        <v>3250000</v>
      </c>
      <c r="Y103" s="2004">
        <v>650000</v>
      </c>
      <c r="Z103" s="1944">
        <v>20</v>
      </c>
      <c r="AA103" s="1974" t="s">
        <v>71</v>
      </c>
      <c r="AB103" s="2967"/>
      <c r="AC103" s="2967"/>
      <c r="AD103" s="2875"/>
      <c r="AE103" s="2967"/>
      <c r="AF103" s="2967"/>
      <c r="AG103" s="2967"/>
      <c r="AH103" s="2967"/>
      <c r="AI103" s="2967"/>
      <c r="AJ103" s="2967"/>
      <c r="AK103" s="2967"/>
      <c r="AL103" s="2967"/>
      <c r="AM103" s="2967"/>
      <c r="AN103" s="2967"/>
      <c r="AO103" s="2967"/>
      <c r="AP103" s="2967"/>
      <c r="AQ103" s="2967"/>
      <c r="AR103" s="2967"/>
      <c r="AS103" s="2967"/>
      <c r="AT103" s="2967"/>
      <c r="AU103" s="2967"/>
      <c r="AV103" s="2967"/>
      <c r="AW103" s="2967"/>
      <c r="AX103" s="2967"/>
      <c r="AY103" s="2967"/>
      <c r="AZ103" s="2967"/>
      <c r="BA103" s="2967"/>
      <c r="BB103" s="2967"/>
      <c r="BC103" s="2967"/>
      <c r="BD103" s="2967"/>
      <c r="BE103" s="2967"/>
      <c r="BF103" s="2967"/>
      <c r="BG103" s="2967"/>
      <c r="BH103" s="2967"/>
      <c r="BI103" s="2967"/>
      <c r="BJ103" s="2967"/>
      <c r="BK103" s="2864"/>
      <c r="BL103" s="2987"/>
      <c r="BM103" s="2967"/>
      <c r="BN103" s="2842"/>
      <c r="BO103" s="2967"/>
      <c r="BP103" s="2842"/>
      <c r="BQ103" s="2967"/>
      <c r="BR103" s="2848"/>
    </row>
    <row r="104" spans="1:70" ht="70.5" customHeight="1" x14ac:dyDescent="0.2">
      <c r="A104" s="2962"/>
      <c r="B104" s="2963"/>
      <c r="C104" s="2963"/>
      <c r="D104" s="2964"/>
      <c r="E104" s="2963"/>
      <c r="F104" s="2963"/>
      <c r="G104" s="2964"/>
      <c r="H104" s="2965"/>
      <c r="I104" s="2965"/>
      <c r="J104" s="2993"/>
      <c r="K104" s="2901"/>
      <c r="L104" s="2901"/>
      <c r="M104" s="2994"/>
      <c r="N104" s="2967"/>
      <c r="O104" s="2899"/>
      <c r="P104" s="2899"/>
      <c r="Q104" s="2971"/>
      <c r="R104" s="2972"/>
      <c r="S104" s="2973"/>
      <c r="T104" s="2923"/>
      <c r="U104" s="2825"/>
      <c r="V104" s="1912" t="s">
        <v>1825</v>
      </c>
      <c r="W104" s="1913">
        <v>18000000</v>
      </c>
      <c r="X104" s="2004">
        <v>9000000</v>
      </c>
      <c r="Y104" s="2004">
        <v>3600000</v>
      </c>
      <c r="Z104" s="1944">
        <v>20</v>
      </c>
      <c r="AA104" s="1974" t="s">
        <v>71</v>
      </c>
      <c r="AB104" s="2967"/>
      <c r="AC104" s="2967"/>
      <c r="AD104" s="2875"/>
      <c r="AE104" s="2967"/>
      <c r="AF104" s="2967"/>
      <c r="AG104" s="2967"/>
      <c r="AH104" s="2967"/>
      <c r="AI104" s="2967"/>
      <c r="AJ104" s="2967"/>
      <c r="AK104" s="2967"/>
      <c r="AL104" s="2967"/>
      <c r="AM104" s="2967"/>
      <c r="AN104" s="2967"/>
      <c r="AO104" s="2967"/>
      <c r="AP104" s="2967"/>
      <c r="AQ104" s="2967"/>
      <c r="AR104" s="2967"/>
      <c r="AS104" s="2967"/>
      <c r="AT104" s="2967"/>
      <c r="AU104" s="2967"/>
      <c r="AV104" s="2967"/>
      <c r="AW104" s="2967"/>
      <c r="AX104" s="2967"/>
      <c r="AY104" s="2967"/>
      <c r="AZ104" s="2967"/>
      <c r="BA104" s="2967"/>
      <c r="BB104" s="2967"/>
      <c r="BC104" s="2967"/>
      <c r="BD104" s="2967"/>
      <c r="BE104" s="2967"/>
      <c r="BF104" s="2967"/>
      <c r="BG104" s="2967"/>
      <c r="BH104" s="2967"/>
      <c r="BI104" s="2967"/>
      <c r="BJ104" s="2967"/>
      <c r="BK104" s="2864"/>
      <c r="BL104" s="2987"/>
      <c r="BM104" s="2967"/>
      <c r="BN104" s="2842"/>
      <c r="BO104" s="2967"/>
      <c r="BP104" s="2842"/>
      <c r="BQ104" s="2967"/>
      <c r="BR104" s="2848"/>
    </row>
    <row r="105" spans="1:70" ht="66" customHeight="1" x14ac:dyDescent="0.2">
      <c r="A105" s="2962"/>
      <c r="B105" s="2963"/>
      <c r="C105" s="2963"/>
      <c r="D105" s="2964"/>
      <c r="E105" s="2963"/>
      <c r="F105" s="2963"/>
      <c r="G105" s="2964"/>
      <c r="H105" s="2965"/>
      <c r="I105" s="2965"/>
      <c r="J105" s="2993"/>
      <c r="K105" s="2901"/>
      <c r="L105" s="2901"/>
      <c r="M105" s="2994"/>
      <c r="N105" s="2967"/>
      <c r="O105" s="2899"/>
      <c r="P105" s="2899"/>
      <c r="Q105" s="2971"/>
      <c r="R105" s="2972"/>
      <c r="S105" s="2973"/>
      <c r="T105" s="2923"/>
      <c r="U105" s="2825" t="s">
        <v>1826</v>
      </c>
      <c r="V105" s="2978" t="s">
        <v>1827</v>
      </c>
      <c r="W105" s="1913">
        <v>76230000</v>
      </c>
      <c r="X105" s="2004">
        <v>76230000</v>
      </c>
      <c r="Y105" s="2004">
        <v>19204880</v>
      </c>
      <c r="Z105" s="1944" t="s">
        <v>852</v>
      </c>
      <c r="AA105" s="1974" t="s">
        <v>71</v>
      </c>
      <c r="AB105" s="2967"/>
      <c r="AC105" s="2967"/>
      <c r="AD105" s="2875"/>
      <c r="AE105" s="2967"/>
      <c r="AF105" s="2967"/>
      <c r="AG105" s="2967"/>
      <c r="AH105" s="2967"/>
      <c r="AI105" s="2967"/>
      <c r="AJ105" s="2967"/>
      <c r="AK105" s="2967"/>
      <c r="AL105" s="2967"/>
      <c r="AM105" s="2967"/>
      <c r="AN105" s="2967"/>
      <c r="AO105" s="2967"/>
      <c r="AP105" s="2967"/>
      <c r="AQ105" s="2967"/>
      <c r="AR105" s="2967"/>
      <c r="AS105" s="2967"/>
      <c r="AT105" s="2967"/>
      <c r="AU105" s="2967"/>
      <c r="AV105" s="2967"/>
      <c r="AW105" s="2967"/>
      <c r="AX105" s="2967"/>
      <c r="AY105" s="2967"/>
      <c r="AZ105" s="2967"/>
      <c r="BA105" s="2967"/>
      <c r="BB105" s="2967"/>
      <c r="BC105" s="2967"/>
      <c r="BD105" s="2967"/>
      <c r="BE105" s="2967"/>
      <c r="BF105" s="2967"/>
      <c r="BG105" s="2967"/>
      <c r="BH105" s="2967"/>
      <c r="BI105" s="2967"/>
      <c r="BJ105" s="2967"/>
      <c r="BK105" s="2864"/>
      <c r="BL105" s="2987"/>
      <c r="BM105" s="2967"/>
      <c r="BN105" s="2842"/>
      <c r="BO105" s="2967"/>
      <c r="BP105" s="2842"/>
      <c r="BQ105" s="2967"/>
      <c r="BR105" s="2848"/>
    </row>
    <row r="106" spans="1:70" ht="71.25" customHeight="1" x14ac:dyDescent="0.2">
      <c r="A106" s="2962"/>
      <c r="B106" s="2963"/>
      <c r="C106" s="2963"/>
      <c r="D106" s="2964"/>
      <c r="E106" s="2963"/>
      <c r="F106" s="2963"/>
      <c r="G106" s="2964"/>
      <c r="H106" s="2965"/>
      <c r="I106" s="2965"/>
      <c r="J106" s="2993"/>
      <c r="K106" s="2901"/>
      <c r="L106" s="2901"/>
      <c r="M106" s="2994"/>
      <c r="N106" s="2967"/>
      <c r="O106" s="2899"/>
      <c r="P106" s="2899"/>
      <c r="Q106" s="2971"/>
      <c r="R106" s="2972"/>
      <c r="S106" s="2973"/>
      <c r="T106" s="2923"/>
      <c r="U106" s="2825"/>
      <c r="V106" s="2979"/>
      <c r="W106" s="1913">
        <f>0+33880000</f>
        <v>33880000</v>
      </c>
      <c r="X106" s="2004"/>
      <c r="Y106" s="2004"/>
      <c r="Z106" s="1944">
        <v>88</v>
      </c>
      <c r="AA106" s="1974" t="s">
        <v>1828</v>
      </c>
      <c r="AB106" s="2967"/>
      <c r="AC106" s="2967"/>
      <c r="AD106" s="2875"/>
      <c r="AE106" s="2967"/>
      <c r="AF106" s="2967"/>
      <c r="AG106" s="2967"/>
      <c r="AH106" s="2967"/>
      <c r="AI106" s="2967"/>
      <c r="AJ106" s="2967"/>
      <c r="AK106" s="2967"/>
      <c r="AL106" s="2967"/>
      <c r="AM106" s="2967"/>
      <c r="AN106" s="2967"/>
      <c r="AO106" s="2967"/>
      <c r="AP106" s="2967"/>
      <c r="AQ106" s="2967"/>
      <c r="AR106" s="2967"/>
      <c r="AS106" s="2967"/>
      <c r="AT106" s="2967"/>
      <c r="AU106" s="2967"/>
      <c r="AV106" s="2967"/>
      <c r="AW106" s="2967"/>
      <c r="AX106" s="2967"/>
      <c r="AY106" s="2967"/>
      <c r="AZ106" s="2967"/>
      <c r="BA106" s="2967"/>
      <c r="BB106" s="2967"/>
      <c r="BC106" s="2967"/>
      <c r="BD106" s="2967"/>
      <c r="BE106" s="2967"/>
      <c r="BF106" s="2967"/>
      <c r="BG106" s="2967"/>
      <c r="BH106" s="2967"/>
      <c r="BI106" s="2967"/>
      <c r="BJ106" s="2967"/>
      <c r="BK106" s="2864"/>
      <c r="BL106" s="2987"/>
      <c r="BM106" s="2967"/>
      <c r="BN106" s="2842"/>
      <c r="BO106" s="2967"/>
      <c r="BP106" s="2842"/>
      <c r="BQ106" s="2967"/>
      <c r="BR106" s="2848"/>
    </row>
    <row r="107" spans="1:70" ht="42.75" customHeight="1" x14ac:dyDescent="0.2">
      <c r="A107" s="2962"/>
      <c r="B107" s="2963"/>
      <c r="C107" s="2963"/>
      <c r="D107" s="2964"/>
      <c r="E107" s="2963"/>
      <c r="F107" s="2963"/>
      <c r="G107" s="2964"/>
      <c r="H107" s="2965"/>
      <c r="I107" s="2965"/>
      <c r="J107" s="2993"/>
      <c r="K107" s="2901"/>
      <c r="L107" s="2901"/>
      <c r="M107" s="2994"/>
      <c r="N107" s="2967"/>
      <c r="O107" s="2899"/>
      <c r="P107" s="2899"/>
      <c r="Q107" s="2971"/>
      <c r="R107" s="2972"/>
      <c r="S107" s="2973"/>
      <c r="T107" s="2923"/>
      <c r="U107" s="2825"/>
      <c r="V107" s="2978" t="s">
        <v>1829</v>
      </c>
      <c r="W107" s="2035">
        <v>19800000</v>
      </c>
      <c r="X107" s="1913">
        <v>19800000</v>
      </c>
      <c r="Y107" s="1913">
        <v>9109320</v>
      </c>
      <c r="Z107" s="1944">
        <v>20</v>
      </c>
      <c r="AA107" s="2049" t="s">
        <v>71</v>
      </c>
      <c r="AB107" s="2967"/>
      <c r="AC107" s="2967"/>
      <c r="AD107" s="2875"/>
      <c r="AE107" s="2967"/>
      <c r="AF107" s="2967"/>
      <c r="AG107" s="2967"/>
      <c r="AH107" s="2967"/>
      <c r="AI107" s="2967"/>
      <c r="AJ107" s="2967"/>
      <c r="AK107" s="2967"/>
      <c r="AL107" s="2967"/>
      <c r="AM107" s="2967"/>
      <c r="AN107" s="2967"/>
      <c r="AO107" s="2967"/>
      <c r="AP107" s="2967"/>
      <c r="AQ107" s="2967"/>
      <c r="AR107" s="2967"/>
      <c r="AS107" s="2967"/>
      <c r="AT107" s="2967"/>
      <c r="AU107" s="2967"/>
      <c r="AV107" s="2967"/>
      <c r="AW107" s="2967"/>
      <c r="AX107" s="2967"/>
      <c r="AY107" s="2967"/>
      <c r="AZ107" s="2967"/>
      <c r="BA107" s="2967"/>
      <c r="BB107" s="2967"/>
      <c r="BC107" s="2967"/>
      <c r="BD107" s="2967"/>
      <c r="BE107" s="2967"/>
      <c r="BF107" s="2967"/>
      <c r="BG107" s="2967"/>
      <c r="BH107" s="2967"/>
      <c r="BI107" s="2967"/>
      <c r="BJ107" s="2967"/>
      <c r="BK107" s="2864"/>
      <c r="BL107" s="2987"/>
      <c r="BM107" s="2967"/>
      <c r="BN107" s="2842"/>
      <c r="BO107" s="2967"/>
      <c r="BP107" s="2842"/>
      <c r="BQ107" s="2967"/>
      <c r="BR107" s="2848"/>
    </row>
    <row r="108" spans="1:70" ht="42.75" customHeight="1" x14ac:dyDescent="0.2">
      <c r="A108" s="2962"/>
      <c r="B108" s="2963"/>
      <c r="C108" s="2963"/>
      <c r="D108" s="2964"/>
      <c r="E108" s="2963"/>
      <c r="F108" s="2963"/>
      <c r="G108" s="2964"/>
      <c r="H108" s="2965"/>
      <c r="I108" s="2965"/>
      <c r="J108" s="2993"/>
      <c r="K108" s="2901"/>
      <c r="L108" s="2901"/>
      <c r="M108" s="2994"/>
      <c r="N108" s="2967"/>
      <c r="O108" s="2899"/>
      <c r="P108" s="2899"/>
      <c r="Q108" s="2971"/>
      <c r="R108" s="2972"/>
      <c r="S108" s="2973"/>
      <c r="T108" s="2923"/>
      <c r="U108" s="2825"/>
      <c r="V108" s="2980"/>
      <c r="W108" s="2050">
        <f>0+5100000</f>
        <v>5100000</v>
      </c>
      <c r="X108" s="2051"/>
      <c r="Y108" s="2051"/>
      <c r="Z108" s="1944">
        <v>88</v>
      </c>
      <c r="AA108" s="2049" t="s">
        <v>1828</v>
      </c>
      <c r="AB108" s="2968"/>
      <c r="AC108" s="2967"/>
      <c r="AD108" s="2875"/>
      <c r="AE108" s="2967"/>
      <c r="AF108" s="2967"/>
      <c r="AG108" s="2967"/>
      <c r="AH108" s="2967"/>
      <c r="AI108" s="2967"/>
      <c r="AJ108" s="2967"/>
      <c r="AK108" s="2967"/>
      <c r="AL108" s="2967"/>
      <c r="AM108" s="2967"/>
      <c r="AN108" s="2967"/>
      <c r="AO108" s="2967"/>
      <c r="AP108" s="2967"/>
      <c r="AQ108" s="2967"/>
      <c r="AR108" s="2967"/>
      <c r="AS108" s="2967"/>
      <c r="AT108" s="2967"/>
      <c r="AU108" s="2967"/>
      <c r="AV108" s="2967"/>
      <c r="AW108" s="2967"/>
      <c r="AX108" s="2967"/>
      <c r="AY108" s="2967"/>
      <c r="AZ108" s="2967"/>
      <c r="BA108" s="2967"/>
      <c r="BB108" s="2967"/>
      <c r="BC108" s="2967"/>
      <c r="BD108" s="2967"/>
      <c r="BE108" s="2967"/>
      <c r="BF108" s="2967"/>
      <c r="BG108" s="2967"/>
      <c r="BH108" s="2967"/>
      <c r="BI108" s="2967"/>
      <c r="BJ108" s="2967"/>
      <c r="BK108" s="2864"/>
      <c r="BL108" s="2987"/>
      <c r="BM108" s="2967"/>
      <c r="BN108" s="2842"/>
      <c r="BO108" s="2967"/>
      <c r="BP108" s="2842"/>
      <c r="BQ108" s="2967"/>
      <c r="BR108" s="2848"/>
    </row>
    <row r="109" spans="1:70" ht="42" customHeight="1" x14ac:dyDescent="0.2">
      <c r="A109" s="2962"/>
      <c r="B109" s="2963"/>
      <c r="C109" s="2963"/>
      <c r="D109" s="2964"/>
      <c r="E109" s="2963"/>
      <c r="F109" s="2963"/>
      <c r="G109" s="2964"/>
      <c r="H109" s="2965"/>
      <c r="I109" s="2965"/>
      <c r="J109" s="2993"/>
      <c r="K109" s="2901"/>
      <c r="L109" s="2901"/>
      <c r="M109" s="2994"/>
      <c r="N109" s="2967"/>
      <c r="O109" s="2899"/>
      <c r="P109" s="2899"/>
      <c r="Q109" s="2971"/>
      <c r="R109" s="2972"/>
      <c r="S109" s="2973"/>
      <c r="T109" s="2923"/>
      <c r="U109" s="2825"/>
      <c r="V109" s="2981" t="s">
        <v>1830</v>
      </c>
      <c r="W109" s="2010">
        <v>72600000</v>
      </c>
      <c r="X109" s="2052">
        <v>71215467</v>
      </c>
      <c r="Y109" s="2052">
        <v>19985800</v>
      </c>
      <c r="Z109" s="2011">
        <v>20</v>
      </c>
      <c r="AA109" s="1949" t="s">
        <v>71</v>
      </c>
      <c r="AB109" s="2968"/>
      <c r="AC109" s="2967"/>
      <c r="AD109" s="2875"/>
      <c r="AE109" s="2967"/>
      <c r="AF109" s="2967"/>
      <c r="AG109" s="2967"/>
      <c r="AH109" s="2967"/>
      <c r="AI109" s="2967"/>
      <c r="AJ109" s="2967"/>
      <c r="AK109" s="2967"/>
      <c r="AL109" s="2967"/>
      <c r="AM109" s="2967"/>
      <c r="AN109" s="2967"/>
      <c r="AO109" s="2967"/>
      <c r="AP109" s="2967"/>
      <c r="AQ109" s="2967"/>
      <c r="AR109" s="2967"/>
      <c r="AS109" s="2967"/>
      <c r="AT109" s="2967"/>
      <c r="AU109" s="2967"/>
      <c r="AV109" s="2967"/>
      <c r="AW109" s="2967"/>
      <c r="AX109" s="2967"/>
      <c r="AY109" s="2967"/>
      <c r="AZ109" s="2967"/>
      <c r="BA109" s="2967"/>
      <c r="BB109" s="2967"/>
      <c r="BC109" s="2967"/>
      <c r="BD109" s="2967"/>
      <c r="BE109" s="2967"/>
      <c r="BF109" s="2967"/>
      <c r="BG109" s="2967"/>
      <c r="BH109" s="2967"/>
      <c r="BI109" s="2967"/>
      <c r="BJ109" s="2967"/>
      <c r="BK109" s="2864"/>
      <c r="BL109" s="2987"/>
      <c r="BM109" s="2967"/>
      <c r="BN109" s="2842"/>
      <c r="BO109" s="2967"/>
      <c r="BP109" s="2842"/>
      <c r="BQ109" s="2967"/>
      <c r="BR109" s="2848"/>
    </row>
    <row r="110" spans="1:70" ht="51.75" customHeight="1" x14ac:dyDescent="0.2">
      <c r="A110" s="2962"/>
      <c r="B110" s="2963"/>
      <c r="C110" s="2963"/>
      <c r="D110" s="2964"/>
      <c r="E110" s="2963"/>
      <c r="F110" s="2963"/>
      <c r="G110" s="2964"/>
      <c r="H110" s="2965"/>
      <c r="I110" s="2965"/>
      <c r="J110" s="2993"/>
      <c r="K110" s="2901"/>
      <c r="L110" s="2901"/>
      <c r="M110" s="2994"/>
      <c r="N110" s="2967"/>
      <c r="O110" s="2899"/>
      <c r="P110" s="2899"/>
      <c r="Q110" s="2971"/>
      <c r="R110" s="2972"/>
      <c r="S110" s="2973"/>
      <c r="T110" s="2923"/>
      <c r="U110" s="2825"/>
      <c r="V110" s="2979"/>
      <c r="W110" s="2026">
        <f>0+33900000</f>
        <v>33900000</v>
      </c>
      <c r="X110" s="2027"/>
      <c r="Y110" s="2027"/>
      <c r="Z110" s="2028">
        <v>88</v>
      </c>
      <c r="AA110" s="2040" t="s">
        <v>369</v>
      </c>
      <c r="AB110" s="2967"/>
      <c r="AC110" s="2967"/>
      <c r="AD110" s="2875"/>
      <c r="AE110" s="2967"/>
      <c r="AF110" s="2967"/>
      <c r="AG110" s="2967"/>
      <c r="AH110" s="2967"/>
      <c r="AI110" s="2967"/>
      <c r="AJ110" s="2967"/>
      <c r="AK110" s="2967"/>
      <c r="AL110" s="2967"/>
      <c r="AM110" s="2967"/>
      <c r="AN110" s="2967"/>
      <c r="AO110" s="2967"/>
      <c r="AP110" s="2967"/>
      <c r="AQ110" s="2967"/>
      <c r="AR110" s="2967"/>
      <c r="AS110" s="2967"/>
      <c r="AT110" s="2967"/>
      <c r="AU110" s="2967"/>
      <c r="AV110" s="2967"/>
      <c r="AW110" s="2967"/>
      <c r="AX110" s="2967"/>
      <c r="AY110" s="2967"/>
      <c r="AZ110" s="2967"/>
      <c r="BA110" s="2967"/>
      <c r="BB110" s="2967"/>
      <c r="BC110" s="2967"/>
      <c r="BD110" s="2967"/>
      <c r="BE110" s="2967"/>
      <c r="BF110" s="2967"/>
      <c r="BG110" s="2967"/>
      <c r="BH110" s="2967"/>
      <c r="BI110" s="2967"/>
      <c r="BJ110" s="2967"/>
      <c r="BK110" s="2864"/>
      <c r="BL110" s="2987"/>
      <c r="BM110" s="2967"/>
      <c r="BN110" s="2842"/>
      <c r="BO110" s="2967"/>
      <c r="BP110" s="2842"/>
      <c r="BQ110" s="2967"/>
      <c r="BR110" s="2848"/>
    </row>
    <row r="111" spans="1:70" ht="47.25" customHeight="1" x14ac:dyDescent="0.2">
      <c r="A111" s="2962"/>
      <c r="B111" s="2963"/>
      <c r="C111" s="2963"/>
      <c r="D111" s="2964"/>
      <c r="E111" s="2963"/>
      <c r="F111" s="2963"/>
      <c r="G111" s="2964"/>
      <c r="H111" s="2965"/>
      <c r="I111" s="2965"/>
      <c r="J111" s="2993"/>
      <c r="K111" s="2901"/>
      <c r="L111" s="2901"/>
      <c r="M111" s="2994"/>
      <c r="N111" s="2967"/>
      <c r="O111" s="2899"/>
      <c r="P111" s="2899"/>
      <c r="Q111" s="2971"/>
      <c r="R111" s="2972"/>
      <c r="S111" s="2973"/>
      <c r="T111" s="2923"/>
      <c r="U111" s="2825"/>
      <c r="V111" s="2978" t="s">
        <v>1831</v>
      </c>
      <c r="W111" s="1913">
        <v>2100000</v>
      </c>
      <c r="X111" s="2004">
        <v>2073500</v>
      </c>
      <c r="Y111" s="2004">
        <v>840000</v>
      </c>
      <c r="Z111" s="1944" t="s">
        <v>689</v>
      </c>
      <c r="AA111" s="1916" t="s">
        <v>71</v>
      </c>
      <c r="AB111" s="2967"/>
      <c r="AC111" s="2967"/>
      <c r="AD111" s="2875"/>
      <c r="AE111" s="2967"/>
      <c r="AF111" s="2967"/>
      <c r="AG111" s="2967"/>
      <c r="AH111" s="2967"/>
      <c r="AI111" s="2967"/>
      <c r="AJ111" s="2967"/>
      <c r="AK111" s="2967"/>
      <c r="AL111" s="2967"/>
      <c r="AM111" s="2967"/>
      <c r="AN111" s="2967"/>
      <c r="AO111" s="2967"/>
      <c r="AP111" s="2967"/>
      <c r="AQ111" s="2967"/>
      <c r="AR111" s="2967"/>
      <c r="AS111" s="2967"/>
      <c r="AT111" s="2967"/>
      <c r="AU111" s="2967"/>
      <c r="AV111" s="2967"/>
      <c r="AW111" s="2967"/>
      <c r="AX111" s="2967"/>
      <c r="AY111" s="2967"/>
      <c r="AZ111" s="2967"/>
      <c r="BA111" s="2967"/>
      <c r="BB111" s="2967"/>
      <c r="BC111" s="2967"/>
      <c r="BD111" s="2967"/>
      <c r="BE111" s="2967"/>
      <c r="BF111" s="2967"/>
      <c r="BG111" s="2967"/>
      <c r="BH111" s="2967"/>
      <c r="BI111" s="2967"/>
      <c r="BJ111" s="2967"/>
      <c r="BK111" s="2864"/>
      <c r="BL111" s="2987"/>
      <c r="BM111" s="2967"/>
      <c r="BN111" s="2842"/>
      <c r="BO111" s="2967"/>
      <c r="BP111" s="2842"/>
      <c r="BQ111" s="2967"/>
      <c r="BR111" s="2848"/>
    </row>
    <row r="112" spans="1:70" ht="47.25" customHeight="1" x14ac:dyDescent="0.2">
      <c r="A112" s="2962"/>
      <c r="B112" s="2963"/>
      <c r="C112" s="2963"/>
      <c r="D112" s="2964"/>
      <c r="E112" s="2963"/>
      <c r="F112" s="2963"/>
      <c r="G112" s="2964"/>
      <c r="H112" s="2965"/>
      <c r="I112" s="2965"/>
      <c r="J112" s="2993"/>
      <c r="K112" s="2901"/>
      <c r="L112" s="2901"/>
      <c r="M112" s="2994"/>
      <c r="N112" s="2967"/>
      <c r="O112" s="2899"/>
      <c r="P112" s="2899"/>
      <c r="Q112" s="2971"/>
      <c r="R112" s="2972"/>
      <c r="S112" s="2973"/>
      <c r="T112" s="2923"/>
      <c r="U112" s="2825"/>
      <c r="V112" s="2982"/>
      <c r="W112" s="2004">
        <f>0+2100000</f>
        <v>2100000</v>
      </c>
      <c r="X112" s="2004"/>
      <c r="Y112" s="2004"/>
      <c r="Z112" s="1944">
        <v>88</v>
      </c>
      <c r="AA112" s="1944" t="s">
        <v>1828</v>
      </c>
      <c r="AB112" s="2967"/>
      <c r="AC112" s="2967"/>
      <c r="AD112" s="2875"/>
      <c r="AE112" s="2967"/>
      <c r="AF112" s="2967"/>
      <c r="AG112" s="2967"/>
      <c r="AH112" s="2967"/>
      <c r="AI112" s="2967"/>
      <c r="AJ112" s="2967"/>
      <c r="AK112" s="2967"/>
      <c r="AL112" s="2967"/>
      <c r="AM112" s="2967"/>
      <c r="AN112" s="2967"/>
      <c r="AO112" s="2967"/>
      <c r="AP112" s="2967"/>
      <c r="AQ112" s="2967"/>
      <c r="AR112" s="2967"/>
      <c r="AS112" s="2967"/>
      <c r="AT112" s="2967"/>
      <c r="AU112" s="2967"/>
      <c r="AV112" s="2967"/>
      <c r="AW112" s="2967"/>
      <c r="AX112" s="2967"/>
      <c r="AY112" s="2967"/>
      <c r="AZ112" s="2967"/>
      <c r="BA112" s="2967"/>
      <c r="BB112" s="2967"/>
      <c r="BC112" s="2967"/>
      <c r="BD112" s="2967"/>
      <c r="BE112" s="2967"/>
      <c r="BF112" s="2967"/>
      <c r="BG112" s="2967"/>
      <c r="BH112" s="2967"/>
      <c r="BI112" s="2967"/>
      <c r="BJ112" s="2967"/>
      <c r="BK112" s="2864"/>
      <c r="BL112" s="2987"/>
      <c r="BM112" s="2967"/>
      <c r="BN112" s="2842"/>
      <c r="BO112" s="2967"/>
      <c r="BP112" s="2842"/>
      <c r="BQ112" s="2967"/>
      <c r="BR112" s="2848"/>
    </row>
    <row r="113" spans="1:70" ht="66" customHeight="1" x14ac:dyDescent="0.2">
      <c r="A113" s="2962"/>
      <c r="B113" s="2963"/>
      <c r="C113" s="2963"/>
      <c r="D113" s="2964"/>
      <c r="E113" s="2963"/>
      <c r="F113" s="2963"/>
      <c r="G113" s="2964"/>
      <c r="H113" s="2965"/>
      <c r="I113" s="2965"/>
      <c r="J113" s="2993"/>
      <c r="K113" s="2901"/>
      <c r="L113" s="2901"/>
      <c r="M113" s="2994"/>
      <c r="N113" s="2967"/>
      <c r="O113" s="2899"/>
      <c r="P113" s="2899"/>
      <c r="Q113" s="2971"/>
      <c r="R113" s="2972"/>
      <c r="S113" s="2973"/>
      <c r="T113" s="2923"/>
      <c r="U113" s="2885"/>
      <c r="V113" s="2983" t="s">
        <v>1832</v>
      </c>
      <c r="W113" s="2984">
        <f>4500000-2250000</f>
        <v>2250000</v>
      </c>
      <c r="X113" s="2974">
        <v>2250000</v>
      </c>
      <c r="Y113" s="2974">
        <v>2250000</v>
      </c>
      <c r="Z113" s="2976">
        <v>20</v>
      </c>
      <c r="AA113" s="2976" t="s">
        <v>371</v>
      </c>
      <c r="AB113" s="2968"/>
      <c r="AC113" s="2967"/>
      <c r="AD113" s="2875"/>
      <c r="AE113" s="2967"/>
      <c r="AF113" s="2967"/>
      <c r="AG113" s="2967"/>
      <c r="AH113" s="2967"/>
      <c r="AI113" s="2967"/>
      <c r="AJ113" s="2967"/>
      <c r="AK113" s="2967"/>
      <c r="AL113" s="2967"/>
      <c r="AM113" s="2967"/>
      <c r="AN113" s="2967"/>
      <c r="AO113" s="2967"/>
      <c r="AP113" s="2967"/>
      <c r="AQ113" s="2967"/>
      <c r="AR113" s="2967"/>
      <c r="AS113" s="2967"/>
      <c r="AT113" s="2967"/>
      <c r="AU113" s="2967"/>
      <c r="AV113" s="2967"/>
      <c r="AW113" s="2967"/>
      <c r="AX113" s="2967"/>
      <c r="AY113" s="2967"/>
      <c r="AZ113" s="2967"/>
      <c r="BA113" s="2967"/>
      <c r="BB113" s="2967"/>
      <c r="BC113" s="2967"/>
      <c r="BD113" s="2967"/>
      <c r="BE113" s="2967"/>
      <c r="BF113" s="2967"/>
      <c r="BG113" s="2967"/>
      <c r="BH113" s="2967"/>
      <c r="BI113" s="2967"/>
      <c r="BJ113" s="2967"/>
      <c r="BK113" s="2864"/>
      <c r="BL113" s="2987"/>
      <c r="BM113" s="2967"/>
      <c r="BN113" s="2842"/>
      <c r="BO113" s="2967"/>
      <c r="BP113" s="2842"/>
      <c r="BQ113" s="2967"/>
      <c r="BR113" s="2848"/>
    </row>
    <row r="114" spans="1:70" ht="66" customHeight="1" x14ac:dyDescent="0.2">
      <c r="A114" s="2962"/>
      <c r="B114" s="2963"/>
      <c r="C114" s="2963"/>
      <c r="D114" s="2964"/>
      <c r="E114" s="2963"/>
      <c r="F114" s="2963"/>
      <c r="G114" s="2964"/>
      <c r="H114" s="2965"/>
      <c r="I114" s="2965"/>
      <c r="J114" s="2993"/>
      <c r="K114" s="2901"/>
      <c r="L114" s="2901"/>
      <c r="M114" s="2994"/>
      <c r="N114" s="2967"/>
      <c r="O114" s="2899"/>
      <c r="P114" s="2899"/>
      <c r="Q114" s="2971"/>
      <c r="R114" s="2972"/>
      <c r="S114" s="2973"/>
      <c r="T114" s="2923"/>
      <c r="U114" s="2885"/>
      <c r="V114" s="2983"/>
      <c r="W114" s="2985"/>
      <c r="X114" s="2975"/>
      <c r="Y114" s="2975"/>
      <c r="Z114" s="2977"/>
      <c r="AA114" s="2977"/>
      <c r="AB114" s="2968"/>
      <c r="AC114" s="2967"/>
      <c r="AD114" s="2875"/>
      <c r="AE114" s="2967"/>
      <c r="AF114" s="2967"/>
      <c r="AG114" s="2967"/>
      <c r="AH114" s="2967"/>
      <c r="AI114" s="2967"/>
      <c r="AJ114" s="2967"/>
      <c r="AK114" s="2967"/>
      <c r="AL114" s="2967"/>
      <c r="AM114" s="2967"/>
      <c r="AN114" s="2967"/>
      <c r="AO114" s="2967"/>
      <c r="AP114" s="2967"/>
      <c r="AQ114" s="2967"/>
      <c r="AR114" s="2967"/>
      <c r="AS114" s="2967"/>
      <c r="AT114" s="2967"/>
      <c r="AU114" s="2967"/>
      <c r="AV114" s="2967"/>
      <c r="AW114" s="2967"/>
      <c r="AX114" s="2967"/>
      <c r="AY114" s="2967"/>
      <c r="AZ114" s="2967"/>
      <c r="BA114" s="2967"/>
      <c r="BB114" s="2967"/>
      <c r="BC114" s="2967"/>
      <c r="BD114" s="2967"/>
      <c r="BE114" s="2967"/>
      <c r="BF114" s="2967"/>
      <c r="BG114" s="2967"/>
      <c r="BH114" s="2967"/>
      <c r="BI114" s="2967"/>
      <c r="BJ114" s="2967"/>
      <c r="BK114" s="2864"/>
      <c r="BL114" s="2987"/>
      <c r="BM114" s="2967"/>
      <c r="BN114" s="2842"/>
      <c r="BO114" s="2967"/>
      <c r="BP114" s="2842"/>
      <c r="BQ114" s="2967"/>
      <c r="BR114" s="2848"/>
    </row>
    <row r="115" spans="1:70" ht="76.5" customHeight="1" x14ac:dyDescent="0.2">
      <c r="A115" s="2962"/>
      <c r="B115" s="2963"/>
      <c r="C115" s="2963"/>
      <c r="D115" s="2964"/>
      <c r="E115" s="2963"/>
      <c r="F115" s="2963"/>
      <c r="G115" s="2964"/>
      <c r="H115" s="2965"/>
      <c r="I115" s="2965"/>
      <c r="J115" s="2993"/>
      <c r="K115" s="2901"/>
      <c r="L115" s="2901"/>
      <c r="M115" s="2994"/>
      <c r="N115" s="2970"/>
      <c r="O115" s="2899"/>
      <c r="P115" s="2899"/>
      <c r="Q115" s="2971"/>
      <c r="R115" s="2972"/>
      <c r="S115" s="2973"/>
      <c r="T115" s="2923"/>
      <c r="U115" s="2825"/>
      <c r="V115" s="2053" t="s">
        <v>1833</v>
      </c>
      <c r="W115" s="2054">
        <f>0+2250000</f>
        <v>2250000</v>
      </c>
      <c r="X115" s="2054">
        <v>2250000</v>
      </c>
      <c r="Y115" s="2054"/>
      <c r="Z115" s="2011">
        <v>20</v>
      </c>
      <c r="AA115" s="2011" t="s">
        <v>1758</v>
      </c>
      <c r="AB115" s="2969"/>
      <c r="AC115" s="2970"/>
      <c r="AD115" s="2876"/>
      <c r="AE115" s="2970"/>
      <c r="AF115" s="2970"/>
      <c r="AG115" s="2970"/>
      <c r="AH115" s="2970"/>
      <c r="AI115" s="2970"/>
      <c r="AJ115" s="2970"/>
      <c r="AK115" s="2970"/>
      <c r="AL115" s="2970"/>
      <c r="AM115" s="2970"/>
      <c r="AN115" s="2970"/>
      <c r="AO115" s="2970"/>
      <c r="AP115" s="2970"/>
      <c r="AQ115" s="2970"/>
      <c r="AR115" s="2970"/>
      <c r="AS115" s="2970"/>
      <c r="AT115" s="2970"/>
      <c r="AU115" s="2970"/>
      <c r="AV115" s="2970"/>
      <c r="AW115" s="2970"/>
      <c r="AX115" s="2970"/>
      <c r="AY115" s="2970"/>
      <c r="AZ115" s="2970"/>
      <c r="BA115" s="2970"/>
      <c r="BB115" s="2970"/>
      <c r="BC115" s="2970"/>
      <c r="BD115" s="2970"/>
      <c r="BE115" s="2970"/>
      <c r="BF115" s="2970"/>
      <c r="BG115" s="2970"/>
      <c r="BH115" s="2970"/>
      <c r="BI115" s="2970"/>
      <c r="BJ115" s="2970"/>
      <c r="BK115" s="2865"/>
      <c r="BL115" s="2988"/>
      <c r="BM115" s="2970"/>
      <c r="BN115" s="2842"/>
      <c r="BO115" s="2970"/>
      <c r="BP115" s="2842"/>
      <c r="BQ115" s="2970"/>
      <c r="BR115" s="2848"/>
    </row>
    <row r="116" spans="1:70" ht="81" customHeight="1" x14ac:dyDescent="0.2">
      <c r="A116" s="1938"/>
      <c r="D116" s="1939"/>
      <c r="G116" s="1939"/>
      <c r="J116" s="2909">
        <v>266</v>
      </c>
      <c r="K116" s="2840" t="s">
        <v>1834</v>
      </c>
      <c r="L116" s="2991" t="s">
        <v>1835</v>
      </c>
      <c r="M116" s="2941">
        <v>1</v>
      </c>
      <c r="N116" s="2992">
        <v>0.15</v>
      </c>
      <c r="O116" s="2846" t="s">
        <v>1836</v>
      </c>
      <c r="P116" s="2846" t="s">
        <v>1837</v>
      </c>
      <c r="Q116" s="2997" t="s">
        <v>1838</v>
      </c>
      <c r="R116" s="2999">
        <v>1</v>
      </c>
      <c r="S116" s="3000">
        <f>SUM(W116:W127)</f>
        <v>48000000</v>
      </c>
      <c r="T116" s="2825" t="s">
        <v>1839</v>
      </c>
      <c r="U116" s="2838" t="s">
        <v>1840</v>
      </c>
      <c r="V116" s="2055" t="s">
        <v>1841</v>
      </c>
      <c r="W116" s="2056">
        <v>4800000</v>
      </c>
      <c r="X116" s="2057">
        <v>4800000</v>
      </c>
      <c r="Y116" s="2057">
        <v>2033000</v>
      </c>
      <c r="Z116" s="2028" t="s">
        <v>852</v>
      </c>
      <c r="AA116" s="2040" t="s">
        <v>1758</v>
      </c>
      <c r="AB116" s="2912">
        <v>282326</v>
      </c>
      <c r="AC116" s="2869"/>
      <c r="AD116" s="2995">
        <v>292684</v>
      </c>
      <c r="AE116" s="2869"/>
      <c r="AF116" s="2912">
        <v>135912</v>
      </c>
      <c r="AG116" s="2869"/>
      <c r="AH116" s="2912">
        <v>45122</v>
      </c>
      <c r="AI116" s="2869"/>
      <c r="AJ116" s="2912">
        <v>307101</v>
      </c>
      <c r="AK116" s="2869"/>
      <c r="AL116" s="2912">
        <v>86875</v>
      </c>
      <c r="AM116" s="2869"/>
      <c r="AN116" s="2912">
        <v>2145</v>
      </c>
      <c r="AO116" s="2869"/>
      <c r="AP116" s="2912">
        <v>12718</v>
      </c>
      <c r="AQ116" s="2869"/>
      <c r="AR116" s="2912">
        <v>26</v>
      </c>
      <c r="AS116" s="2869"/>
      <c r="AT116" s="2912">
        <v>37</v>
      </c>
      <c r="AU116" s="2869"/>
      <c r="AV116" s="2912"/>
      <c r="AW116" s="2869"/>
      <c r="AX116" s="2912"/>
      <c r="AY116" s="2869"/>
      <c r="AZ116" s="2912">
        <v>43029</v>
      </c>
      <c r="BA116" s="2869"/>
      <c r="BB116" s="3002">
        <f>BB97</f>
        <v>16982</v>
      </c>
      <c r="BC116" s="2869"/>
      <c r="BD116" s="2912">
        <v>60013</v>
      </c>
      <c r="BE116" s="2869"/>
      <c r="BF116" s="3002">
        <f>AB116+AD116</f>
        <v>575010</v>
      </c>
      <c r="BG116" s="2869"/>
      <c r="BH116" s="2869">
        <v>1</v>
      </c>
      <c r="BI116" s="2854">
        <f>SUM(X116:X127)</f>
        <v>17915000</v>
      </c>
      <c r="BJ116" s="2869">
        <f>SUM(Y116:Y127)</f>
        <v>3583000</v>
      </c>
      <c r="BK116" s="2855">
        <f>BJ116/BI116</f>
        <v>0.2</v>
      </c>
      <c r="BL116" s="2869" t="s">
        <v>71</v>
      </c>
      <c r="BM116" s="2848" t="s">
        <v>1676</v>
      </c>
      <c r="BN116" s="2842">
        <v>43102</v>
      </c>
      <c r="BO116" s="2842">
        <v>43124</v>
      </c>
      <c r="BP116" s="2842">
        <v>43465</v>
      </c>
      <c r="BQ116" s="2842">
        <v>43465</v>
      </c>
      <c r="BR116" s="2848" t="s">
        <v>1793</v>
      </c>
    </row>
    <row r="117" spans="1:70" ht="50.25" customHeight="1" x14ac:dyDescent="0.2">
      <c r="A117" s="1938"/>
      <c r="D117" s="1939"/>
      <c r="G117" s="1939"/>
      <c r="J117" s="2848"/>
      <c r="K117" s="2825"/>
      <c r="L117" s="2861"/>
      <c r="M117" s="2869"/>
      <c r="N117" s="2992"/>
      <c r="O117" s="2824"/>
      <c r="P117" s="2824"/>
      <c r="Q117" s="2998"/>
      <c r="R117" s="2859"/>
      <c r="S117" s="3001"/>
      <c r="T117" s="2825"/>
      <c r="U117" s="2839"/>
      <c r="V117" s="2055" t="s">
        <v>1842</v>
      </c>
      <c r="W117" s="2058">
        <v>2120000</v>
      </c>
      <c r="X117" s="2059">
        <v>2115000</v>
      </c>
      <c r="Y117" s="2059">
        <v>950000</v>
      </c>
      <c r="Z117" s="1944">
        <v>20</v>
      </c>
      <c r="AA117" s="1916" t="s">
        <v>1758</v>
      </c>
      <c r="AB117" s="2913"/>
      <c r="AC117" s="2869"/>
      <c r="AD117" s="2996"/>
      <c r="AE117" s="2869"/>
      <c r="AF117" s="2913"/>
      <c r="AG117" s="2869"/>
      <c r="AH117" s="2913"/>
      <c r="AI117" s="2869"/>
      <c r="AJ117" s="2913"/>
      <c r="AK117" s="2869"/>
      <c r="AL117" s="2913"/>
      <c r="AM117" s="2869"/>
      <c r="AN117" s="2913"/>
      <c r="AO117" s="2869"/>
      <c r="AP117" s="2913"/>
      <c r="AQ117" s="2869"/>
      <c r="AR117" s="2913"/>
      <c r="AS117" s="2869"/>
      <c r="AT117" s="2913"/>
      <c r="AU117" s="2869"/>
      <c r="AV117" s="2913"/>
      <c r="AW117" s="2869"/>
      <c r="AX117" s="2913"/>
      <c r="AY117" s="2869"/>
      <c r="AZ117" s="2913"/>
      <c r="BA117" s="2869"/>
      <c r="BB117" s="3003"/>
      <c r="BC117" s="2869"/>
      <c r="BD117" s="2913"/>
      <c r="BE117" s="2869"/>
      <c r="BF117" s="3003"/>
      <c r="BG117" s="2869"/>
      <c r="BH117" s="2869"/>
      <c r="BI117" s="2854"/>
      <c r="BJ117" s="2869"/>
      <c r="BK117" s="2855"/>
      <c r="BL117" s="2869"/>
      <c r="BM117" s="2869"/>
      <c r="BN117" s="2842"/>
      <c r="BO117" s="2842"/>
      <c r="BP117" s="2842"/>
      <c r="BQ117" s="2842"/>
      <c r="BR117" s="2848"/>
    </row>
    <row r="118" spans="1:70" ht="50.25" customHeight="1" x14ac:dyDescent="0.2">
      <c r="A118" s="1938"/>
      <c r="D118" s="1939"/>
      <c r="G118" s="1939"/>
      <c r="J118" s="2848"/>
      <c r="K118" s="2825"/>
      <c r="L118" s="2861"/>
      <c r="M118" s="2869"/>
      <c r="N118" s="2992"/>
      <c r="O118" s="2824"/>
      <c r="P118" s="2824"/>
      <c r="Q118" s="2998"/>
      <c r="R118" s="2859"/>
      <c r="S118" s="3001"/>
      <c r="T118" s="2825"/>
      <c r="U118" s="2839"/>
      <c r="V118" s="2060" t="s">
        <v>1843</v>
      </c>
      <c r="W118" s="2058">
        <v>14250000</v>
      </c>
      <c r="X118" s="2059">
        <v>6650000</v>
      </c>
      <c r="Y118" s="2059"/>
      <c r="Z118" s="1944">
        <v>20</v>
      </c>
      <c r="AA118" s="1916" t="s">
        <v>1758</v>
      </c>
      <c r="AB118" s="2913"/>
      <c r="AC118" s="2869"/>
      <c r="AD118" s="2996"/>
      <c r="AE118" s="2869"/>
      <c r="AF118" s="2913"/>
      <c r="AG118" s="2869"/>
      <c r="AH118" s="2913"/>
      <c r="AI118" s="2869"/>
      <c r="AJ118" s="2913"/>
      <c r="AK118" s="2869"/>
      <c r="AL118" s="2913"/>
      <c r="AM118" s="2869"/>
      <c r="AN118" s="2913"/>
      <c r="AO118" s="2869"/>
      <c r="AP118" s="2913"/>
      <c r="AQ118" s="2869"/>
      <c r="AR118" s="2913"/>
      <c r="AS118" s="2869"/>
      <c r="AT118" s="2913"/>
      <c r="AU118" s="2869"/>
      <c r="AV118" s="2913"/>
      <c r="AW118" s="2869"/>
      <c r="AX118" s="2913"/>
      <c r="AY118" s="2869"/>
      <c r="AZ118" s="2913"/>
      <c r="BA118" s="2869"/>
      <c r="BB118" s="3003"/>
      <c r="BC118" s="2869"/>
      <c r="BD118" s="2913"/>
      <c r="BE118" s="2869"/>
      <c r="BF118" s="3003"/>
      <c r="BG118" s="2869"/>
      <c r="BH118" s="2869"/>
      <c r="BI118" s="2854"/>
      <c r="BJ118" s="2869"/>
      <c r="BK118" s="2855"/>
      <c r="BL118" s="2869"/>
      <c r="BM118" s="2869"/>
      <c r="BN118" s="2842"/>
      <c r="BO118" s="2842"/>
      <c r="BP118" s="2842"/>
      <c r="BQ118" s="2842"/>
      <c r="BR118" s="2848"/>
    </row>
    <row r="119" spans="1:70" ht="87.75" customHeight="1" x14ac:dyDescent="0.2">
      <c r="A119" s="1938"/>
      <c r="D119" s="1939"/>
      <c r="G119" s="1939"/>
      <c r="J119" s="2848"/>
      <c r="K119" s="2825"/>
      <c r="L119" s="2861"/>
      <c r="M119" s="2869"/>
      <c r="N119" s="2992"/>
      <c r="O119" s="2824"/>
      <c r="P119" s="2824"/>
      <c r="Q119" s="2998"/>
      <c r="R119" s="2859"/>
      <c r="S119" s="3001"/>
      <c r="T119" s="2825"/>
      <c r="U119" s="2839"/>
      <c r="V119" s="2055" t="s">
        <v>1844</v>
      </c>
      <c r="W119" s="2058">
        <v>2850000</v>
      </c>
      <c r="X119" s="2059">
        <v>2850000</v>
      </c>
      <c r="Y119" s="2059"/>
      <c r="Z119" s="1944" t="s">
        <v>852</v>
      </c>
      <c r="AA119" s="1916" t="s">
        <v>1758</v>
      </c>
      <c r="AB119" s="2913"/>
      <c r="AC119" s="2869"/>
      <c r="AD119" s="2996"/>
      <c r="AE119" s="2869"/>
      <c r="AF119" s="2913"/>
      <c r="AG119" s="2869"/>
      <c r="AH119" s="2913"/>
      <c r="AI119" s="2869"/>
      <c r="AJ119" s="2913"/>
      <c r="AK119" s="2869"/>
      <c r="AL119" s="2913"/>
      <c r="AM119" s="2869"/>
      <c r="AN119" s="2913"/>
      <c r="AO119" s="2869"/>
      <c r="AP119" s="2913"/>
      <c r="AQ119" s="2869"/>
      <c r="AR119" s="2913"/>
      <c r="AS119" s="2869"/>
      <c r="AT119" s="2913"/>
      <c r="AU119" s="2869"/>
      <c r="AV119" s="2913"/>
      <c r="AW119" s="2869"/>
      <c r="AX119" s="2913"/>
      <c r="AY119" s="2869"/>
      <c r="AZ119" s="2913"/>
      <c r="BA119" s="2869"/>
      <c r="BB119" s="3003"/>
      <c r="BC119" s="2869"/>
      <c r="BD119" s="2913"/>
      <c r="BE119" s="2869"/>
      <c r="BF119" s="3003"/>
      <c r="BG119" s="2869"/>
      <c r="BH119" s="2869"/>
      <c r="BI119" s="2854"/>
      <c r="BJ119" s="2869"/>
      <c r="BK119" s="2855"/>
      <c r="BL119" s="2869"/>
      <c r="BM119" s="2869"/>
      <c r="BN119" s="2842"/>
      <c r="BO119" s="2842"/>
      <c r="BP119" s="2842"/>
      <c r="BQ119" s="2842"/>
      <c r="BR119" s="2848"/>
    </row>
    <row r="120" spans="1:70" ht="50.25" customHeight="1" x14ac:dyDescent="0.2">
      <c r="A120" s="1938"/>
      <c r="D120" s="1939"/>
      <c r="G120" s="1939"/>
      <c r="J120" s="2848"/>
      <c r="K120" s="2825"/>
      <c r="L120" s="2861"/>
      <c r="M120" s="2869"/>
      <c r="N120" s="2992"/>
      <c r="O120" s="2824"/>
      <c r="P120" s="2824"/>
      <c r="Q120" s="2998"/>
      <c r="R120" s="2859"/>
      <c r="S120" s="3001"/>
      <c r="T120" s="2825"/>
      <c r="U120" s="2839"/>
      <c r="V120" s="2055" t="s">
        <v>1845</v>
      </c>
      <c r="W120" s="2058">
        <v>1200000</v>
      </c>
      <c r="X120" s="2059">
        <v>600000</v>
      </c>
      <c r="Y120" s="2059">
        <v>300000</v>
      </c>
      <c r="Z120" s="1944">
        <v>20</v>
      </c>
      <c r="AA120" s="1916" t="s">
        <v>1758</v>
      </c>
      <c r="AB120" s="2913"/>
      <c r="AC120" s="2869"/>
      <c r="AD120" s="2996"/>
      <c r="AE120" s="2869"/>
      <c r="AF120" s="2913"/>
      <c r="AG120" s="2869"/>
      <c r="AH120" s="2913"/>
      <c r="AI120" s="2869"/>
      <c r="AJ120" s="2913"/>
      <c r="AK120" s="2869"/>
      <c r="AL120" s="2913"/>
      <c r="AM120" s="2869"/>
      <c r="AN120" s="2913"/>
      <c r="AO120" s="2869"/>
      <c r="AP120" s="2913"/>
      <c r="AQ120" s="2869"/>
      <c r="AR120" s="2913"/>
      <c r="AS120" s="2869"/>
      <c r="AT120" s="2913"/>
      <c r="AU120" s="2869"/>
      <c r="AV120" s="2913"/>
      <c r="AW120" s="2869"/>
      <c r="AX120" s="2913"/>
      <c r="AY120" s="2869"/>
      <c r="AZ120" s="2913"/>
      <c r="BA120" s="2869"/>
      <c r="BB120" s="3003"/>
      <c r="BC120" s="2869"/>
      <c r="BD120" s="2913"/>
      <c r="BE120" s="2869"/>
      <c r="BF120" s="3003"/>
      <c r="BG120" s="2869"/>
      <c r="BH120" s="2869"/>
      <c r="BI120" s="2854"/>
      <c r="BJ120" s="2869"/>
      <c r="BK120" s="2855"/>
      <c r="BL120" s="2869"/>
      <c r="BM120" s="2869"/>
      <c r="BN120" s="2842"/>
      <c r="BO120" s="2842"/>
      <c r="BP120" s="2842"/>
      <c r="BQ120" s="2842"/>
      <c r="BR120" s="2848"/>
    </row>
    <row r="121" spans="1:70" ht="50.25" customHeight="1" x14ac:dyDescent="0.2">
      <c r="A121" s="1938"/>
      <c r="D121" s="1939"/>
      <c r="G121" s="1939"/>
      <c r="J121" s="2848"/>
      <c r="K121" s="2825"/>
      <c r="L121" s="2861"/>
      <c r="M121" s="2869"/>
      <c r="N121" s="2992"/>
      <c r="O121" s="2824"/>
      <c r="P121" s="2824"/>
      <c r="Q121" s="2998"/>
      <c r="R121" s="2859"/>
      <c r="S121" s="3001"/>
      <c r="T121" s="2825"/>
      <c r="U121" s="2839"/>
      <c r="V121" s="2055" t="s">
        <v>1846</v>
      </c>
      <c r="W121" s="2058">
        <v>1200000</v>
      </c>
      <c r="X121" s="2059">
        <v>600000</v>
      </c>
      <c r="Y121" s="2059">
        <v>300000</v>
      </c>
      <c r="Z121" s="1944">
        <v>20</v>
      </c>
      <c r="AA121" s="1916" t="s">
        <v>1758</v>
      </c>
      <c r="AB121" s="2913"/>
      <c r="AC121" s="2869"/>
      <c r="AD121" s="2996"/>
      <c r="AE121" s="2869"/>
      <c r="AF121" s="2913"/>
      <c r="AG121" s="2869"/>
      <c r="AH121" s="2913"/>
      <c r="AI121" s="2869"/>
      <c r="AJ121" s="2913"/>
      <c r="AK121" s="2869"/>
      <c r="AL121" s="2913"/>
      <c r="AM121" s="2869"/>
      <c r="AN121" s="2913"/>
      <c r="AO121" s="2869"/>
      <c r="AP121" s="2913"/>
      <c r="AQ121" s="2869"/>
      <c r="AR121" s="2913"/>
      <c r="AS121" s="2869"/>
      <c r="AT121" s="2913"/>
      <c r="AU121" s="2869"/>
      <c r="AV121" s="2913"/>
      <c r="AW121" s="2869"/>
      <c r="AX121" s="2913"/>
      <c r="AY121" s="2869"/>
      <c r="AZ121" s="2913"/>
      <c r="BA121" s="2869"/>
      <c r="BB121" s="3003"/>
      <c r="BC121" s="2869"/>
      <c r="BD121" s="2913"/>
      <c r="BE121" s="2869"/>
      <c r="BF121" s="3003"/>
      <c r="BG121" s="2869"/>
      <c r="BH121" s="2869"/>
      <c r="BI121" s="2854"/>
      <c r="BJ121" s="2869"/>
      <c r="BK121" s="2855"/>
      <c r="BL121" s="2869"/>
      <c r="BM121" s="2869"/>
      <c r="BN121" s="2842"/>
      <c r="BO121" s="2842"/>
      <c r="BP121" s="2842"/>
      <c r="BQ121" s="2842"/>
      <c r="BR121" s="2848"/>
    </row>
    <row r="122" spans="1:70" ht="50.25" customHeight="1" x14ac:dyDescent="0.2">
      <c r="A122" s="1938"/>
      <c r="D122" s="1939"/>
      <c r="G122" s="1939"/>
      <c r="J122" s="2848"/>
      <c r="K122" s="2825"/>
      <c r="L122" s="2861"/>
      <c r="M122" s="2869"/>
      <c r="N122" s="2992"/>
      <c r="O122" s="2824"/>
      <c r="P122" s="2824"/>
      <c r="Q122" s="2998"/>
      <c r="R122" s="2859"/>
      <c r="S122" s="3001"/>
      <c r="T122" s="2825"/>
      <c r="U122" s="2839"/>
      <c r="V122" s="2055" t="s">
        <v>1847</v>
      </c>
      <c r="W122" s="2058">
        <v>300000</v>
      </c>
      <c r="X122" s="2059">
        <v>300000</v>
      </c>
      <c r="Y122" s="2059"/>
      <c r="Z122" s="1944">
        <v>20</v>
      </c>
      <c r="AA122" s="1916" t="s">
        <v>1758</v>
      </c>
      <c r="AB122" s="2913"/>
      <c r="AC122" s="2869"/>
      <c r="AD122" s="2996"/>
      <c r="AE122" s="2869"/>
      <c r="AF122" s="2913"/>
      <c r="AG122" s="2869"/>
      <c r="AH122" s="2913"/>
      <c r="AI122" s="2869"/>
      <c r="AJ122" s="2913"/>
      <c r="AK122" s="2869"/>
      <c r="AL122" s="2913"/>
      <c r="AM122" s="2869"/>
      <c r="AN122" s="2913"/>
      <c r="AO122" s="2869"/>
      <c r="AP122" s="2913"/>
      <c r="AQ122" s="2869"/>
      <c r="AR122" s="2913"/>
      <c r="AS122" s="2869"/>
      <c r="AT122" s="2913"/>
      <c r="AU122" s="2869"/>
      <c r="AV122" s="2913"/>
      <c r="AW122" s="2869"/>
      <c r="AX122" s="2913"/>
      <c r="AY122" s="2869"/>
      <c r="AZ122" s="2913"/>
      <c r="BA122" s="2869"/>
      <c r="BB122" s="3003"/>
      <c r="BC122" s="2869"/>
      <c r="BD122" s="2913"/>
      <c r="BE122" s="2869"/>
      <c r="BF122" s="3003"/>
      <c r="BG122" s="2869"/>
      <c r="BH122" s="2869"/>
      <c r="BI122" s="2854"/>
      <c r="BJ122" s="2869"/>
      <c r="BK122" s="2855"/>
      <c r="BL122" s="2869"/>
      <c r="BM122" s="2869"/>
      <c r="BN122" s="2842"/>
      <c r="BO122" s="2842"/>
      <c r="BP122" s="2842"/>
      <c r="BQ122" s="2842"/>
      <c r="BR122" s="2848"/>
    </row>
    <row r="123" spans="1:70" ht="50.25" customHeight="1" x14ac:dyDescent="0.2">
      <c r="A123" s="1938"/>
      <c r="D123" s="1939"/>
      <c r="G123" s="1939"/>
      <c r="J123" s="2848"/>
      <c r="K123" s="2825"/>
      <c r="L123" s="2861"/>
      <c r="M123" s="2869"/>
      <c r="N123" s="2992"/>
      <c r="O123" s="2824"/>
      <c r="P123" s="2824"/>
      <c r="Q123" s="2998"/>
      <c r="R123" s="2859"/>
      <c r="S123" s="3001"/>
      <c r="T123" s="2825"/>
      <c r="U123" s="2839"/>
      <c r="V123" s="2055" t="s">
        <v>1848</v>
      </c>
      <c r="W123" s="2058">
        <v>3760000</v>
      </c>
      <c r="X123" s="2059"/>
      <c r="Y123" s="2059"/>
      <c r="Z123" s="1944">
        <v>20</v>
      </c>
      <c r="AA123" s="1916" t="s">
        <v>1758</v>
      </c>
      <c r="AB123" s="2913"/>
      <c r="AC123" s="2869"/>
      <c r="AD123" s="2996"/>
      <c r="AE123" s="2869"/>
      <c r="AF123" s="2913"/>
      <c r="AG123" s="2869"/>
      <c r="AH123" s="2913"/>
      <c r="AI123" s="2869"/>
      <c r="AJ123" s="2913"/>
      <c r="AK123" s="2869"/>
      <c r="AL123" s="2913"/>
      <c r="AM123" s="2869"/>
      <c r="AN123" s="2913"/>
      <c r="AO123" s="2869"/>
      <c r="AP123" s="2913"/>
      <c r="AQ123" s="2869"/>
      <c r="AR123" s="2913"/>
      <c r="AS123" s="2869"/>
      <c r="AT123" s="2913"/>
      <c r="AU123" s="2869"/>
      <c r="AV123" s="2913"/>
      <c r="AW123" s="2869"/>
      <c r="AX123" s="2913"/>
      <c r="AY123" s="2869"/>
      <c r="AZ123" s="2913"/>
      <c r="BA123" s="2869"/>
      <c r="BB123" s="3003"/>
      <c r="BC123" s="2869"/>
      <c r="BD123" s="2913"/>
      <c r="BE123" s="2869"/>
      <c r="BF123" s="3003"/>
      <c r="BG123" s="2869"/>
      <c r="BH123" s="2869"/>
      <c r="BI123" s="2854"/>
      <c r="BJ123" s="2869"/>
      <c r="BK123" s="2855"/>
      <c r="BL123" s="2869"/>
      <c r="BM123" s="2869"/>
      <c r="BN123" s="2842"/>
      <c r="BO123" s="2842"/>
      <c r="BP123" s="2842"/>
      <c r="BQ123" s="2842"/>
      <c r="BR123" s="2848"/>
    </row>
    <row r="124" spans="1:70" ht="50.25" customHeight="1" x14ac:dyDescent="0.2">
      <c r="A124" s="1938"/>
      <c r="D124" s="1939"/>
      <c r="G124" s="1939"/>
      <c r="J124" s="2848"/>
      <c r="K124" s="2825"/>
      <c r="L124" s="2861"/>
      <c r="M124" s="2869"/>
      <c r="N124" s="2992"/>
      <c r="O124" s="2824"/>
      <c r="P124" s="2824"/>
      <c r="Q124" s="2998"/>
      <c r="R124" s="2859"/>
      <c r="S124" s="3001"/>
      <c r="T124" s="2825"/>
      <c r="U124" s="2839"/>
      <c r="V124" s="2055" t="s">
        <v>1849</v>
      </c>
      <c r="W124" s="2058">
        <v>3760000</v>
      </c>
      <c r="X124" s="2059"/>
      <c r="Y124" s="2059"/>
      <c r="Z124" s="1944">
        <v>20</v>
      </c>
      <c r="AA124" s="1916" t="s">
        <v>1758</v>
      </c>
      <c r="AB124" s="2913"/>
      <c r="AC124" s="2869"/>
      <c r="AD124" s="2996"/>
      <c r="AE124" s="2869"/>
      <c r="AF124" s="2913"/>
      <c r="AG124" s="2869"/>
      <c r="AH124" s="2913"/>
      <c r="AI124" s="2869"/>
      <c r="AJ124" s="2913"/>
      <c r="AK124" s="2869"/>
      <c r="AL124" s="2913"/>
      <c r="AM124" s="2869"/>
      <c r="AN124" s="2913"/>
      <c r="AO124" s="2869"/>
      <c r="AP124" s="2913"/>
      <c r="AQ124" s="2869"/>
      <c r="AR124" s="2913"/>
      <c r="AS124" s="2869"/>
      <c r="AT124" s="2913"/>
      <c r="AU124" s="2869"/>
      <c r="AV124" s="2913"/>
      <c r="AW124" s="2869"/>
      <c r="AX124" s="2913"/>
      <c r="AY124" s="2869"/>
      <c r="AZ124" s="2913"/>
      <c r="BA124" s="2869"/>
      <c r="BB124" s="3003"/>
      <c r="BC124" s="2869"/>
      <c r="BD124" s="2913"/>
      <c r="BE124" s="2869"/>
      <c r="BF124" s="3003"/>
      <c r="BG124" s="2869"/>
      <c r="BH124" s="2869"/>
      <c r="BI124" s="2854"/>
      <c r="BJ124" s="2869"/>
      <c r="BK124" s="2855"/>
      <c r="BL124" s="2869"/>
      <c r="BM124" s="2869"/>
      <c r="BN124" s="2842"/>
      <c r="BO124" s="2842"/>
      <c r="BP124" s="2842"/>
      <c r="BQ124" s="2842"/>
      <c r="BR124" s="2848"/>
    </row>
    <row r="125" spans="1:70" ht="50.25" customHeight="1" x14ac:dyDescent="0.2">
      <c r="A125" s="1938"/>
      <c r="D125" s="1939"/>
      <c r="G125" s="1939"/>
      <c r="J125" s="2848"/>
      <c r="K125" s="2825"/>
      <c r="L125" s="2861"/>
      <c r="M125" s="2869"/>
      <c r="N125" s="2992"/>
      <c r="O125" s="2824"/>
      <c r="P125" s="2824"/>
      <c r="Q125" s="2998"/>
      <c r="R125" s="2859"/>
      <c r="S125" s="3001"/>
      <c r="T125" s="2825"/>
      <c r="U125" s="2839"/>
      <c r="V125" s="2061" t="s">
        <v>1850</v>
      </c>
      <c r="W125" s="2059">
        <f>0+3500000</f>
        <v>3500000</v>
      </c>
      <c r="X125" s="2059"/>
      <c r="Y125" s="2059"/>
      <c r="Z125" s="1944">
        <v>88</v>
      </c>
      <c r="AA125" s="1944" t="s">
        <v>369</v>
      </c>
      <c r="AB125" s="2913"/>
      <c r="AC125" s="2869"/>
      <c r="AD125" s="2996"/>
      <c r="AE125" s="2869"/>
      <c r="AF125" s="2913"/>
      <c r="AG125" s="2869"/>
      <c r="AH125" s="2913"/>
      <c r="AI125" s="2869"/>
      <c r="AJ125" s="2913"/>
      <c r="AK125" s="2869"/>
      <c r="AL125" s="2913"/>
      <c r="AM125" s="2869"/>
      <c r="AN125" s="2913"/>
      <c r="AO125" s="2869"/>
      <c r="AP125" s="2913"/>
      <c r="AQ125" s="2869"/>
      <c r="AR125" s="2913"/>
      <c r="AS125" s="2869"/>
      <c r="AT125" s="2913"/>
      <c r="AU125" s="2869"/>
      <c r="AV125" s="2913"/>
      <c r="AW125" s="2869"/>
      <c r="AX125" s="2913"/>
      <c r="AY125" s="2869"/>
      <c r="AZ125" s="2913"/>
      <c r="BA125" s="2869"/>
      <c r="BB125" s="3003"/>
      <c r="BC125" s="2869"/>
      <c r="BD125" s="2913"/>
      <c r="BE125" s="2869"/>
      <c r="BF125" s="3003"/>
      <c r="BG125" s="2869"/>
      <c r="BH125" s="2869"/>
      <c r="BI125" s="2854"/>
      <c r="BJ125" s="2869"/>
      <c r="BK125" s="2855"/>
      <c r="BL125" s="2869"/>
      <c r="BM125" s="2869"/>
      <c r="BN125" s="2842"/>
      <c r="BO125" s="2842"/>
      <c r="BP125" s="2842"/>
      <c r="BQ125" s="2842"/>
      <c r="BR125" s="2848"/>
    </row>
    <row r="126" spans="1:70" ht="50.25" customHeight="1" x14ac:dyDescent="0.2">
      <c r="A126" s="1938"/>
      <c r="D126" s="1939"/>
      <c r="G126" s="1939"/>
      <c r="J126" s="2848"/>
      <c r="K126" s="2825"/>
      <c r="L126" s="2861"/>
      <c r="M126" s="2869"/>
      <c r="N126" s="2992"/>
      <c r="O126" s="2824"/>
      <c r="P126" s="2824"/>
      <c r="Q126" s="2998"/>
      <c r="R126" s="2859"/>
      <c r="S126" s="3001"/>
      <c r="T126" s="2825"/>
      <c r="U126" s="2840"/>
      <c r="V126" s="2061" t="s">
        <v>1851</v>
      </c>
      <c r="W126" s="2059">
        <f>0+6500000</f>
        <v>6500000</v>
      </c>
      <c r="X126" s="2059"/>
      <c r="Y126" s="2059"/>
      <c r="Z126" s="1944">
        <v>88</v>
      </c>
      <c r="AA126" s="1944" t="s">
        <v>369</v>
      </c>
      <c r="AB126" s="2913"/>
      <c r="AC126" s="2869"/>
      <c r="AD126" s="2996"/>
      <c r="AE126" s="2869"/>
      <c r="AF126" s="2913"/>
      <c r="AG126" s="2869"/>
      <c r="AH126" s="2913"/>
      <c r="AI126" s="2869"/>
      <c r="AJ126" s="2913"/>
      <c r="AK126" s="2869"/>
      <c r="AL126" s="2913"/>
      <c r="AM126" s="2869"/>
      <c r="AN126" s="2913"/>
      <c r="AO126" s="2869"/>
      <c r="AP126" s="2913"/>
      <c r="AQ126" s="2869"/>
      <c r="AR126" s="2913"/>
      <c r="AS126" s="2869"/>
      <c r="AT126" s="2913"/>
      <c r="AU126" s="2869"/>
      <c r="AV126" s="2913"/>
      <c r="AW126" s="2869"/>
      <c r="AX126" s="2913"/>
      <c r="AY126" s="2869"/>
      <c r="AZ126" s="2913"/>
      <c r="BA126" s="2869"/>
      <c r="BB126" s="3003"/>
      <c r="BC126" s="2869"/>
      <c r="BD126" s="2913"/>
      <c r="BE126" s="2869"/>
      <c r="BF126" s="3003"/>
      <c r="BG126" s="2869"/>
      <c r="BH126" s="2869"/>
      <c r="BI126" s="2854"/>
      <c r="BJ126" s="2869"/>
      <c r="BK126" s="2855"/>
      <c r="BL126" s="2869"/>
      <c r="BM126" s="2869"/>
      <c r="BN126" s="2842"/>
      <c r="BO126" s="2842"/>
      <c r="BP126" s="2842"/>
      <c r="BQ126" s="2842"/>
      <c r="BR126" s="2848"/>
    </row>
    <row r="127" spans="1:70" ht="104.25" customHeight="1" x14ac:dyDescent="0.2">
      <c r="A127" s="1938"/>
      <c r="D127" s="1939"/>
      <c r="G127" s="1939"/>
      <c r="J127" s="2907"/>
      <c r="K127" s="2838"/>
      <c r="L127" s="2861"/>
      <c r="M127" s="2869"/>
      <c r="N127" s="2992"/>
      <c r="O127" s="2824"/>
      <c r="P127" s="2824"/>
      <c r="Q127" s="2998"/>
      <c r="R127" s="2859"/>
      <c r="S127" s="3001"/>
      <c r="T127" s="2825"/>
      <c r="U127" s="2020" t="s">
        <v>1852</v>
      </c>
      <c r="V127" s="2062" t="s">
        <v>1853</v>
      </c>
      <c r="W127" s="2058">
        <v>3760000</v>
      </c>
      <c r="X127" s="2058"/>
      <c r="Y127" s="2058"/>
      <c r="Z127" s="1916" t="s">
        <v>852</v>
      </c>
      <c r="AA127" s="1916" t="s">
        <v>1758</v>
      </c>
      <c r="AB127" s="2953"/>
      <c r="AC127" s="2869"/>
      <c r="AD127" s="2954"/>
      <c r="AE127" s="2869"/>
      <c r="AF127" s="2941"/>
      <c r="AG127" s="2869"/>
      <c r="AH127" s="2941"/>
      <c r="AI127" s="2869"/>
      <c r="AJ127" s="2941"/>
      <c r="AK127" s="2869"/>
      <c r="AL127" s="2941"/>
      <c r="AM127" s="2869"/>
      <c r="AN127" s="2941"/>
      <c r="AO127" s="2869"/>
      <c r="AP127" s="2941"/>
      <c r="AQ127" s="2869"/>
      <c r="AR127" s="2941"/>
      <c r="AS127" s="2869"/>
      <c r="AT127" s="2941"/>
      <c r="AU127" s="2869"/>
      <c r="AV127" s="2941"/>
      <c r="AW127" s="2869"/>
      <c r="AX127" s="2941"/>
      <c r="AY127" s="2869"/>
      <c r="AZ127" s="2941"/>
      <c r="BA127" s="2869"/>
      <c r="BB127" s="3004"/>
      <c r="BC127" s="2869"/>
      <c r="BD127" s="2941"/>
      <c r="BE127" s="2869"/>
      <c r="BF127" s="3004"/>
      <c r="BG127" s="2869"/>
      <c r="BH127" s="2869"/>
      <c r="BI127" s="2854"/>
      <c r="BJ127" s="2869"/>
      <c r="BK127" s="2855"/>
      <c r="BL127" s="2869"/>
      <c r="BM127" s="2869"/>
      <c r="BN127" s="2842"/>
      <c r="BO127" s="2842"/>
      <c r="BP127" s="2842"/>
      <c r="BQ127" s="2842"/>
      <c r="BR127" s="2848"/>
    </row>
    <row r="128" spans="1:70" s="2066" customFormat="1" ht="89.25" customHeight="1" x14ac:dyDescent="0.2">
      <c r="A128" s="2063"/>
      <c r="B128" s="2064"/>
      <c r="C128" s="2064"/>
      <c r="D128" s="2064"/>
      <c r="E128" s="2064"/>
      <c r="F128" s="2064"/>
      <c r="G128" s="2064"/>
      <c r="H128" s="2064"/>
      <c r="I128" s="2064"/>
      <c r="J128" s="3005">
        <v>267</v>
      </c>
      <c r="K128" s="3006" t="s">
        <v>1854</v>
      </c>
      <c r="L128" s="1343" t="s">
        <v>1855</v>
      </c>
      <c r="M128" s="2065">
        <v>1</v>
      </c>
      <c r="N128" s="3007"/>
      <c r="O128" s="2824" t="s">
        <v>1856</v>
      </c>
      <c r="P128" s="3009" t="s">
        <v>1857</v>
      </c>
      <c r="Q128" s="2998" t="s">
        <v>1858</v>
      </c>
      <c r="R128" s="3012">
        <f>SUM(W128+W129)/S128</f>
        <v>0.10732699054937611</v>
      </c>
      <c r="S128" s="3014">
        <f>SUM(W128:W148)</f>
        <v>232187634</v>
      </c>
      <c r="T128" s="2825" t="s">
        <v>1859</v>
      </c>
      <c r="U128" s="3016" t="s">
        <v>1860</v>
      </c>
      <c r="V128" s="3018" t="s">
        <v>1861</v>
      </c>
      <c r="W128" s="1913">
        <v>9500000</v>
      </c>
      <c r="X128" s="1913"/>
      <c r="Y128" s="1913"/>
      <c r="Z128" s="1916" t="s">
        <v>852</v>
      </c>
      <c r="AA128" s="1916" t="s">
        <v>71</v>
      </c>
      <c r="AB128" s="2929">
        <v>294321</v>
      </c>
      <c r="AC128" s="2912"/>
      <c r="AD128" s="2868">
        <v>283947</v>
      </c>
      <c r="AE128" s="2912"/>
      <c r="AF128" s="2869">
        <v>135754</v>
      </c>
      <c r="AG128" s="2912"/>
      <c r="AH128" s="2869">
        <v>44640</v>
      </c>
      <c r="AI128" s="2912"/>
      <c r="AJ128" s="2869">
        <v>308178</v>
      </c>
      <c r="AK128" s="2912"/>
      <c r="AL128" s="2869">
        <v>89696</v>
      </c>
      <c r="AM128" s="2912"/>
      <c r="AN128" s="2869">
        <v>2145</v>
      </c>
      <c r="AO128" s="2912"/>
      <c r="AP128" s="2869">
        <v>12718</v>
      </c>
      <c r="AQ128" s="2912"/>
      <c r="AR128" s="2869">
        <v>26</v>
      </c>
      <c r="AS128" s="2912"/>
      <c r="AT128" s="2869">
        <v>37</v>
      </c>
      <c r="AU128" s="2912"/>
      <c r="AV128" s="2869"/>
      <c r="AW128" s="2912"/>
      <c r="AX128" s="2869"/>
      <c r="AY128" s="2912"/>
      <c r="AZ128" s="2869">
        <v>54612</v>
      </c>
      <c r="BA128" s="2912"/>
      <c r="BB128" s="2869">
        <v>16982</v>
      </c>
      <c r="BC128" s="2912"/>
      <c r="BD128" s="2912">
        <v>1010</v>
      </c>
      <c r="BE128" s="2912"/>
      <c r="BF128" s="2869">
        <f>AB128+AD128</f>
        <v>578268</v>
      </c>
      <c r="BG128" s="2912"/>
      <c r="BH128" s="2912">
        <v>5</v>
      </c>
      <c r="BI128" s="3032">
        <f>SUM(X128:X148)</f>
        <v>83246566</v>
      </c>
      <c r="BJ128" s="3032">
        <f>SUM(Y128:Y148)</f>
        <v>24296000</v>
      </c>
      <c r="BK128" s="2863">
        <f>BJ128/BI128</f>
        <v>0.29185588267989337</v>
      </c>
      <c r="BL128" s="2912" t="s">
        <v>71</v>
      </c>
      <c r="BM128" s="2907" t="s">
        <v>1862</v>
      </c>
      <c r="BN128" s="2842">
        <v>43102</v>
      </c>
      <c r="BO128" s="2842">
        <v>43116</v>
      </c>
      <c r="BP128" s="2842">
        <v>43465</v>
      </c>
      <c r="BQ128" s="2842">
        <v>43465</v>
      </c>
      <c r="BR128" s="2848" t="s">
        <v>1793</v>
      </c>
    </row>
    <row r="129" spans="1:70" ht="50.25" customHeight="1" x14ac:dyDescent="0.2">
      <c r="J129" s="3005"/>
      <c r="K129" s="3006"/>
      <c r="L129" s="2068"/>
      <c r="M129" s="2069"/>
      <c r="N129" s="3008"/>
      <c r="O129" s="2824"/>
      <c r="P129" s="3009"/>
      <c r="Q129" s="2998"/>
      <c r="R129" s="3013"/>
      <c r="S129" s="3014"/>
      <c r="T129" s="2825"/>
      <c r="U129" s="3017"/>
      <c r="V129" s="3019"/>
      <c r="W129" s="2070">
        <f>0+15420000</f>
        <v>15420000</v>
      </c>
      <c r="X129" s="1913"/>
      <c r="Y129" s="1913"/>
      <c r="Z129" s="2071">
        <v>88</v>
      </c>
      <c r="AA129" s="2028" t="s">
        <v>369</v>
      </c>
      <c r="AB129" s="2929"/>
      <c r="AC129" s="2913"/>
      <c r="AD129" s="2868"/>
      <c r="AE129" s="2913"/>
      <c r="AF129" s="2869"/>
      <c r="AG129" s="2913"/>
      <c r="AH129" s="2869"/>
      <c r="AI129" s="2913"/>
      <c r="AJ129" s="2869"/>
      <c r="AK129" s="2913"/>
      <c r="AL129" s="2869"/>
      <c r="AM129" s="2913"/>
      <c r="AN129" s="2869"/>
      <c r="AO129" s="2913"/>
      <c r="AP129" s="2869"/>
      <c r="AQ129" s="2913"/>
      <c r="AR129" s="2869"/>
      <c r="AS129" s="2913"/>
      <c r="AT129" s="2869"/>
      <c r="AU129" s="2913"/>
      <c r="AV129" s="2869"/>
      <c r="AW129" s="2913"/>
      <c r="AX129" s="2869"/>
      <c r="AY129" s="2913"/>
      <c r="AZ129" s="2869"/>
      <c r="BA129" s="2913"/>
      <c r="BB129" s="2869"/>
      <c r="BC129" s="2913"/>
      <c r="BD129" s="2913"/>
      <c r="BE129" s="2913"/>
      <c r="BF129" s="2869"/>
      <c r="BG129" s="2913"/>
      <c r="BH129" s="2913"/>
      <c r="BI129" s="3033"/>
      <c r="BJ129" s="3033"/>
      <c r="BK129" s="2864"/>
      <c r="BL129" s="2913"/>
      <c r="BM129" s="2913"/>
      <c r="BN129" s="2842"/>
      <c r="BO129" s="2842"/>
      <c r="BP129" s="2842"/>
      <c r="BQ129" s="2842"/>
      <c r="BR129" s="2848"/>
    </row>
    <row r="130" spans="1:70" ht="50.25" customHeight="1" x14ac:dyDescent="0.2">
      <c r="A130" s="1938"/>
      <c r="D130" s="1939"/>
      <c r="G130" s="1939"/>
      <c r="I130" s="2072"/>
      <c r="J130" s="2784">
        <v>268</v>
      </c>
      <c r="K130" s="2982" t="s">
        <v>1863</v>
      </c>
      <c r="L130" s="3027" t="s">
        <v>1864</v>
      </c>
      <c r="M130" s="3007">
        <v>12</v>
      </c>
      <c r="N130" s="3007">
        <v>6</v>
      </c>
      <c r="O130" s="2824"/>
      <c r="P130" s="3009"/>
      <c r="Q130" s="2998"/>
      <c r="R130" s="3012">
        <f>(W130+W131+W132)/S128</f>
        <v>0.13075631753928807</v>
      </c>
      <c r="S130" s="3014"/>
      <c r="T130" s="2825"/>
      <c r="U130" s="2825" t="s">
        <v>1865</v>
      </c>
      <c r="V130" s="3021" t="s">
        <v>1866</v>
      </c>
      <c r="W130" s="2039">
        <v>19720000</v>
      </c>
      <c r="X130" s="1913">
        <v>13616933</v>
      </c>
      <c r="Y130" s="1913">
        <v>2798000</v>
      </c>
      <c r="Z130" s="2073" t="s">
        <v>689</v>
      </c>
      <c r="AA130" s="2015" t="s">
        <v>71</v>
      </c>
      <c r="AB130" s="2929"/>
      <c r="AC130" s="2913"/>
      <c r="AD130" s="2868"/>
      <c r="AE130" s="2913"/>
      <c r="AF130" s="2869"/>
      <c r="AG130" s="2913"/>
      <c r="AH130" s="2869"/>
      <c r="AI130" s="2913"/>
      <c r="AJ130" s="2869"/>
      <c r="AK130" s="2913"/>
      <c r="AL130" s="2869"/>
      <c r="AM130" s="2913"/>
      <c r="AN130" s="2869"/>
      <c r="AO130" s="2913"/>
      <c r="AP130" s="2869"/>
      <c r="AQ130" s="2913"/>
      <c r="AR130" s="2869"/>
      <c r="AS130" s="2913"/>
      <c r="AT130" s="2869"/>
      <c r="AU130" s="2913"/>
      <c r="AV130" s="2869"/>
      <c r="AW130" s="2913"/>
      <c r="AX130" s="2869"/>
      <c r="AY130" s="2913"/>
      <c r="AZ130" s="2869"/>
      <c r="BA130" s="2913"/>
      <c r="BB130" s="2869"/>
      <c r="BC130" s="2913"/>
      <c r="BD130" s="2913"/>
      <c r="BE130" s="2913"/>
      <c r="BF130" s="2869"/>
      <c r="BG130" s="2913"/>
      <c r="BH130" s="2913"/>
      <c r="BI130" s="3033"/>
      <c r="BJ130" s="3033"/>
      <c r="BK130" s="2864"/>
      <c r="BL130" s="2913"/>
      <c r="BM130" s="2913"/>
      <c r="BN130" s="2842"/>
      <c r="BO130" s="2842"/>
      <c r="BP130" s="2842"/>
      <c r="BQ130" s="2842"/>
      <c r="BR130" s="2848"/>
    </row>
    <row r="131" spans="1:70" ht="50.25" customHeight="1" x14ac:dyDescent="0.2">
      <c r="A131" s="1938"/>
      <c r="D131" s="1939"/>
      <c r="G131" s="1939"/>
      <c r="I131" s="2072"/>
      <c r="J131" s="2784"/>
      <c r="K131" s="2982"/>
      <c r="L131" s="3028"/>
      <c r="M131" s="3030"/>
      <c r="N131" s="3030"/>
      <c r="O131" s="2824"/>
      <c r="P131" s="3009"/>
      <c r="Q131" s="2998"/>
      <c r="R131" s="3031"/>
      <c r="S131" s="3014"/>
      <c r="T131" s="2825"/>
      <c r="U131" s="2825"/>
      <c r="V131" s="3022"/>
      <c r="W131" s="2010">
        <f>0+9860000</f>
        <v>9860000</v>
      </c>
      <c r="X131" s="2052"/>
      <c r="Y131" s="2052"/>
      <c r="Z131" s="2011">
        <v>88</v>
      </c>
      <c r="AA131" s="2011" t="s">
        <v>369</v>
      </c>
      <c r="AB131" s="2929"/>
      <c r="AC131" s="2913"/>
      <c r="AD131" s="2868"/>
      <c r="AE131" s="2913"/>
      <c r="AF131" s="2869"/>
      <c r="AG131" s="2913"/>
      <c r="AH131" s="2869"/>
      <c r="AI131" s="2913"/>
      <c r="AJ131" s="2869"/>
      <c r="AK131" s="2913"/>
      <c r="AL131" s="2869"/>
      <c r="AM131" s="2913"/>
      <c r="AN131" s="2869"/>
      <c r="AO131" s="2913"/>
      <c r="AP131" s="2869"/>
      <c r="AQ131" s="2913"/>
      <c r="AR131" s="2869"/>
      <c r="AS131" s="2913"/>
      <c r="AT131" s="2869"/>
      <c r="AU131" s="2913"/>
      <c r="AV131" s="2869"/>
      <c r="AW131" s="2913"/>
      <c r="AX131" s="2869"/>
      <c r="AY131" s="2913"/>
      <c r="AZ131" s="2869"/>
      <c r="BA131" s="2913"/>
      <c r="BB131" s="2869"/>
      <c r="BC131" s="2913"/>
      <c r="BD131" s="2913"/>
      <c r="BE131" s="2913"/>
      <c r="BF131" s="2869"/>
      <c r="BG131" s="2913"/>
      <c r="BH131" s="2913"/>
      <c r="BI131" s="3033"/>
      <c r="BJ131" s="3033"/>
      <c r="BK131" s="2864"/>
      <c r="BL131" s="2913"/>
      <c r="BM131" s="2913"/>
      <c r="BN131" s="2842"/>
      <c r="BO131" s="2842"/>
      <c r="BP131" s="2842"/>
      <c r="BQ131" s="2842"/>
      <c r="BR131" s="2848"/>
    </row>
    <row r="132" spans="1:70" ht="60.75" customHeight="1" x14ac:dyDescent="0.2">
      <c r="A132" s="1938"/>
      <c r="D132" s="1939"/>
      <c r="G132" s="1939"/>
      <c r="I132" s="2072"/>
      <c r="J132" s="2760"/>
      <c r="K132" s="2979"/>
      <c r="L132" s="3029"/>
      <c r="M132" s="3008"/>
      <c r="N132" s="3008"/>
      <c r="O132" s="2824"/>
      <c r="P132" s="3009"/>
      <c r="Q132" s="2998"/>
      <c r="R132" s="3013"/>
      <c r="S132" s="3014"/>
      <c r="T132" s="2825"/>
      <c r="U132" s="2825"/>
      <c r="V132" s="2074" t="s">
        <v>1867</v>
      </c>
      <c r="W132" s="2026">
        <v>780000</v>
      </c>
      <c r="X132" s="2026"/>
      <c r="Y132" s="2026"/>
      <c r="Z132" s="2040" t="s">
        <v>852</v>
      </c>
      <c r="AA132" s="2040" t="s">
        <v>71</v>
      </c>
      <c r="AB132" s="2869"/>
      <c r="AC132" s="2913"/>
      <c r="AD132" s="2868"/>
      <c r="AE132" s="2913"/>
      <c r="AF132" s="2869"/>
      <c r="AG132" s="2913"/>
      <c r="AH132" s="2869"/>
      <c r="AI132" s="2913"/>
      <c r="AJ132" s="2869"/>
      <c r="AK132" s="2913"/>
      <c r="AL132" s="2869"/>
      <c r="AM132" s="2913"/>
      <c r="AN132" s="2869"/>
      <c r="AO132" s="2913"/>
      <c r="AP132" s="2869"/>
      <c r="AQ132" s="2913"/>
      <c r="AR132" s="2869"/>
      <c r="AS132" s="2913"/>
      <c r="AT132" s="2869"/>
      <c r="AU132" s="2913"/>
      <c r="AV132" s="2869"/>
      <c r="AW132" s="2913"/>
      <c r="AX132" s="2869"/>
      <c r="AY132" s="2913"/>
      <c r="AZ132" s="2869"/>
      <c r="BA132" s="2913"/>
      <c r="BB132" s="2869"/>
      <c r="BC132" s="2913"/>
      <c r="BD132" s="2913"/>
      <c r="BE132" s="2913"/>
      <c r="BF132" s="2869"/>
      <c r="BG132" s="2913"/>
      <c r="BH132" s="2913"/>
      <c r="BI132" s="3033"/>
      <c r="BJ132" s="3033"/>
      <c r="BK132" s="2864"/>
      <c r="BL132" s="2913"/>
      <c r="BM132" s="2913"/>
      <c r="BN132" s="2842"/>
      <c r="BO132" s="2842"/>
      <c r="BP132" s="2842"/>
      <c r="BQ132" s="2842"/>
      <c r="BR132" s="2848"/>
    </row>
    <row r="133" spans="1:70" ht="85.5" customHeight="1" x14ac:dyDescent="0.2">
      <c r="A133" s="1938"/>
      <c r="D133" s="1939"/>
      <c r="G133" s="1939"/>
      <c r="I133" s="2072"/>
      <c r="J133" s="2759">
        <v>269</v>
      </c>
      <c r="K133" s="2978" t="s">
        <v>1868</v>
      </c>
      <c r="L133" s="3027" t="s">
        <v>1869</v>
      </c>
      <c r="M133" s="3007">
        <v>12</v>
      </c>
      <c r="N133" s="3007">
        <v>12</v>
      </c>
      <c r="O133" s="2824"/>
      <c r="P133" s="3009"/>
      <c r="Q133" s="2998"/>
      <c r="R133" s="3012">
        <f>(W133+W134)/S128</f>
        <v>9.0444093159586611E-2</v>
      </c>
      <c r="S133" s="3014"/>
      <c r="T133" s="2825"/>
      <c r="U133" s="2825"/>
      <c r="V133" s="2074" t="s">
        <v>1870</v>
      </c>
      <c r="W133" s="1913">
        <v>20300000</v>
      </c>
      <c r="X133" s="1913">
        <v>17915000</v>
      </c>
      <c r="Y133" s="1913">
        <v>7166000</v>
      </c>
      <c r="Z133" s="1916" t="s">
        <v>852</v>
      </c>
      <c r="AA133" s="1916" t="s">
        <v>371</v>
      </c>
      <c r="AB133" s="2869"/>
      <c r="AC133" s="2913"/>
      <c r="AD133" s="2868"/>
      <c r="AE133" s="2913"/>
      <c r="AF133" s="2869"/>
      <c r="AG133" s="2913"/>
      <c r="AH133" s="2869"/>
      <c r="AI133" s="2913"/>
      <c r="AJ133" s="2869"/>
      <c r="AK133" s="2913"/>
      <c r="AL133" s="2869"/>
      <c r="AM133" s="2913"/>
      <c r="AN133" s="2869"/>
      <c r="AO133" s="2913"/>
      <c r="AP133" s="2869"/>
      <c r="AQ133" s="2913"/>
      <c r="AR133" s="2869"/>
      <c r="AS133" s="2913"/>
      <c r="AT133" s="2869"/>
      <c r="AU133" s="2913"/>
      <c r="AV133" s="2869"/>
      <c r="AW133" s="2913"/>
      <c r="AX133" s="2869"/>
      <c r="AY133" s="2913"/>
      <c r="AZ133" s="2869"/>
      <c r="BA133" s="2913"/>
      <c r="BB133" s="2869"/>
      <c r="BC133" s="2913"/>
      <c r="BD133" s="2913"/>
      <c r="BE133" s="2913"/>
      <c r="BF133" s="2869"/>
      <c r="BG133" s="2913"/>
      <c r="BH133" s="2913"/>
      <c r="BI133" s="3033"/>
      <c r="BJ133" s="3033"/>
      <c r="BK133" s="2864"/>
      <c r="BL133" s="2913"/>
      <c r="BM133" s="2913"/>
      <c r="BN133" s="2842"/>
      <c r="BO133" s="2842"/>
      <c r="BP133" s="2842"/>
      <c r="BQ133" s="2842"/>
      <c r="BR133" s="2848"/>
    </row>
    <row r="134" spans="1:70" ht="59.25" customHeight="1" x14ac:dyDescent="0.2">
      <c r="A134" s="1938"/>
      <c r="D134" s="1939"/>
      <c r="G134" s="1939"/>
      <c r="I134" s="2072"/>
      <c r="J134" s="2760"/>
      <c r="K134" s="2979"/>
      <c r="L134" s="3029"/>
      <c r="M134" s="3008"/>
      <c r="N134" s="3008"/>
      <c r="O134" s="2824"/>
      <c r="P134" s="3009"/>
      <c r="Q134" s="2998"/>
      <c r="R134" s="3013"/>
      <c r="S134" s="3014"/>
      <c r="T134" s="2825"/>
      <c r="U134" s="2825"/>
      <c r="V134" s="2074" t="s">
        <v>1867</v>
      </c>
      <c r="W134" s="1913">
        <v>700000</v>
      </c>
      <c r="X134" s="1913"/>
      <c r="Y134" s="1913"/>
      <c r="Z134" s="1916">
        <v>20</v>
      </c>
      <c r="AA134" s="1916" t="s">
        <v>71</v>
      </c>
      <c r="AB134" s="2869"/>
      <c r="AC134" s="2913"/>
      <c r="AD134" s="2868"/>
      <c r="AE134" s="2913"/>
      <c r="AF134" s="2869"/>
      <c r="AG134" s="2913"/>
      <c r="AH134" s="2869"/>
      <c r="AI134" s="2913"/>
      <c r="AJ134" s="2869"/>
      <c r="AK134" s="2913"/>
      <c r="AL134" s="2869"/>
      <c r="AM134" s="2913"/>
      <c r="AN134" s="2869"/>
      <c r="AO134" s="2913"/>
      <c r="AP134" s="2869"/>
      <c r="AQ134" s="2913"/>
      <c r="AR134" s="2869"/>
      <c r="AS134" s="2913"/>
      <c r="AT134" s="2869"/>
      <c r="AU134" s="2913"/>
      <c r="AV134" s="2869"/>
      <c r="AW134" s="2913"/>
      <c r="AX134" s="2869"/>
      <c r="AY134" s="2913"/>
      <c r="AZ134" s="2869"/>
      <c r="BA134" s="2913"/>
      <c r="BB134" s="2869"/>
      <c r="BC134" s="2913"/>
      <c r="BD134" s="2913"/>
      <c r="BE134" s="2913"/>
      <c r="BF134" s="2869"/>
      <c r="BG134" s="2913"/>
      <c r="BH134" s="2913"/>
      <c r="BI134" s="3033"/>
      <c r="BJ134" s="3033"/>
      <c r="BK134" s="2864"/>
      <c r="BL134" s="2913"/>
      <c r="BM134" s="2913"/>
      <c r="BN134" s="2842"/>
      <c r="BO134" s="2842"/>
      <c r="BP134" s="2842"/>
      <c r="BQ134" s="2842"/>
      <c r="BR134" s="2848"/>
    </row>
    <row r="135" spans="1:70" ht="99.75" customHeight="1" x14ac:dyDescent="0.2">
      <c r="A135" s="1938"/>
      <c r="D135" s="1939"/>
      <c r="G135" s="1939"/>
      <c r="I135" s="2072"/>
      <c r="J135" s="2759">
        <v>270</v>
      </c>
      <c r="K135" s="2978" t="s">
        <v>1871</v>
      </c>
      <c r="L135" s="3027" t="s">
        <v>1872</v>
      </c>
      <c r="M135" s="3007">
        <v>12</v>
      </c>
      <c r="N135" s="3007"/>
      <c r="O135" s="2824"/>
      <c r="P135" s="3009"/>
      <c r="Q135" s="2998"/>
      <c r="R135" s="3012">
        <f>(W135+W136)/S128</f>
        <v>9.0444093159586611E-2</v>
      </c>
      <c r="S135" s="3014"/>
      <c r="T135" s="2825"/>
      <c r="U135" s="2825"/>
      <c r="V135" s="2074" t="s">
        <v>1873</v>
      </c>
      <c r="W135" s="1913">
        <v>20300000</v>
      </c>
      <c r="X135" s="1913"/>
      <c r="Y135" s="1913"/>
      <c r="Z135" s="1916" t="s">
        <v>852</v>
      </c>
      <c r="AA135" s="1916" t="s">
        <v>71</v>
      </c>
      <c r="AB135" s="2869"/>
      <c r="AC135" s="2913"/>
      <c r="AD135" s="2868"/>
      <c r="AE135" s="2913"/>
      <c r="AF135" s="2869"/>
      <c r="AG135" s="2913"/>
      <c r="AH135" s="2869"/>
      <c r="AI135" s="2913"/>
      <c r="AJ135" s="2869"/>
      <c r="AK135" s="2913"/>
      <c r="AL135" s="2869"/>
      <c r="AM135" s="2913"/>
      <c r="AN135" s="2869"/>
      <c r="AO135" s="2913"/>
      <c r="AP135" s="2869"/>
      <c r="AQ135" s="2913"/>
      <c r="AR135" s="2869"/>
      <c r="AS135" s="2913"/>
      <c r="AT135" s="2869"/>
      <c r="AU135" s="2913"/>
      <c r="AV135" s="2869"/>
      <c r="AW135" s="2913"/>
      <c r="AX135" s="2869"/>
      <c r="AY135" s="2913"/>
      <c r="AZ135" s="2869"/>
      <c r="BA135" s="2913"/>
      <c r="BB135" s="2869"/>
      <c r="BC135" s="2913"/>
      <c r="BD135" s="2913"/>
      <c r="BE135" s="2913"/>
      <c r="BF135" s="2869"/>
      <c r="BG135" s="2913"/>
      <c r="BH135" s="2913"/>
      <c r="BI135" s="3033"/>
      <c r="BJ135" s="3033"/>
      <c r="BK135" s="2864"/>
      <c r="BL135" s="2913"/>
      <c r="BM135" s="2913"/>
      <c r="BN135" s="2842"/>
      <c r="BO135" s="2842"/>
      <c r="BP135" s="2842"/>
      <c r="BQ135" s="2842"/>
      <c r="BR135" s="2848"/>
    </row>
    <row r="136" spans="1:70" ht="48" customHeight="1" x14ac:dyDescent="0.2">
      <c r="A136" s="1938"/>
      <c r="D136" s="1939"/>
      <c r="G136" s="1939"/>
      <c r="I136" s="2072"/>
      <c r="J136" s="2760"/>
      <c r="K136" s="2979"/>
      <c r="L136" s="3029"/>
      <c r="M136" s="3008"/>
      <c r="N136" s="3008"/>
      <c r="O136" s="2824"/>
      <c r="P136" s="3009"/>
      <c r="Q136" s="2998"/>
      <c r="R136" s="3013"/>
      <c r="S136" s="3014"/>
      <c r="T136" s="2825"/>
      <c r="U136" s="2825"/>
      <c r="V136" s="2074" t="s">
        <v>1867</v>
      </c>
      <c r="W136" s="1913">
        <v>700000</v>
      </c>
      <c r="X136" s="1913"/>
      <c r="Y136" s="1913"/>
      <c r="Z136" s="1916" t="s">
        <v>689</v>
      </c>
      <c r="AA136" s="1916" t="s">
        <v>71</v>
      </c>
      <c r="AB136" s="2869"/>
      <c r="AC136" s="2913"/>
      <c r="AD136" s="2868"/>
      <c r="AE136" s="2913"/>
      <c r="AF136" s="2869"/>
      <c r="AG136" s="2913"/>
      <c r="AH136" s="2869"/>
      <c r="AI136" s="2913"/>
      <c r="AJ136" s="2869"/>
      <c r="AK136" s="2913"/>
      <c r="AL136" s="2869"/>
      <c r="AM136" s="2913"/>
      <c r="AN136" s="2869"/>
      <c r="AO136" s="2913"/>
      <c r="AP136" s="2869"/>
      <c r="AQ136" s="2913"/>
      <c r="AR136" s="2869"/>
      <c r="AS136" s="2913"/>
      <c r="AT136" s="2869"/>
      <c r="AU136" s="2913"/>
      <c r="AV136" s="2869"/>
      <c r="AW136" s="2913"/>
      <c r="AX136" s="2869"/>
      <c r="AY136" s="2913"/>
      <c r="AZ136" s="2869"/>
      <c r="BA136" s="2913"/>
      <c r="BB136" s="2869"/>
      <c r="BC136" s="2913"/>
      <c r="BD136" s="2913"/>
      <c r="BE136" s="2913"/>
      <c r="BF136" s="2869"/>
      <c r="BG136" s="2913"/>
      <c r="BH136" s="2913"/>
      <c r="BI136" s="3033"/>
      <c r="BJ136" s="3033"/>
      <c r="BK136" s="2864"/>
      <c r="BL136" s="2913"/>
      <c r="BM136" s="2913"/>
      <c r="BN136" s="2842"/>
      <c r="BO136" s="2842"/>
      <c r="BP136" s="2842"/>
      <c r="BQ136" s="2842"/>
      <c r="BR136" s="2848"/>
    </row>
    <row r="137" spans="1:70" ht="51" customHeight="1" x14ac:dyDescent="0.2">
      <c r="A137" s="1938"/>
      <c r="D137" s="1939"/>
      <c r="G137" s="1939"/>
      <c r="I137" s="2072"/>
      <c r="J137" s="2759">
        <v>271</v>
      </c>
      <c r="K137" s="2978" t="s">
        <v>1874</v>
      </c>
      <c r="L137" s="3027" t="s">
        <v>1872</v>
      </c>
      <c r="M137" s="3007">
        <v>12</v>
      </c>
      <c r="N137" s="3007">
        <v>12</v>
      </c>
      <c r="O137" s="2824"/>
      <c r="P137" s="3009"/>
      <c r="Q137" s="2998"/>
      <c r="R137" s="3012">
        <f>(W137+W138+W139)/S128</f>
        <v>0.17326504132429379</v>
      </c>
      <c r="S137" s="3014"/>
      <c r="T137" s="2825"/>
      <c r="U137" s="2825"/>
      <c r="V137" s="3023" t="s">
        <v>1875</v>
      </c>
      <c r="W137" s="1913">
        <v>37410000</v>
      </c>
      <c r="X137" s="1913">
        <v>17915000</v>
      </c>
      <c r="Y137" s="1913">
        <v>7166000</v>
      </c>
      <c r="Z137" s="1916" t="s">
        <v>689</v>
      </c>
      <c r="AA137" s="1916" t="s">
        <v>71</v>
      </c>
      <c r="AB137" s="2869"/>
      <c r="AC137" s="2913"/>
      <c r="AD137" s="2868"/>
      <c r="AE137" s="2913"/>
      <c r="AF137" s="2869"/>
      <c r="AG137" s="2913"/>
      <c r="AH137" s="2869"/>
      <c r="AI137" s="2913"/>
      <c r="AJ137" s="2869"/>
      <c r="AK137" s="2913"/>
      <c r="AL137" s="2869"/>
      <c r="AM137" s="2913"/>
      <c r="AN137" s="2869"/>
      <c r="AO137" s="2913"/>
      <c r="AP137" s="2869"/>
      <c r="AQ137" s="2913"/>
      <c r="AR137" s="2869"/>
      <c r="AS137" s="2913"/>
      <c r="AT137" s="2869"/>
      <c r="AU137" s="2913"/>
      <c r="AV137" s="2869"/>
      <c r="AW137" s="2913"/>
      <c r="AX137" s="2869"/>
      <c r="AY137" s="2913"/>
      <c r="AZ137" s="2869"/>
      <c r="BA137" s="2913"/>
      <c r="BB137" s="2869"/>
      <c r="BC137" s="2913"/>
      <c r="BD137" s="2913"/>
      <c r="BE137" s="2913"/>
      <c r="BF137" s="2869"/>
      <c r="BG137" s="2913"/>
      <c r="BH137" s="2913"/>
      <c r="BI137" s="3033"/>
      <c r="BJ137" s="3033"/>
      <c r="BK137" s="2864"/>
      <c r="BL137" s="2913"/>
      <c r="BM137" s="2913"/>
      <c r="BN137" s="2842"/>
      <c r="BO137" s="2842"/>
      <c r="BP137" s="2842"/>
      <c r="BQ137" s="2842"/>
      <c r="BR137" s="2848"/>
    </row>
    <row r="138" spans="1:70" ht="55.5" customHeight="1" x14ac:dyDescent="0.2">
      <c r="A138" s="1938"/>
      <c r="D138" s="1939"/>
      <c r="G138" s="1939"/>
      <c r="I138" s="2072"/>
      <c r="J138" s="2784"/>
      <c r="K138" s="2982"/>
      <c r="L138" s="3028"/>
      <c r="M138" s="3030"/>
      <c r="N138" s="3030"/>
      <c r="O138" s="2844"/>
      <c r="P138" s="3010"/>
      <c r="Q138" s="3011"/>
      <c r="R138" s="3031"/>
      <c r="S138" s="3015"/>
      <c r="T138" s="2838"/>
      <c r="U138" s="2838"/>
      <c r="V138" s="3024"/>
      <c r="W138" s="2004">
        <f>0+2030000</f>
        <v>2030000</v>
      </c>
      <c r="X138" s="2004"/>
      <c r="Y138" s="2004"/>
      <c r="Z138" s="1916">
        <v>88</v>
      </c>
      <c r="AA138" s="1916" t="s">
        <v>467</v>
      </c>
      <c r="AB138" s="2912"/>
      <c r="AC138" s="2913"/>
      <c r="AD138" s="2995"/>
      <c r="AE138" s="2913"/>
      <c r="AF138" s="2912"/>
      <c r="AG138" s="2913"/>
      <c r="AH138" s="2912"/>
      <c r="AI138" s="2913"/>
      <c r="AJ138" s="2912"/>
      <c r="AK138" s="2913"/>
      <c r="AL138" s="2912"/>
      <c r="AM138" s="2913"/>
      <c r="AN138" s="2912"/>
      <c r="AO138" s="2913"/>
      <c r="AP138" s="2912"/>
      <c r="AQ138" s="2913"/>
      <c r="AR138" s="2912"/>
      <c r="AS138" s="2913"/>
      <c r="AT138" s="2912"/>
      <c r="AU138" s="2913"/>
      <c r="AV138" s="2912"/>
      <c r="AW138" s="2913"/>
      <c r="AX138" s="2912"/>
      <c r="AY138" s="2913"/>
      <c r="AZ138" s="2912"/>
      <c r="BA138" s="2913"/>
      <c r="BB138" s="2912"/>
      <c r="BC138" s="2913"/>
      <c r="BD138" s="2913"/>
      <c r="BE138" s="2913"/>
      <c r="BF138" s="2912"/>
      <c r="BG138" s="2913"/>
      <c r="BH138" s="2913"/>
      <c r="BI138" s="3033"/>
      <c r="BJ138" s="3033"/>
      <c r="BK138" s="2864"/>
      <c r="BL138" s="2913"/>
      <c r="BM138" s="2913"/>
      <c r="BN138" s="2903"/>
      <c r="BO138" s="2903"/>
      <c r="BP138" s="2903"/>
      <c r="BQ138" s="2903"/>
      <c r="BR138" s="2907"/>
    </row>
    <row r="139" spans="1:70" ht="50.25" customHeight="1" x14ac:dyDescent="0.2">
      <c r="A139" s="1938"/>
      <c r="D139" s="1939"/>
      <c r="G139" s="1939"/>
      <c r="I139" s="2072"/>
      <c r="J139" s="2760"/>
      <c r="K139" s="2979"/>
      <c r="L139" s="3029"/>
      <c r="M139" s="3008"/>
      <c r="N139" s="3008"/>
      <c r="O139" s="2844"/>
      <c r="P139" s="3010"/>
      <c r="Q139" s="3011"/>
      <c r="R139" s="3013"/>
      <c r="S139" s="3015"/>
      <c r="T139" s="2838"/>
      <c r="U139" s="2838"/>
      <c r="V139" s="2074" t="s">
        <v>1867</v>
      </c>
      <c r="W139" s="2004">
        <v>790000</v>
      </c>
      <c r="X139" s="2004"/>
      <c r="Y139" s="2004"/>
      <c r="Z139" s="1916">
        <v>20</v>
      </c>
      <c r="AA139" s="1916" t="s">
        <v>71</v>
      </c>
      <c r="AB139" s="2912"/>
      <c r="AC139" s="2913"/>
      <c r="AD139" s="2995"/>
      <c r="AE139" s="2913"/>
      <c r="AF139" s="2912"/>
      <c r="AG139" s="2913"/>
      <c r="AH139" s="2912"/>
      <c r="AI139" s="2913"/>
      <c r="AJ139" s="2912"/>
      <c r="AK139" s="2913"/>
      <c r="AL139" s="2912"/>
      <c r="AM139" s="2913"/>
      <c r="AN139" s="2912"/>
      <c r="AO139" s="2913"/>
      <c r="AP139" s="2912"/>
      <c r="AQ139" s="2913"/>
      <c r="AR139" s="2912"/>
      <c r="AS139" s="2913"/>
      <c r="AT139" s="2912"/>
      <c r="AU139" s="2913"/>
      <c r="AV139" s="2912"/>
      <c r="AW139" s="2913"/>
      <c r="AX139" s="2912"/>
      <c r="AY139" s="2913"/>
      <c r="AZ139" s="2912"/>
      <c r="BA139" s="2913"/>
      <c r="BB139" s="2912"/>
      <c r="BC139" s="2913"/>
      <c r="BD139" s="2913"/>
      <c r="BE139" s="2913"/>
      <c r="BF139" s="2912"/>
      <c r="BG139" s="2913"/>
      <c r="BH139" s="2913"/>
      <c r="BI139" s="3033"/>
      <c r="BJ139" s="3033"/>
      <c r="BK139" s="2864"/>
      <c r="BL139" s="2913"/>
      <c r="BM139" s="2913"/>
      <c r="BN139" s="2903"/>
      <c r="BO139" s="2903"/>
      <c r="BP139" s="2903"/>
      <c r="BQ139" s="2903"/>
      <c r="BR139" s="2907"/>
    </row>
    <row r="140" spans="1:70" ht="47.25" customHeight="1" x14ac:dyDescent="0.2">
      <c r="A140" s="1938"/>
      <c r="D140" s="1939"/>
      <c r="G140" s="1939"/>
      <c r="I140" s="2072"/>
      <c r="J140" s="2759">
        <v>272</v>
      </c>
      <c r="K140" s="2978" t="s">
        <v>1876</v>
      </c>
      <c r="L140" s="3027" t="s">
        <v>1872</v>
      </c>
      <c r="M140" s="3007">
        <v>12</v>
      </c>
      <c r="N140" s="3007">
        <v>10</v>
      </c>
      <c r="O140" s="2844"/>
      <c r="P140" s="3010"/>
      <c r="Q140" s="3011"/>
      <c r="R140" s="3012">
        <f>(W140:W142)/S128</f>
        <v>0.161119691671435</v>
      </c>
      <c r="S140" s="3015"/>
      <c r="T140" s="2838"/>
      <c r="U140" s="2838"/>
      <c r="V140" s="3023" t="s">
        <v>1877</v>
      </c>
      <c r="W140" s="2004">
        <v>37410000</v>
      </c>
      <c r="X140" s="2004">
        <v>17915000</v>
      </c>
      <c r="Y140" s="2004">
        <v>7166000</v>
      </c>
      <c r="Z140" s="1916">
        <v>20</v>
      </c>
      <c r="AA140" s="1916" t="s">
        <v>71</v>
      </c>
      <c r="AB140" s="2912"/>
      <c r="AC140" s="2913"/>
      <c r="AD140" s="2995"/>
      <c r="AE140" s="2913"/>
      <c r="AF140" s="2912"/>
      <c r="AG140" s="2913"/>
      <c r="AH140" s="2912"/>
      <c r="AI140" s="2913"/>
      <c r="AJ140" s="2912"/>
      <c r="AK140" s="2913"/>
      <c r="AL140" s="2912"/>
      <c r="AM140" s="2913"/>
      <c r="AN140" s="2912"/>
      <c r="AO140" s="2913"/>
      <c r="AP140" s="2912"/>
      <c r="AQ140" s="2913"/>
      <c r="AR140" s="2912"/>
      <c r="AS140" s="2913"/>
      <c r="AT140" s="2912"/>
      <c r="AU140" s="2913"/>
      <c r="AV140" s="2912"/>
      <c r="AW140" s="2913"/>
      <c r="AX140" s="2912"/>
      <c r="AY140" s="2913"/>
      <c r="AZ140" s="2912"/>
      <c r="BA140" s="2913"/>
      <c r="BB140" s="2912"/>
      <c r="BC140" s="2913"/>
      <c r="BD140" s="2913"/>
      <c r="BE140" s="2913"/>
      <c r="BF140" s="2912"/>
      <c r="BG140" s="2913"/>
      <c r="BH140" s="2913"/>
      <c r="BI140" s="3033"/>
      <c r="BJ140" s="3033"/>
      <c r="BK140" s="2864"/>
      <c r="BL140" s="2913"/>
      <c r="BM140" s="2913"/>
      <c r="BN140" s="2903"/>
      <c r="BO140" s="2903"/>
      <c r="BP140" s="2903"/>
      <c r="BQ140" s="2903"/>
      <c r="BR140" s="2907"/>
    </row>
    <row r="141" spans="1:70" ht="47.25" customHeight="1" x14ac:dyDescent="0.2">
      <c r="A141" s="1938"/>
      <c r="D141" s="1939"/>
      <c r="G141" s="1939"/>
      <c r="I141" s="2072"/>
      <c r="J141" s="2784"/>
      <c r="K141" s="2982"/>
      <c r="L141" s="3028"/>
      <c r="M141" s="3030"/>
      <c r="N141" s="3030"/>
      <c r="O141" s="2844"/>
      <c r="P141" s="3010"/>
      <c r="Q141" s="3011"/>
      <c r="R141" s="3031"/>
      <c r="S141" s="3015"/>
      <c r="T141" s="2838"/>
      <c r="U141" s="2838"/>
      <c r="V141" s="3024"/>
      <c r="W141" s="2004">
        <f>0+2030000</f>
        <v>2030000</v>
      </c>
      <c r="X141" s="2004"/>
      <c r="Y141" s="2004"/>
      <c r="Z141" s="1916">
        <v>88</v>
      </c>
      <c r="AA141" s="1916" t="s">
        <v>369</v>
      </c>
      <c r="AB141" s="2912"/>
      <c r="AC141" s="2913"/>
      <c r="AD141" s="2995"/>
      <c r="AE141" s="2913"/>
      <c r="AF141" s="2912"/>
      <c r="AG141" s="2913"/>
      <c r="AH141" s="2912"/>
      <c r="AI141" s="2913"/>
      <c r="AJ141" s="2912"/>
      <c r="AK141" s="2913"/>
      <c r="AL141" s="2912"/>
      <c r="AM141" s="2913"/>
      <c r="AN141" s="2912"/>
      <c r="AO141" s="2913"/>
      <c r="AP141" s="2912"/>
      <c r="AQ141" s="2913"/>
      <c r="AR141" s="2912"/>
      <c r="AS141" s="2913"/>
      <c r="AT141" s="2912"/>
      <c r="AU141" s="2913"/>
      <c r="AV141" s="2912"/>
      <c r="AW141" s="2913"/>
      <c r="AX141" s="2912"/>
      <c r="AY141" s="2913"/>
      <c r="AZ141" s="2912"/>
      <c r="BA141" s="2913"/>
      <c r="BB141" s="2912"/>
      <c r="BC141" s="2913"/>
      <c r="BD141" s="2913"/>
      <c r="BE141" s="2913"/>
      <c r="BF141" s="2912"/>
      <c r="BG141" s="2913"/>
      <c r="BH141" s="2913"/>
      <c r="BI141" s="3033"/>
      <c r="BJ141" s="3033"/>
      <c r="BK141" s="2864"/>
      <c r="BL141" s="2913"/>
      <c r="BM141" s="2913"/>
      <c r="BN141" s="2903"/>
      <c r="BO141" s="2903"/>
      <c r="BP141" s="2903"/>
      <c r="BQ141" s="2903"/>
      <c r="BR141" s="2907"/>
    </row>
    <row r="142" spans="1:70" ht="47.25" customHeight="1" x14ac:dyDescent="0.2">
      <c r="A142" s="1938"/>
      <c r="D142" s="1939"/>
      <c r="G142" s="1939"/>
      <c r="I142" s="2072"/>
      <c r="J142" s="2784"/>
      <c r="K142" s="2982"/>
      <c r="L142" s="3029"/>
      <c r="M142" s="3008"/>
      <c r="N142" s="3008"/>
      <c r="O142" s="2844"/>
      <c r="P142" s="3010"/>
      <c r="Q142" s="3011"/>
      <c r="R142" s="3013"/>
      <c r="S142" s="3015"/>
      <c r="T142" s="2838"/>
      <c r="U142" s="2838"/>
      <c r="V142" s="2075" t="s">
        <v>1867</v>
      </c>
      <c r="W142" s="2004">
        <v>790000</v>
      </c>
      <c r="X142" s="2004"/>
      <c r="Y142" s="2004"/>
      <c r="Z142" s="1916">
        <v>20</v>
      </c>
      <c r="AA142" s="1916" t="s">
        <v>71</v>
      </c>
      <c r="AB142" s="2912"/>
      <c r="AC142" s="2913"/>
      <c r="AD142" s="2995"/>
      <c r="AE142" s="2913"/>
      <c r="AF142" s="2912"/>
      <c r="AG142" s="2913"/>
      <c r="AH142" s="2912"/>
      <c r="AI142" s="2913"/>
      <c r="AJ142" s="2912"/>
      <c r="AK142" s="2913"/>
      <c r="AL142" s="2912"/>
      <c r="AM142" s="2913"/>
      <c r="AN142" s="2912"/>
      <c r="AO142" s="2913"/>
      <c r="AP142" s="2912"/>
      <c r="AQ142" s="2913"/>
      <c r="AR142" s="2912"/>
      <c r="AS142" s="2913"/>
      <c r="AT142" s="2912"/>
      <c r="AU142" s="2913"/>
      <c r="AV142" s="2912"/>
      <c r="AW142" s="2913"/>
      <c r="AX142" s="2912"/>
      <c r="AY142" s="2913"/>
      <c r="AZ142" s="2912"/>
      <c r="BA142" s="2913"/>
      <c r="BB142" s="2912"/>
      <c r="BC142" s="2913"/>
      <c r="BD142" s="2913"/>
      <c r="BE142" s="2913"/>
      <c r="BF142" s="2912"/>
      <c r="BG142" s="2913"/>
      <c r="BH142" s="2913"/>
      <c r="BI142" s="3033"/>
      <c r="BJ142" s="3033"/>
      <c r="BK142" s="2864"/>
      <c r="BL142" s="2913"/>
      <c r="BM142" s="2913"/>
      <c r="BN142" s="2903"/>
      <c r="BO142" s="2903"/>
      <c r="BP142" s="2903"/>
      <c r="BQ142" s="2903"/>
      <c r="BR142" s="2907"/>
    </row>
    <row r="143" spans="1:70" ht="114" x14ac:dyDescent="0.2">
      <c r="A143" s="1938"/>
      <c r="D143" s="1939"/>
      <c r="G143" s="1939"/>
      <c r="J143" s="2076">
        <v>273</v>
      </c>
      <c r="K143" s="2077" t="s">
        <v>1878</v>
      </c>
      <c r="L143" s="2078" t="s">
        <v>1869</v>
      </c>
      <c r="M143" s="2079">
        <v>12</v>
      </c>
      <c r="N143" s="2065">
        <v>4</v>
      </c>
      <c r="O143" s="2844"/>
      <c r="P143" s="3010"/>
      <c r="Q143" s="3011"/>
      <c r="R143" s="2080">
        <f>W143/S128</f>
        <v>8.1830370001530744E-3</v>
      </c>
      <c r="S143" s="3015"/>
      <c r="T143" s="2838"/>
      <c r="U143" s="2838"/>
      <c r="V143" s="2075" t="s">
        <v>1867</v>
      </c>
      <c r="W143" s="2004">
        <v>1900000</v>
      </c>
      <c r="X143" s="2004"/>
      <c r="Y143" s="2004"/>
      <c r="Z143" s="1916" t="s">
        <v>852</v>
      </c>
      <c r="AA143" s="1916" t="s">
        <v>371</v>
      </c>
      <c r="AB143" s="2912"/>
      <c r="AC143" s="2913"/>
      <c r="AD143" s="2995"/>
      <c r="AE143" s="2913"/>
      <c r="AF143" s="2912"/>
      <c r="AG143" s="2913"/>
      <c r="AH143" s="2912"/>
      <c r="AI143" s="2913"/>
      <c r="AJ143" s="2912"/>
      <c r="AK143" s="2913"/>
      <c r="AL143" s="2912"/>
      <c r="AM143" s="2913"/>
      <c r="AN143" s="2912"/>
      <c r="AO143" s="2913"/>
      <c r="AP143" s="2912"/>
      <c r="AQ143" s="2913"/>
      <c r="AR143" s="2912"/>
      <c r="AS143" s="2913"/>
      <c r="AT143" s="2912"/>
      <c r="AU143" s="2913"/>
      <c r="AV143" s="2912"/>
      <c r="AW143" s="2913"/>
      <c r="AX143" s="2912"/>
      <c r="AY143" s="2913"/>
      <c r="AZ143" s="2912"/>
      <c r="BA143" s="2913"/>
      <c r="BB143" s="2912"/>
      <c r="BC143" s="2913"/>
      <c r="BD143" s="2913"/>
      <c r="BE143" s="2913"/>
      <c r="BF143" s="2912"/>
      <c r="BG143" s="2913"/>
      <c r="BH143" s="2913"/>
      <c r="BI143" s="3033"/>
      <c r="BJ143" s="3033"/>
      <c r="BK143" s="2864"/>
      <c r="BL143" s="2913"/>
      <c r="BM143" s="2913"/>
      <c r="BN143" s="2903"/>
      <c r="BO143" s="2903"/>
      <c r="BP143" s="2903"/>
      <c r="BQ143" s="2903"/>
      <c r="BR143" s="2907"/>
    </row>
    <row r="144" spans="1:70" ht="51.75" customHeight="1" x14ac:dyDescent="0.2">
      <c r="A144" s="1938"/>
      <c r="D144" s="1939"/>
      <c r="G144" s="1939"/>
      <c r="J144" s="3041">
        <v>274</v>
      </c>
      <c r="K144" s="2983" t="s">
        <v>1879</v>
      </c>
      <c r="L144" s="3042" t="s">
        <v>1869</v>
      </c>
      <c r="M144" s="3007">
        <v>12</v>
      </c>
      <c r="N144" s="3007">
        <v>6</v>
      </c>
      <c r="O144" s="2844"/>
      <c r="P144" s="3010"/>
      <c r="Q144" s="3011"/>
      <c r="R144" s="3045">
        <f>(W144+W145+W146)/S128</f>
        <v>0.15573611469765009</v>
      </c>
      <c r="S144" s="3015"/>
      <c r="T144" s="2838"/>
      <c r="U144" s="2838"/>
      <c r="V144" s="3025" t="s">
        <v>1880</v>
      </c>
      <c r="W144" s="2004">
        <v>20300000</v>
      </c>
      <c r="X144" s="2004">
        <v>15884633</v>
      </c>
      <c r="Y144" s="2004"/>
      <c r="Z144" s="1916">
        <v>20</v>
      </c>
      <c r="AA144" s="1916" t="s">
        <v>71</v>
      </c>
      <c r="AB144" s="2912"/>
      <c r="AC144" s="2913"/>
      <c r="AD144" s="2995"/>
      <c r="AE144" s="2913"/>
      <c r="AF144" s="2912"/>
      <c r="AG144" s="2913"/>
      <c r="AH144" s="2912"/>
      <c r="AI144" s="2913"/>
      <c r="AJ144" s="2912"/>
      <c r="AK144" s="2913"/>
      <c r="AL144" s="2912"/>
      <c r="AM144" s="2913"/>
      <c r="AN144" s="2912"/>
      <c r="AO144" s="2913"/>
      <c r="AP144" s="2912"/>
      <c r="AQ144" s="2913"/>
      <c r="AR144" s="2912"/>
      <c r="AS144" s="2913"/>
      <c r="AT144" s="2912"/>
      <c r="AU144" s="2913"/>
      <c r="AV144" s="2912"/>
      <c r="AW144" s="2913"/>
      <c r="AX144" s="2912"/>
      <c r="AY144" s="2913"/>
      <c r="AZ144" s="2912"/>
      <c r="BA144" s="2913"/>
      <c r="BB144" s="2912"/>
      <c r="BC144" s="2913"/>
      <c r="BD144" s="2913"/>
      <c r="BE144" s="2913"/>
      <c r="BF144" s="2912"/>
      <c r="BG144" s="2913"/>
      <c r="BH144" s="2913"/>
      <c r="BI144" s="3033"/>
      <c r="BJ144" s="3033"/>
      <c r="BK144" s="2864"/>
      <c r="BL144" s="2913"/>
      <c r="BM144" s="2913"/>
      <c r="BN144" s="2903"/>
      <c r="BO144" s="2903"/>
      <c r="BP144" s="2903"/>
      <c r="BQ144" s="2903"/>
      <c r="BR144" s="2907"/>
    </row>
    <row r="145" spans="1:90" ht="51.75" customHeight="1" x14ac:dyDescent="0.2">
      <c r="A145" s="1938"/>
      <c r="D145" s="1939"/>
      <c r="G145" s="1939"/>
      <c r="J145" s="3041"/>
      <c r="K145" s="2983"/>
      <c r="L145" s="3043"/>
      <c r="M145" s="3030"/>
      <c r="N145" s="3030"/>
      <c r="O145" s="2844"/>
      <c r="P145" s="3010"/>
      <c r="Q145" s="3011"/>
      <c r="R145" s="3046"/>
      <c r="S145" s="3015"/>
      <c r="T145" s="2838"/>
      <c r="U145" s="2838"/>
      <c r="V145" s="3026"/>
      <c r="W145" s="2004">
        <f>0+15660000</f>
        <v>15660000</v>
      </c>
      <c r="X145" s="2004"/>
      <c r="Y145" s="2004"/>
      <c r="Z145" s="1916">
        <v>88</v>
      </c>
      <c r="AA145" s="1916" t="s">
        <v>467</v>
      </c>
      <c r="AB145" s="2912"/>
      <c r="AC145" s="2913"/>
      <c r="AD145" s="2995"/>
      <c r="AE145" s="2913"/>
      <c r="AF145" s="2912"/>
      <c r="AG145" s="2913"/>
      <c r="AH145" s="2912"/>
      <c r="AI145" s="2913"/>
      <c r="AJ145" s="2912"/>
      <c r="AK145" s="2913"/>
      <c r="AL145" s="2912"/>
      <c r="AM145" s="2913"/>
      <c r="AN145" s="2912"/>
      <c r="AO145" s="2913"/>
      <c r="AP145" s="2912"/>
      <c r="AQ145" s="2913"/>
      <c r="AR145" s="2912"/>
      <c r="AS145" s="2913"/>
      <c r="AT145" s="2912"/>
      <c r="AU145" s="2913"/>
      <c r="AV145" s="2912"/>
      <c r="AW145" s="2913"/>
      <c r="AX145" s="2912"/>
      <c r="AY145" s="2913"/>
      <c r="AZ145" s="2912"/>
      <c r="BA145" s="2913"/>
      <c r="BB145" s="2912"/>
      <c r="BC145" s="2913"/>
      <c r="BD145" s="2913"/>
      <c r="BE145" s="2913"/>
      <c r="BF145" s="2912"/>
      <c r="BG145" s="2913"/>
      <c r="BH145" s="2913"/>
      <c r="BI145" s="3033"/>
      <c r="BJ145" s="3033"/>
      <c r="BK145" s="2864"/>
      <c r="BL145" s="2913"/>
      <c r="BM145" s="2913"/>
      <c r="BN145" s="2903"/>
      <c r="BO145" s="2903"/>
      <c r="BP145" s="2903"/>
      <c r="BQ145" s="2903"/>
      <c r="BR145" s="2907"/>
    </row>
    <row r="146" spans="1:90" ht="51.75" customHeight="1" x14ac:dyDescent="0.2">
      <c r="A146" s="1938"/>
      <c r="D146" s="1939"/>
      <c r="G146" s="1939"/>
      <c r="J146" s="3041"/>
      <c r="K146" s="2983"/>
      <c r="L146" s="3044"/>
      <c r="M146" s="3008"/>
      <c r="N146" s="3008"/>
      <c r="O146" s="2844"/>
      <c r="P146" s="3010"/>
      <c r="Q146" s="3011"/>
      <c r="R146" s="3047"/>
      <c r="S146" s="3015"/>
      <c r="T146" s="2838"/>
      <c r="U146" s="2838"/>
      <c r="V146" s="2074" t="s">
        <v>1867</v>
      </c>
      <c r="W146" s="2004">
        <v>200000</v>
      </c>
      <c r="X146" s="2004"/>
      <c r="Y146" s="2004"/>
      <c r="Z146" s="1916">
        <v>20</v>
      </c>
      <c r="AA146" s="1916" t="s">
        <v>71</v>
      </c>
      <c r="AB146" s="2912"/>
      <c r="AC146" s="2913"/>
      <c r="AD146" s="2995"/>
      <c r="AE146" s="2913"/>
      <c r="AF146" s="2912"/>
      <c r="AG146" s="2913"/>
      <c r="AH146" s="2912"/>
      <c r="AI146" s="2913"/>
      <c r="AJ146" s="2912"/>
      <c r="AK146" s="2913"/>
      <c r="AL146" s="2912"/>
      <c r="AM146" s="2913"/>
      <c r="AN146" s="2912"/>
      <c r="AO146" s="2913"/>
      <c r="AP146" s="2912"/>
      <c r="AQ146" s="2913"/>
      <c r="AR146" s="2912"/>
      <c r="AS146" s="2913"/>
      <c r="AT146" s="2912"/>
      <c r="AU146" s="2913"/>
      <c r="AV146" s="2912"/>
      <c r="AW146" s="2913"/>
      <c r="AX146" s="2912"/>
      <c r="AY146" s="2913"/>
      <c r="AZ146" s="2912"/>
      <c r="BA146" s="2913"/>
      <c r="BB146" s="2912"/>
      <c r="BC146" s="2913"/>
      <c r="BD146" s="2913"/>
      <c r="BE146" s="2913"/>
      <c r="BF146" s="2912"/>
      <c r="BG146" s="2913"/>
      <c r="BH146" s="2913"/>
      <c r="BI146" s="3033"/>
      <c r="BJ146" s="3033"/>
      <c r="BK146" s="2864"/>
      <c r="BL146" s="2913"/>
      <c r="BM146" s="2913"/>
      <c r="BN146" s="2903"/>
      <c r="BO146" s="2903"/>
      <c r="BP146" s="2903"/>
      <c r="BQ146" s="2903"/>
      <c r="BR146" s="2907"/>
    </row>
    <row r="147" spans="1:90" ht="51.75" customHeight="1" x14ac:dyDescent="0.2">
      <c r="A147" s="1938"/>
      <c r="D147" s="1939"/>
      <c r="G147" s="1939"/>
      <c r="I147" s="2072"/>
      <c r="J147" s="2784">
        <v>260</v>
      </c>
      <c r="K147" s="2982" t="s">
        <v>1881</v>
      </c>
      <c r="L147" s="3037" t="s">
        <v>1882</v>
      </c>
      <c r="M147" s="3007">
        <v>12</v>
      </c>
      <c r="N147" s="3007"/>
      <c r="O147" s="2844"/>
      <c r="P147" s="3010"/>
      <c r="Q147" s="3011"/>
      <c r="R147" s="3012">
        <f>(W147+W148)/S128</f>
        <v>7.057927124577186E-2</v>
      </c>
      <c r="S147" s="3015"/>
      <c r="T147" s="2838"/>
      <c r="U147" s="2838"/>
      <c r="V147" s="2074" t="s">
        <v>1883</v>
      </c>
      <c r="W147" s="2004">
        <v>15950000</v>
      </c>
      <c r="X147" s="2004"/>
      <c r="Y147" s="2004"/>
      <c r="Z147" s="1916">
        <v>20</v>
      </c>
      <c r="AA147" s="1916" t="s">
        <v>71</v>
      </c>
      <c r="AB147" s="2912"/>
      <c r="AC147" s="2913"/>
      <c r="AD147" s="2995"/>
      <c r="AE147" s="2913"/>
      <c r="AF147" s="2912"/>
      <c r="AG147" s="2913"/>
      <c r="AH147" s="2912"/>
      <c r="AI147" s="2913"/>
      <c r="AJ147" s="2912"/>
      <c r="AK147" s="2913"/>
      <c r="AL147" s="2912"/>
      <c r="AM147" s="2913"/>
      <c r="AN147" s="2912"/>
      <c r="AO147" s="2913"/>
      <c r="AP147" s="2912"/>
      <c r="AQ147" s="2913"/>
      <c r="AR147" s="2912"/>
      <c r="AS147" s="2913"/>
      <c r="AT147" s="2912"/>
      <c r="AU147" s="2913"/>
      <c r="AV147" s="2912"/>
      <c r="AW147" s="2913"/>
      <c r="AX147" s="2912"/>
      <c r="AY147" s="2913"/>
      <c r="AZ147" s="2912"/>
      <c r="BA147" s="2913"/>
      <c r="BB147" s="2912"/>
      <c r="BC147" s="2913"/>
      <c r="BD147" s="2913"/>
      <c r="BE147" s="2913"/>
      <c r="BF147" s="2912"/>
      <c r="BG147" s="2913"/>
      <c r="BH147" s="2913"/>
      <c r="BI147" s="3033"/>
      <c r="BJ147" s="3033"/>
      <c r="BK147" s="2864"/>
      <c r="BL147" s="2913"/>
      <c r="BM147" s="2913"/>
      <c r="BN147" s="2903"/>
      <c r="BO147" s="2903"/>
      <c r="BP147" s="2903"/>
      <c r="BQ147" s="2903"/>
      <c r="BR147" s="2907"/>
    </row>
    <row r="148" spans="1:90" ht="51.75" customHeight="1" thickBot="1" x14ac:dyDescent="0.25">
      <c r="A148" s="1938"/>
      <c r="D148" s="1939"/>
      <c r="G148" s="1939"/>
      <c r="I148" s="2072"/>
      <c r="J148" s="2785"/>
      <c r="K148" s="3036"/>
      <c r="L148" s="3038"/>
      <c r="M148" s="3039"/>
      <c r="N148" s="3039"/>
      <c r="O148" s="2844"/>
      <c r="P148" s="3010"/>
      <c r="Q148" s="3011"/>
      <c r="R148" s="3040"/>
      <c r="S148" s="3015"/>
      <c r="T148" s="2838"/>
      <c r="U148" s="2838"/>
      <c r="V148" s="2074" t="s">
        <v>1867</v>
      </c>
      <c r="W148" s="2004">
        <v>437634</v>
      </c>
      <c r="X148" s="2004"/>
      <c r="Y148" s="2004"/>
      <c r="Z148" s="1916" t="s">
        <v>689</v>
      </c>
      <c r="AA148" s="1916" t="s">
        <v>71</v>
      </c>
      <c r="AB148" s="2912"/>
      <c r="AC148" s="3020"/>
      <c r="AD148" s="2995"/>
      <c r="AE148" s="3020"/>
      <c r="AF148" s="2912"/>
      <c r="AG148" s="3020"/>
      <c r="AH148" s="2912"/>
      <c r="AI148" s="3020"/>
      <c r="AJ148" s="2912"/>
      <c r="AK148" s="3020"/>
      <c r="AL148" s="2912"/>
      <c r="AM148" s="3020"/>
      <c r="AN148" s="2912"/>
      <c r="AO148" s="3020"/>
      <c r="AP148" s="2912"/>
      <c r="AQ148" s="3020"/>
      <c r="AR148" s="2912"/>
      <c r="AS148" s="3020"/>
      <c r="AT148" s="2912"/>
      <c r="AU148" s="3020"/>
      <c r="AV148" s="2912"/>
      <c r="AW148" s="3020"/>
      <c r="AX148" s="2912"/>
      <c r="AY148" s="3020"/>
      <c r="AZ148" s="2912"/>
      <c r="BA148" s="3020"/>
      <c r="BB148" s="2912"/>
      <c r="BC148" s="3020"/>
      <c r="BD148" s="2913"/>
      <c r="BE148" s="3020"/>
      <c r="BF148" s="2912"/>
      <c r="BG148" s="3020"/>
      <c r="BH148" s="3020"/>
      <c r="BI148" s="3034"/>
      <c r="BJ148" s="3034"/>
      <c r="BK148" s="3035"/>
      <c r="BL148" s="3020"/>
      <c r="BM148" s="3020"/>
      <c r="BN148" s="2903"/>
      <c r="BO148" s="2903"/>
      <c r="BP148" s="2903"/>
      <c r="BQ148" s="2903"/>
      <c r="BR148" s="2907"/>
    </row>
    <row r="149" spans="1:90" ht="39.75" customHeight="1" thickBot="1" x14ac:dyDescent="0.25">
      <c r="A149" s="2081"/>
      <c r="B149" s="2082"/>
      <c r="C149" s="2082"/>
      <c r="D149" s="2082"/>
      <c r="E149" s="2082"/>
      <c r="F149" s="2082"/>
      <c r="G149" s="2082"/>
      <c r="H149" s="2082"/>
      <c r="I149" s="2082"/>
      <c r="J149" s="2083"/>
      <c r="K149" s="2084"/>
      <c r="L149" s="2085"/>
      <c r="M149" s="2085"/>
      <c r="N149" s="2085"/>
      <c r="O149" s="2086" t="s">
        <v>334</v>
      </c>
      <c r="P149" s="2087"/>
      <c r="Q149" s="2084"/>
      <c r="R149" s="2088"/>
      <c r="S149" s="2089">
        <f>SUM(S9:S148)</f>
        <v>1489487634</v>
      </c>
      <c r="T149" s="2090"/>
      <c r="U149" s="2084"/>
      <c r="V149" s="2091"/>
      <c r="W149" s="2089">
        <f>SUM(W9:W148)</f>
        <v>1489487634</v>
      </c>
      <c r="X149" s="2089">
        <f t="shared" ref="X149:Y149" si="1">SUM(X9:X148)</f>
        <v>531345733</v>
      </c>
      <c r="Y149" s="2089">
        <f t="shared" si="1"/>
        <v>131994000</v>
      </c>
      <c r="Z149" s="2092"/>
      <c r="AA149" s="2093"/>
      <c r="AB149" s="2094"/>
      <c r="AC149" s="2094"/>
      <c r="AD149" s="2095"/>
      <c r="AE149" s="2095"/>
      <c r="AF149" s="2094"/>
      <c r="AG149" s="2094"/>
      <c r="AH149" s="2094"/>
      <c r="AI149" s="2094"/>
      <c r="AJ149" s="2094"/>
      <c r="AK149" s="2094"/>
      <c r="AL149" s="2094"/>
      <c r="AM149" s="2094"/>
      <c r="AN149" s="2094"/>
      <c r="AO149" s="2094"/>
      <c r="AP149" s="2094"/>
      <c r="AQ149" s="2094"/>
      <c r="AR149" s="2094"/>
      <c r="AS149" s="2094"/>
      <c r="AT149" s="2094"/>
      <c r="AU149" s="2094"/>
      <c r="AV149" s="2094"/>
      <c r="AW149" s="2094"/>
      <c r="AX149" s="2094"/>
      <c r="AY149" s="2094"/>
      <c r="AZ149" s="2094"/>
      <c r="BA149" s="2094"/>
      <c r="BB149" s="2094"/>
      <c r="BC149" s="2094"/>
      <c r="BD149" s="2094"/>
      <c r="BE149" s="2094"/>
      <c r="BF149" s="2094"/>
      <c r="BG149" s="2094"/>
      <c r="BH149" s="2096">
        <f>SUM(BH12:BH148)</f>
        <v>32</v>
      </c>
      <c r="BI149" s="2097">
        <f>SUM(BI12:BI148)</f>
        <v>531345733</v>
      </c>
      <c r="BJ149" s="2097">
        <f>SUM(BJ12:BJ148)</f>
        <v>131994000</v>
      </c>
      <c r="BK149" s="2098">
        <f>BJ149/BI149</f>
        <v>0.24841452900121436</v>
      </c>
      <c r="BL149" s="2094"/>
      <c r="BM149" s="2094"/>
      <c r="BN149" s="2099"/>
      <c r="BO149" s="2099"/>
      <c r="BP149" s="2100"/>
      <c r="BQ149" s="2100"/>
      <c r="BR149" s="2101"/>
    </row>
    <row r="150" spans="1:90" ht="39.75" customHeight="1" x14ac:dyDescent="0.25">
      <c r="C150" s="2102"/>
      <c r="D150" s="2102"/>
      <c r="W150" s="2107"/>
      <c r="X150" s="2107"/>
      <c r="Y150" s="2107"/>
    </row>
    <row r="151" spans="1:90" s="2103" customFormat="1" ht="39.75" customHeight="1" x14ac:dyDescent="0.2">
      <c r="A151" s="2067"/>
      <c r="B151" s="1926"/>
      <c r="C151" s="1926"/>
      <c r="D151" s="1926"/>
      <c r="E151" s="1926"/>
      <c r="F151" s="1926"/>
      <c r="G151" s="1926"/>
      <c r="H151" s="1926"/>
      <c r="I151" s="1926"/>
      <c r="J151" s="1854"/>
      <c r="L151" s="1924"/>
      <c r="M151" s="1924"/>
      <c r="N151" s="1924"/>
      <c r="O151" s="2104"/>
      <c r="P151" s="2111"/>
      <c r="Q151" s="1926"/>
      <c r="R151" s="1969"/>
      <c r="S151" s="2112"/>
      <c r="T151" s="2113"/>
      <c r="W151" s="1914"/>
      <c r="X151" s="1914"/>
      <c r="Y151" s="1914"/>
      <c r="Z151" s="2108"/>
      <c r="AA151" s="1853"/>
      <c r="AB151" s="1846"/>
      <c r="AC151" s="1846"/>
      <c r="AD151" s="2109"/>
      <c r="AE151" s="2109"/>
      <c r="AF151" s="1846"/>
      <c r="AG151" s="1846"/>
      <c r="AH151" s="1846"/>
      <c r="AI151" s="1846"/>
      <c r="AJ151" s="1846"/>
      <c r="AK151" s="1846"/>
      <c r="AL151" s="1846"/>
      <c r="AM151" s="1846"/>
      <c r="AN151" s="1846"/>
      <c r="AO151" s="1846"/>
      <c r="AP151" s="1846"/>
      <c r="AQ151" s="1846"/>
      <c r="AR151" s="1846"/>
      <c r="AS151" s="1846"/>
      <c r="AT151" s="1846"/>
      <c r="AU151" s="1846"/>
      <c r="AV151" s="1846"/>
      <c r="AW151" s="1846"/>
      <c r="AX151" s="1846"/>
      <c r="AY151" s="1846"/>
      <c r="AZ151" s="1846"/>
      <c r="BA151" s="1846"/>
      <c r="BB151" s="1846"/>
      <c r="BC151" s="1846"/>
      <c r="BD151" s="1846"/>
      <c r="BE151" s="1846"/>
      <c r="BF151" s="1846"/>
      <c r="BG151" s="1846"/>
      <c r="BH151" s="1846"/>
      <c r="BI151" s="1846"/>
      <c r="BJ151" s="2114">
        <f>BJ149+[1]compromisos!$L$21</f>
        <v>135577000</v>
      </c>
      <c r="BK151" s="1846"/>
      <c r="BL151" s="1846"/>
      <c r="BM151" s="1846"/>
      <c r="BN151" s="2110"/>
      <c r="BO151" s="2110"/>
      <c r="BP151" s="1843"/>
      <c r="BQ151" s="1843"/>
      <c r="BR151" s="1969"/>
      <c r="BS151" s="1846"/>
      <c r="BT151" s="1846"/>
      <c r="BU151" s="1846"/>
      <c r="BV151" s="1846"/>
      <c r="BW151" s="1846"/>
      <c r="BX151" s="1846"/>
      <c r="BY151" s="1846"/>
      <c r="BZ151" s="1846"/>
      <c r="CA151" s="1846"/>
      <c r="CB151" s="1846"/>
      <c r="CC151" s="1846"/>
      <c r="CD151" s="1846"/>
      <c r="CE151" s="1846"/>
      <c r="CF151" s="1846"/>
      <c r="CG151" s="1846"/>
      <c r="CH151" s="1846"/>
      <c r="CI151" s="1846"/>
      <c r="CJ151" s="1846"/>
      <c r="CK151" s="1846"/>
      <c r="CL151" s="1846"/>
    </row>
    <row r="152" spans="1:90" s="2103" customFormat="1" ht="17.25" customHeight="1" x14ac:dyDescent="0.25">
      <c r="A152" s="2067"/>
      <c r="B152" s="1926"/>
      <c r="C152" s="1926"/>
      <c r="D152" s="1926"/>
      <c r="E152" s="1926"/>
      <c r="F152" s="1926"/>
      <c r="G152" s="1926"/>
      <c r="H152" s="1926"/>
      <c r="I152" s="1926"/>
      <c r="J152" s="1854"/>
      <c r="L152" s="1924"/>
      <c r="M152" s="1924"/>
      <c r="N152" s="1924"/>
      <c r="O152" s="2115" t="s">
        <v>1884</v>
      </c>
      <c r="P152" s="2115"/>
      <c r="Q152" s="2116"/>
      <c r="R152" s="2117"/>
      <c r="S152" s="2118"/>
      <c r="T152" s="2117"/>
      <c r="W152" s="1914"/>
      <c r="X152" s="1914"/>
      <c r="Y152" s="1914"/>
      <c r="Z152" s="2108"/>
      <c r="AA152" s="1853"/>
      <c r="AB152" s="1846"/>
      <c r="AC152" s="1846"/>
      <c r="AD152" s="2109"/>
      <c r="AE152" s="2109"/>
      <c r="AF152" s="1846"/>
      <c r="AG152" s="1846"/>
      <c r="AH152" s="1846"/>
      <c r="AI152" s="1846"/>
      <c r="AJ152" s="1846"/>
      <c r="AK152" s="1846"/>
      <c r="AL152" s="1846"/>
      <c r="AM152" s="1846"/>
      <c r="AN152" s="1846"/>
      <c r="AO152" s="1846"/>
      <c r="AP152" s="1846"/>
      <c r="AQ152" s="1846"/>
      <c r="AR152" s="1846"/>
      <c r="AS152" s="1846"/>
      <c r="AT152" s="1846"/>
      <c r="AU152" s="1846"/>
      <c r="AV152" s="1846"/>
      <c r="AW152" s="1846"/>
      <c r="AX152" s="1846"/>
      <c r="AY152" s="1846"/>
      <c r="AZ152" s="1846"/>
      <c r="BA152" s="1846"/>
      <c r="BB152" s="1846"/>
      <c r="BC152" s="1846"/>
      <c r="BD152" s="1846"/>
      <c r="BE152" s="1846"/>
      <c r="BF152" s="1846"/>
      <c r="BG152" s="1846"/>
      <c r="BH152" s="1846"/>
      <c r="BI152" s="1846"/>
      <c r="BJ152" s="1846"/>
      <c r="BK152" s="1846"/>
      <c r="BL152" s="1846"/>
      <c r="BM152" s="1846"/>
      <c r="BN152" s="2110"/>
      <c r="BO152" s="2110"/>
      <c r="BP152" s="1843"/>
      <c r="BQ152" s="1843"/>
      <c r="BR152" s="1969"/>
      <c r="BS152" s="1846"/>
      <c r="BT152" s="1846"/>
      <c r="BU152" s="1846"/>
      <c r="BV152" s="1846"/>
      <c r="BW152" s="1846"/>
      <c r="BX152" s="1846"/>
      <c r="BY152" s="1846"/>
      <c r="BZ152" s="1846"/>
      <c r="CA152" s="1846"/>
      <c r="CB152" s="1846"/>
      <c r="CC152" s="1846"/>
      <c r="CD152" s="1846"/>
      <c r="CE152" s="1846"/>
      <c r="CF152" s="1846"/>
      <c r="CG152" s="1846"/>
      <c r="CH152" s="1846"/>
      <c r="CI152" s="1846"/>
      <c r="CJ152" s="1846"/>
      <c r="CK152" s="1846"/>
      <c r="CL152" s="1846"/>
    </row>
    <row r="153" spans="1:90" s="2103" customFormat="1" ht="17.25" customHeight="1" x14ac:dyDescent="0.25">
      <c r="A153" s="2067"/>
      <c r="B153" s="1926"/>
      <c r="C153" s="1926"/>
      <c r="D153" s="1926"/>
      <c r="E153" s="1926"/>
      <c r="F153" s="1926"/>
      <c r="G153" s="1926"/>
      <c r="H153" s="1926"/>
      <c r="I153" s="1926"/>
      <c r="J153" s="1854"/>
      <c r="L153" s="1924"/>
      <c r="M153" s="1924"/>
      <c r="N153" s="1924"/>
      <c r="O153" s="2118" t="s">
        <v>1885</v>
      </c>
      <c r="P153" s="2118"/>
      <c r="Q153" s="2117"/>
      <c r="R153" s="2117"/>
      <c r="S153" s="2118"/>
      <c r="T153" s="2117"/>
      <c r="W153" s="1914"/>
      <c r="X153" s="1914"/>
      <c r="Y153" s="1914"/>
      <c r="Z153" s="2108"/>
      <c r="AA153" s="1853"/>
      <c r="AB153" s="1846"/>
      <c r="AC153" s="1846"/>
      <c r="AD153" s="2109"/>
      <c r="AE153" s="2109"/>
      <c r="AF153" s="1846"/>
      <c r="AG153" s="1846"/>
      <c r="AH153" s="1846"/>
      <c r="AI153" s="1846"/>
      <c r="AJ153" s="1846"/>
      <c r="AK153" s="1846"/>
      <c r="AL153" s="1846"/>
      <c r="AM153" s="1846"/>
      <c r="AN153" s="1846"/>
      <c r="AO153" s="1846"/>
      <c r="AP153" s="1846"/>
      <c r="AQ153" s="1846"/>
      <c r="AR153" s="1846"/>
      <c r="AS153" s="1846"/>
      <c r="AT153" s="1846"/>
      <c r="AU153" s="1846"/>
      <c r="AV153" s="1846"/>
      <c r="AW153" s="1846"/>
      <c r="AX153" s="1846"/>
      <c r="AY153" s="1846"/>
      <c r="AZ153" s="1846"/>
      <c r="BA153" s="1846"/>
      <c r="BB153" s="1846"/>
      <c r="BC153" s="1846"/>
      <c r="BD153" s="1846"/>
      <c r="BE153" s="1846"/>
      <c r="BF153" s="1846"/>
      <c r="BG153" s="1846"/>
      <c r="BH153" s="1846"/>
      <c r="BI153" s="1846"/>
      <c r="BJ153" s="1846"/>
      <c r="BK153" s="1846"/>
      <c r="BL153" s="1846"/>
      <c r="BM153" s="1846"/>
      <c r="BN153" s="2110"/>
      <c r="BO153" s="2110"/>
      <c r="BP153" s="1843"/>
      <c r="BQ153" s="1843"/>
      <c r="BR153" s="1969"/>
      <c r="BS153" s="1846"/>
      <c r="BT153" s="1846"/>
      <c r="BU153" s="1846"/>
      <c r="BV153" s="1846"/>
      <c r="BW153" s="1846"/>
      <c r="BX153" s="1846"/>
      <c r="BY153" s="1846"/>
      <c r="BZ153" s="1846"/>
      <c r="CA153" s="1846"/>
      <c r="CB153" s="1846"/>
      <c r="CC153" s="1846"/>
      <c r="CD153" s="1846"/>
      <c r="CE153" s="1846"/>
      <c r="CF153" s="1846"/>
      <c r="CG153" s="1846"/>
      <c r="CH153" s="1846"/>
      <c r="CI153" s="1846"/>
      <c r="CJ153" s="1846"/>
      <c r="CK153" s="1846"/>
      <c r="CL153" s="1846"/>
    </row>
  </sheetData>
  <sheetProtection password="F3F4" sheet="1" objects="1" scenarios="1"/>
  <mergeCells count="641">
    <mergeCell ref="J147:J148"/>
    <mergeCell ref="K147:K148"/>
    <mergeCell ref="L147:L148"/>
    <mergeCell ref="M147:M148"/>
    <mergeCell ref="N147:N148"/>
    <mergeCell ref="R147:R148"/>
    <mergeCell ref="J144:J146"/>
    <mergeCell ref="K144:K146"/>
    <mergeCell ref="L144:L146"/>
    <mergeCell ref="M144:M146"/>
    <mergeCell ref="N144:N146"/>
    <mergeCell ref="R144:R146"/>
    <mergeCell ref="J140:J142"/>
    <mergeCell ref="K140:K142"/>
    <mergeCell ref="L140:L142"/>
    <mergeCell ref="M140:M142"/>
    <mergeCell ref="N140:N142"/>
    <mergeCell ref="R140:R142"/>
    <mergeCell ref="J137:J139"/>
    <mergeCell ref="K137:K139"/>
    <mergeCell ref="L137:L139"/>
    <mergeCell ref="M137:M139"/>
    <mergeCell ref="N137:N139"/>
    <mergeCell ref="R137:R139"/>
    <mergeCell ref="J135:J136"/>
    <mergeCell ref="K135:K136"/>
    <mergeCell ref="L135:L136"/>
    <mergeCell ref="M135:M136"/>
    <mergeCell ref="N135:N136"/>
    <mergeCell ref="R135:R136"/>
    <mergeCell ref="J133:J134"/>
    <mergeCell ref="K133:K134"/>
    <mergeCell ref="L133:L134"/>
    <mergeCell ref="M133:M134"/>
    <mergeCell ref="N133:N134"/>
    <mergeCell ref="R133:R134"/>
    <mergeCell ref="BP128:BP148"/>
    <mergeCell ref="BQ128:BQ148"/>
    <mergeCell ref="BR128:BR148"/>
    <mergeCell ref="J130:J132"/>
    <mergeCell ref="K130:K132"/>
    <mergeCell ref="L130:L132"/>
    <mergeCell ref="M130:M132"/>
    <mergeCell ref="N130:N132"/>
    <mergeCell ref="R130:R132"/>
    <mergeCell ref="U130:U148"/>
    <mergeCell ref="BJ128:BJ148"/>
    <mergeCell ref="BK128:BK148"/>
    <mergeCell ref="BL128:BL148"/>
    <mergeCell ref="BM128:BM148"/>
    <mergeCell ref="BN128:BN148"/>
    <mergeCell ref="BO128:BO148"/>
    <mergeCell ref="BD128:BD148"/>
    <mergeCell ref="BE128:BE148"/>
    <mergeCell ref="BF128:BF148"/>
    <mergeCell ref="BG128:BG148"/>
    <mergeCell ref="BH128:BH148"/>
    <mergeCell ref="BI128:BI148"/>
    <mergeCell ref="AX128:AX148"/>
    <mergeCell ref="AY128:AY148"/>
    <mergeCell ref="AZ128:AZ148"/>
    <mergeCell ref="BA128:BA148"/>
    <mergeCell ref="BB128:BB148"/>
    <mergeCell ref="BC128:BC148"/>
    <mergeCell ref="AR128:AR148"/>
    <mergeCell ref="AS128:AS148"/>
    <mergeCell ref="AT128:AT148"/>
    <mergeCell ref="AU128:AU148"/>
    <mergeCell ref="AV128:AV148"/>
    <mergeCell ref="AW128:AW148"/>
    <mergeCell ref="AL128:AL148"/>
    <mergeCell ref="AM128:AM148"/>
    <mergeCell ref="AN128:AN148"/>
    <mergeCell ref="AO128:AO148"/>
    <mergeCell ref="AP128:AP148"/>
    <mergeCell ref="AQ128:AQ148"/>
    <mergeCell ref="AF128:AF148"/>
    <mergeCell ref="AG128:AG148"/>
    <mergeCell ref="AH128:AH148"/>
    <mergeCell ref="AI128:AI148"/>
    <mergeCell ref="AJ128:AJ148"/>
    <mergeCell ref="AK128:AK148"/>
    <mergeCell ref="U128:U129"/>
    <mergeCell ref="V128:V129"/>
    <mergeCell ref="AB128:AB148"/>
    <mergeCell ref="AC128:AC148"/>
    <mergeCell ref="AD128:AD148"/>
    <mergeCell ref="AE128:AE148"/>
    <mergeCell ref="V130:V131"/>
    <mergeCell ref="V137:V138"/>
    <mergeCell ref="V140:V141"/>
    <mergeCell ref="V144:V145"/>
    <mergeCell ref="BR116:BR127"/>
    <mergeCell ref="J128:J129"/>
    <mergeCell ref="K128:K129"/>
    <mergeCell ref="N128:N129"/>
    <mergeCell ref="O128:O148"/>
    <mergeCell ref="P128:P148"/>
    <mergeCell ref="Q128:Q148"/>
    <mergeCell ref="R128:R129"/>
    <mergeCell ref="S128:S148"/>
    <mergeCell ref="T128:T148"/>
    <mergeCell ref="BL116:BL127"/>
    <mergeCell ref="BM116:BM127"/>
    <mergeCell ref="BN116:BN127"/>
    <mergeCell ref="BO116:BO127"/>
    <mergeCell ref="BP116:BP127"/>
    <mergeCell ref="BQ116:BQ127"/>
    <mergeCell ref="BF116:BF127"/>
    <mergeCell ref="BG116:BG127"/>
    <mergeCell ref="BH116:BH127"/>
    <mergeCell ref="BI116:BI127"/>
    <mergeCell ref="BJ116:BJ127"/>
    <mergeCell ref="BK116:BK127"/>
    <mergeCell ref="AZ116:AZ127"/>
    <mergeCell ref="BA116:BA127"/>
    <mergeCell ref="BB116:BB127"/>
    <mergeCell ref="BC116:BC127"/>
    <mergeCell ref="BD116:BD127"/>
    <mergeCell ref="BE116:BE127"/>
    <mergeCell ref="AT116:AT127"/>
    <mergeCell ref="AU116:AU127"/>
    <mergeCell ref="AV116:AV127"/>
    <mergeCell ref="AW116:AW127"/>
    <mergeCell ref="AX116:AX127"/>
    <mergeCell ref="AY116:AY127"/>
    <mergeCell ref="AN116:AN127"/>
    <mergeCell ref="AO116:AO127"/>
    <mergeCell ref="AP116:AP127"/>
    <mergeCell ref="AQ116:AQ127"/>
    <mergeCell ref="AR116:AR127"/>
    <mergeCell ref="AS116:AS127"/>
    <mergeCell ref="AH116:AH127"/>
    <mergeCell ref="AI116:AI127"/>
    <mergeCell ref="AJ116:AJ127"/>
    <mergeCell ref="AK116:AK127"/>
    <mergeCell ref="AL116:AL127"/>
    <mergeCell ref="AM116:AM127"/>
    <mergeCell ref="AB116:AB127"/>
    <mergeCell ref="AC116:AC127"/>
    <mergeCell ref="AD116:AD127"/>
    <mergeCell ref="AE116:AE127"/>
    <mergeCell ref="AF116:AF127"/>
    <mergeCell ref="AG116:AG127"/>
    <mergeCell ref="P116:P127"/>
    <mergeCell ref="Q116:Q127"/>
    <mergeCell ref="R116:R127"/>
    <mergeCell ref="S116:S127"/>
    <mergeCell ref="T116:T127"/>
    <mergeCell ref="U116:U126"/>
    <mergeCell ref="J116:J127"/>
    <mergeCell ref="K116:K127"/>
    <mergeCell ref="L116:L127"/>
    <mergeCell ref="M116:M127"/>
    <mergeCell ref="N116:N127"/>
    <mergeCell ref="O116:O127"/>
    <mergeCell ref="J97:J115"/>
    <mergeCell ref="K97:K115"/>
    <mergeCell ref="L97:L115"/>
    <mergeCell ref="M97:M115"/>
    <mergeCell ref="N97:N115"/>
    <mergeCell ref="O97:O115"/>
    <mergeCell ref="BR97:BR115"/>
    <mergeCell ref="V100:V101"/>
    <mergeCell ref="U102:U104"/>
    <mergeCell ref="U105:U115"/>
    <mergeCell ref="V105:V106"/>
    <mergeCell ref="V107:V108"/>
    <mergeCell ref="V109:V110"/>
    <mergeCell ref="V111:V112"/>
    <mergeCell ref="V113:V114"/>
    <mergeCell ref="W113:W114"/>
    <mergeCell ref="BL97:BL115"/>
    <mergeCell ref="BM97:BM115"/>
    <mergeCell ref="BN97:BN115"/>
    <mergeCell ref="BO97:BO115"/>
    <mergeCell ref="BP97:BP115"/>
    <mergeCell ref="BQ97:BQ115"/>
    <mergeCell ref="BF97:BF115"/>
    <mergeCell ref="BG97:BG115"/>
    <mergeCell ref="BH97:BH115"/>
    <mergeCell ref="BI97:BI115"/>
    <mergeCell ref="BJ97:BJ115"/>
    <mergeCell ref="BK97:BK115"/>
    <mergeCell ref="AZ97:AZ115"/>
    <mergeCell ref="BA97:BA115"/>
    <mergeCell ref="BB97:BB115"/>
    <mergeCell ref="BC97:BC115"/>
    <mergeCell ref="BD97:BD115"/>
    <mergeCell ref="BE97:BE115"/>
    <mergeCell ref="AT97:AT115"/>
    <mergeCell ref="AU97:AU115"/>
    <mergeCell ref="AV97:AV115"/>
    <mergeCell ref="AW97:AW115"/>
    <mergeCell ref="AX97:AX115"/>
    <mergeCell ref="AY97:AY115"/>
    <mergeCell ref="AN97:AN115"/>
    <mergeCell ref="AO97:AO115"/>
    <mergeCell ref="AP97:AP115"/>
    <mergeCell ref="AQ97:AQ115"/>
    <mergeCell ref="AR97:AR115"/>
    <mergeCell ref="AS97:AS115"/>
    <mergeCell ref="AH97:AH115"/>
    <mergeCell ref="AI97:AI115"/>
    <mergeCell ref="AJ97:AJ115"/>
    <mergeCell ref="AK97:AK115"/>
    <mergeCell ref="AL97:AL115"/>
    <mergeCell ref="AM97:AM115"/>
    <mergeCell ref="AB97:AB115"/>
    <mergeCell ref="AC97:AC115"/>
    <mergeCell ref="AD97:AD115"/>
    <mergeCell ref="AE97:AE115"/>
    <mergeCell ref="AF97:AF115"/>
    <mergeCell ref="AG97:AG115"/>
    <mergeCell ref="P97:P115"/>
    <mergeCell ref="Q97:Q115"/>
    <mergeCell ref="R97:R115"/>
    <mergeCell ref="S97:S115"/>
    <mergeCell ref="T97:T115"/>
    <mergeCell ref="U97:U101"/>
    <mergeCell ref="X113:X114"/>
    <mergeCell ref="Y113:Y114"/>
    <mergeCell ref="Z113:Z114"/>
    <mergeCell ref="AA113:AA114"/>
    <mergeCell ref="BQ91:BQ96"/>
    <mergeCell ref="BR91:BR96"/>
    <mergeCell ref="V93:V94"/>
    <mergeCell ref="V95:V96"/>
    <mergeCell ref="A97:A115"/>
    <mergeCell ref="B97:C115"/>
    <mergeCell ref="D97:D115"/>
    <mergeCell ref="E97:F115"/>
    <mergeCell ref="G97:G115"/>
    <mergeCell ref="H97:I115"/>
    <mergeCell ref="BK91:BK96"/>
    <mergeCell ref="BL91:BL96"/>
    <mergeCell ref="BM91:BM96"/>
    <mergeCell ref="BN91:BN96"/>
    <mergeCell ref="BO91:BO96"/>
    <mergeCell ref="BP91:BP96"/>
    <mergeCell ref="BE91:BE96"/>
    <mergeCell ref="BF91:BF96"/>
    <mergeCell ref="BG91:BG96"/>
    <mergeCell ref="BH91:BH96"/>
    <mergeCell ref="BI91:BI96"/>
    <mergeCell ref="BJ91:BJ96"/>
    <mergeCell ref="AY91:AY96"/>
    <mergeCell ref="AZ91:AZ96"/>
    <mergeCell ref="BA91:BA96"/>
    <mergeCell ref="BB91:BB96"/>
    <mergeCell ref="BC91:BC96"/>
    <mergeCell ref="BD91:BD96"/>
    <mergeCell ref="AS91:AS96"/>
    <mergeCell ref="AT91:AT96"/>
    <mergeCell ref="AU91:AU96"/>
    <mergeCell ref="AV91:AV96"/>
    <mergeCell ref="AW91:AW96"/>
    <mergeCell ref="AX91:AX96"/>
    <mergeCell ref="AM91:AM96"/>
    <mergeCell ref="AN91:AN96"/>
    <mergeCell ref="AO91:AO96"/>
    <mergeCell ref="AP91:AP96"/>
    <mergeCell ref="AQ91:AQ96"/>
    <mergeCell ref="AR91:AR96"/>
    <mergeCell ref="AG91:AG96"/>
    <mergeCell ref="AH91:AH96"/>
    <mergeCell ref="AI91:AI96"/>
    <mergeCell ref="AJ91:AJ96"/>
    <mergeCell ref="AK91:AK96"/>
    <mergeCell ref="AL91:AL96"/>
    <mergeCell ref="V91:V92"/>
    <mergeCell ref="AB91:AB96"/>
    <mergeCell ref="AC91:AC96"/>
    <mergeCell ref="AD91:AD96"/>
    <mergeCell ref="AE91:AE96"/>
    <mergeCell ref="AF91:AF96"/>
    <mergeCell ref="P91:P96"/>
    <mergeCell ref="Q91:Q96"/>
    <mergeCell ref="R91:R96"/>
    <mergeCell ref="S91:S96"/>
    <mergeCell ref="T91:T96"/>
    <mergeCell ref="U91:U96"/>
    <mergeCell ref="J91:J96"/>
    <mergeCell ref="K91:K96"/>
    <mergeCell ref="L91:L96"/>
    <mergeCell ref="M91:M96"/>
    <mergeCell ref="N91:N96"/>
    <mergeCell ref="O91:O96"/>
    <mergeCell ref="BN82:BN90"/>
    <mergeCell ref="BO82:BO90"/>
    <mergeCell ref="BP82:BP90"/>
    <mergeCell ref="AR82:AR90"/>
    <mergeCell ref="AS82:AS90"/>
    <mergeCell ref="AT82:AT90"/>
    <mergeCell ref="AU82:AU90"/>
    <mergeCell ref="AJ82:AJ90"/>
    <mergeCell ref="AK82:AK90"/>
    <mergeCell ref="AL82:AL90"/>
    <mergeCell ref="AM82:AM90"/>
    <mergeCell ref="AN82:AN90"/>
    <mergeCell ref="AO82:AO90"/>
    <mergeCell ref="AD82:AD90"/>
    <mergeCell ref="AE82:AE90"/>
    <mergeCell ref="AF82:AF90"/>
    <mergeCell ref="AG82:AG90"/>
    <mergeCell ref="AH82:AH90"/>
    <mergeCell ref="BQ82:BQ90"/>
    <mergeCell ref="BR82:BR90"/>
    <mergeCell ref="V84:V85"/>
    <mergeCell ref="V86:V87"/>
    <mergeCell ref="BH82:BH90"/>
    <mergeCell ref="BI82:BI90"/>
    <mergeCell ref="BJ82:BJ90"/>
    <mergeCell ref="BK82:BK90"/>
    <mergeCell ref="BL82:BL90"/>
    <mergeCell ref="BM82:BM90"/>
    <mergeCell ref="BB82:BB90"/>
    <mergeCell ref="BC82:BC90"/>
    <mergeCell ref="BD82:BD90"/>
    <mergeCell ref="BE82:BE90"/>
    <mergeCell ref="BF82:BF90"/>
    <mergeCell ref="BG82:BG90"/>
    <mergeCell ref="AV82:AV90"/>
    <mergeCell ref="AW82:AW90"/>
    <mergeCell ref="AX82:AX90"/>
    <mergeCell ref="AY82:AY90"/>
    <mergeCell ref="AZ82:AZ90"/>
    <mergeCell ref="BA82:BA90"/>
    <mergeCell ref="AP82:AP90"/>
    <mergeCell ref="AQ82:AQ90"/>
    <mergeCell ref="AI82:AI90"/>
    <mergeCell ref="S82:S90"/>
    <mergeCell ref="T82:T90"/>
    <mergeCell ref="U82:U89"/>
    <mergeCell ref="V82:V83"/>
    <mergeCell ref="AB82:AB90"/>
    <mergeCell ref="AC82:AC90"/>
    <mergeCell ref="M82:M90"/>
    <mergeCell ref="N82:N90"/>
    <mergeCell ref="O82:O90"/>
    <mergeCell ref="P82:P90"/>
    <mergeCell ref="Q82:Q90"/>
    <mergeCell ref="R82:R90"/>
    <mergeCell ref="E82:F90"/>
    <mergeCell ref="G82:G90"/>
    <mergeCell ref="H82:I90"/>
    <mergeCell ref="J82:J90"/>
    <mergeCell ref="K82:K90"/>
    <mergeCell ref="L82:L90"/>
    <mergeCell ref="BP67:BP81"/>
    <mergeCell ref="BQ67:BQ81"/>
    <mergeCell ref="BR67:BR81"/>
    <mergeCell ref="V68:V69"/>
    <mergeCell ref="V70:V71"/>
    <mergeCell ref="J78:J81"/>
    <mergeCell ref="K78:K81"/>
    <mergeCell ref="L78:L81"/>
    <mergeCell ref="M78:M81"/>
    <mergeCell ref="N78:N81"/>
    <mergeCell ref="BJ67:BJ81"/>
    <mergeCell ref="BK67:BK81"/>
    <mergeCell ref="BL67:BL81"/>
    <mergeCell ref="BM67:BM81"/>
    <mergeCell ref="BN67:BN81"/>
    <mergeCell ref="BO67:BO81"/>
    <mergeCell ref="BD67:BD81"/>
    <mergeCell ref="BE67:BE81"/>
    <mergeCell ref="BF67:BF81"/>
    <mergeCell ref="BG67:BG81"/>
    <mergeCell ref="BH67:BH81"/>
    <mergeCell ref="BI67:BI81"/>
    <mergeCell ref="AX67:AX81"/>
    <mergeCell ref="AY67:AY81"/>
    <mergeCell ref="AZ67:AZ81"/>
    <mergeCell ref="BA67:BA81"/>
    <mergeCell ref="BB67:BB81"/>
    <mergeCell ref="BC67:BC81"/>
    <mergeCell ref="AR67:AR81"/>
    <mergeCell ref="AS67:AS81"/>
    <mergeCell ref="AT67:AT81"/>
    <mergeCell ref="AU67:AU81"/>
    <mergeCell ref="AV67:AV81"/>
    <mergeCell ref="AW67:AW81"/>
    <mergeCell ref="AL67:AL81"/>
    <mergeCell ref="AM67:AM81"/>
    <mergeCell ref="AN67:AN81"/>
    <mergeCell ref="AO67:AO81"/>
    <mergeCell ref="AP67:AP81"/>
    <mergeCell ref="AQ67:AQ81"/>
    <mergeCell ref="AD67:AD81"/>
    <mergeCell ref="AF67:AF81"/>
    <mergeCell ref="AH67:AH81"/>
    <mergeCell ref="AI67:AI81"/>
    <mergeCell ref="AJ67:AJ81"/>
    <mergeCell ref="AK67:AK81"/>
    <mergeCell ref="Q67:Q81"/>
    <mergeCell ref="R67:R74"/>
    <mergeCell ref="S67:S81"/>
    <mergeCell ref="T67:T81"/>
    <mergeCell ref="U67:U74"/>
    <mergeCell ref="AB67:AB81"/>
    <mergeCell ref="R78:R81"/>
    <mergeCell ref="U78:U81"/>
    <mergeCell ref="V78:V79"/>
    <mergeCell ref="V80:V81"/>
    <mergeCell ref="BR53:BR64"/>
    <mergeCell ref="U57:U62"/>
    <mergeCell ref="U63:U64"/>
    <mergeCell ref="F65:K65"/>
    <mergeCell ref="J67:J74"/>
    <mergeCell ref="K67:K74"/>
    <mergeCell ref="L67:L74"/>
    <mergeCell ref="M67:M74"/>
    <mergeCell ref="N67:N74"/>
    <mergeCell ref="P67:P81"/>
    <mergeCell ref="BL53:BL64"/>
    <mergeCell ref="BM53:BM64"/>
    <mergeCell ref="BN53:BN64"/>
    <mergeCell ref="BO53:BO64"/>
    <mergeCell ref="BP53:BP64"/>
    <mergeCell ref="BQ53:BQ64"/>
    <mergeCell ref="BF53:BF64"/>
    <mergeCell ref="BG53:BG64"/>
    <mergeCell ref="BH53:BH64"/>
    <mergeCell ref="BI53:BI64"/>
    <mergeCell ref="BJ53:BJ64"/>
    <mergeCell ref="BK53:BK64"/>
    <mergeCell ref="AZ53:AZ64"/>
    <mergeCell ref="BA53:BA64"/>
    <mergeCell ref="BB53:BB64"/>
    <mergeCell ref="BC53:BC64"/>
    <mergeCell ref="BD53:BD64"/>
    <mergeCell ref="BE53:BE64"/>
    <mergeCell ref="AT53:AT64"/>
    <mergeCell ref="AU53:AU64"/>
    <mergeCell ref="AV53:AV64"/>
    <mergeCell ref="AW53:AW64"/>
    <mergeCell ref="AX53:AX64"/>
    <mergeCell ref="AY53:AY64"/>
    <mergeCell ref="AN53:AN64"/>
    <mergeCell ref="AO53:AO64"/>
    <mergeCell ref="AP53:AP64"/>
    <mergeCell ref="AQ53:AQ64"/>
    <mergeCell ref="AR53:AR64"/>
    <mergeCell ref="AS53:AS64"/>
    <mergeCell ref="AH53:AH64"/>
    <mergeCell ref="AI53:AI64"/>
    <mergeCell ref="AJ53:AJ64"/>
    <mergeCell ref="AK53:AK64"/>
    <mergeCell ref="AL53:AL64"/>
    <mergeCell ref="AM53:AM64"/>
    <mergeCell ref="AB53:AB64"/>
    <mergeCell ref="AC53:AC64"/>
    <mergeCell ref="AD53:AD64"/>
    <mergeCell ref="AE53:AE64"/>
    <mergeCell ref="AF53:AF64"/>
    <mergeCell ref="AG53:AG64"/>
    <mergeCell ref="P53:P64"/>
    <mergeCell ref="Q53:Q64"/>
    <mergeCell ref="R53:R64"/>
    <mergeCell ref="S53:S64"/>
    <mergeCell ref="T53:T64"/>
    <mergeCell ref="U53:U56"/>
    <mergeCell ref="J53:J64"/>
    <mergeCell ref="K53:K64"/>
    <mergeCell ref="L53:L64"/>
    <mergeCell ref="M53:M64"/>
    <mergeCell ref="N53:N64"/>
    <mergeCell ref="O53:O64"/>
    <mergeCell ref="BQ35:BQ50"/>
    <mergeCell ref="BR35:BR50"/>
    <mergeCell ref="U45:U46"/>
    <mergeCell ref="U47:U50"/>
    <mergeCell ref="E51:K51"/>
    <mergeCell ref="H52:K52"/>
    <mergeCell ref="BK35:BK50"/>
    <mergeCell ref="BL35:BL50"/>
    <mergeCell ref="BM35:BM50"/>
    <mergeCell ref="BN35:BN50"/>
    <mergeCell ref="BO35:BO50"/>
    <mergeCell ref="BP35:BP50"/>
    <mergeCell ref="BE35:BE50"/>
    <mergeCell ref="BF35:BF50"/>
    <mergeCell ref="BG35:BG50"/>
    <mergeCell ref="BH35:BH50"/>
    <mergeCell ref="BI35:BI50"/>
    <mergeCell ref="BJ35:BJ50"/>
    <mergeCell ref="AY35:AY50"/>
    <mergeCell ref="AZ35:AZ50"/>
    <mergeCell ref="BA35:BA50"/>
    <mergeCell ref="BB35:BB50"/>
    <mergeCell ref="BC35:BC50"/>
    <mergeCell ref="BD35:BD50"/>
    <mergeCell ref="AS35:AS50"/>
    <mergeCell ref="AT35:AT50"/>
    <mergeCell ref="AU35:AU50"/>
    <mergeCell ref="AV35:AV50"/>
    <mergeCell ref="AW35:AW50"/>
    <mergeCell ref="AX35:AX50"/>
    <mergeCell ref="AM35:AM50"/>
    <mergeCell ref="AN35:AN50"/>
    <mergeCell ref="AO35:AO50"/>
    <mergeCell ref="AP35:AP50"/>
    <mergeCell ref="AQ35:AQ50"/>
    <mergeCell ref="AR35:AR50"/>
    <mergeCell ref="AG35:AG50"/>
    <mergeCell ref="AH35:AH50"/>
    <mergeCell ref="AI35:AI50"/>
    <mergeCell ref="AJ35:AJ50"/>
    <mergeCell ref="AK35:AK50"/>
    <mergeCell ref="AL35:AL50"/>
    <mergeCell ref="U35:U43"/>
    <mergeCell ref="AB35:AB50"/>
    <mergeCell ref="AC35:AC50"/>
    <mergeCell ref="AD35:AD50"/>
    <mergeCell ref="AE35:AE50"/>
    <mergeCell ref="AF35:AF50"/>
    <mergeCell ref="O35:O50"/>
    <mergeCell ref="P35:P50"/>
    <mergeCell ref="Q35:Q50"/>
    <mergeCell ref="R35:R50"/>
    <mergeCell ref="S35:S50"/>
    <mergeCell ref="T35:T50"/>
    <mergeCell ref="BP12:BP33"/>
    <mergeCell ref="BQ12:BQ33"/>
    <mergeCell ref="BR12:BR33"/>
    <mergeCell ref="U13:U33"/>
    <mergeCell ref="H34:K34"/>
    <mergeCell ref="J35:J50"/>
    <mergeCell ref="K35:K50"/>
    <mergeCell ref="L35:L50"/>
    <mergeCell ref="M35:M50"/>
    <mergeCell ref="N35:N50"/>
    <mergeCell ref="BJ12:BJ33"/>
    <mergeCell ref="BK12:BK33"/>
    <mergeCell ref="BL12:BL33"/>
    <mergeCell ref="BM12:BM33"/>
    <mergeCell ref="BN12:BN33"/>
    <mergeCell ref="BO12:BO33"/>
    <mergeCell ref="BD12:BD33"/>
    <mergeCell ref="BE12:BE33"/>
    <mergeCell ref="BF12:BF33"/>
    <mergeCell ref="BG12:BG33"/>
    <mergeCell ref="BH12:BH33"/>
    <mergeCell ref="BI12:BI33"/>
    <mergeCell ref="AX12:AX33"/>
    <mergeCell ref="AY12:AY33"/>
    <mergeCell ref="AZ12:AZ33"/>
    <mergeCell ref="BA12:BA33"/>
    <mergeCell ref="BB12:BB33"/>
    <mergeCell ref="BC12:BC33"/>
    <mergeCell ref="AR12:AR33"/>
    <mergeCell ref="AS12:AS33"/>
    <mergeCell ref="AT12:AT33"/>
    <mergeCell ref="AU12:AU33"/>
    <mergeCell ref="AV12:AV33"/>
    <mergeCell ref="AW12:AW33"/>
    <mergeCell ref="AL12:AL33"/>
    <mergeCell ref="AM12:AM33"/>
    <mergeCell ref="AN12:AN33"/>
    <mergeCell ref="AO12:AO33"/>
    <mergeCell ref="AP12:AP33"/>
    <mergeCell ref="AQ12:AQ33"/>
    <mergeCell ref="AF12:AF33"/>
    <mergeCell ref="AG12:AG33"/>
    <mergeCell ref="AH12:AH33"/>
    <mergeCell ref="AI12:AI33"/>
    <mergeCell ref="AJ12:AJ33"/>
    <mergeCell ref="AK12:AK33"/>
    <mergeCell ref="AC12:AC33"/>
    <mergeCell ref="AD12:AD33"/>
    <mergeCell ref="AE12:AE33"/>
    <mergeCell ref="M12:M33"/>
    <mergeCell ref="N12:N33"/>
    <mergeCell ref="O12:O33"/>
    <mergeCell ref="P12:P33"/>
    <mergeCell ref="Q12:Q33"/>
    <mergeCell ref="R12:R33"/>
    <mergeCell ref="B9:K9"/>
    <mergeCell ref="E10:K10"/>
    <mergeCell ref="H11:K11"/>
    <mergeCell ref="J12:J33"/>
    <mergeCell ref="K12:K33"/>
    <mergeCell ref="L12:L33"/>
    <mergeCell ref="BH7:BH8"/>
    <mergeCell ref="BI7:BI8"/>
    <mergeCell ref="BJ7:BJ8"/>
    <mergeCell ref="R6:R7"/>
    <mergeCell ref="S6:S7"/>
    <mergeCell ref="T6:T7"/>
    <mergeCell ref="U6:U7"/>
    <mergeCell ref="V6:V7"/>
    <mergeCell ref="W6:Y7"/>
    <mergeCell ref="K6:K7"/>
    <mergeCell ref="L6:L7"/>
    <mergeCell ref="M6:N7"/>
    <mergeCell ref="O6:O7"/>
    <mergeCell ref="P6:P7"/>
    <mergeCell ref="Q6:Q7"/>
    <mergeCell ref="S12:S33"/>
    <mergeCell ref="T12:T33"/>
    <mergeCell ref="AB12:AB33"/>
    <mergeCell ref="AL7:AM7"/>
    <mergeCell ref="AN7:AO7"/>
    <mergeCell ref="AP7:AQ7"/>
    <mergeCell ref="AR7:AS7"/>
    <mergeCell ref="BK7:BK8"/>
    <mergeCell ref="BL7:BL8"/>
    <mergeCell ref="BM7:BM8"/>
    <mergeCell ref="AT7:AU7"/>
    <mergeCell ref="AV7:AW7"/>
    <mergeCell ref="AX7:AY7"/>
    <mergeCell ref="AZ7:BA7"/>
    <mergeCell ref="BB7:BC7"/>
    <mergeCell ref="BD7:BE7"/>
    <mergeCell ref="BF6:BG7"/>
    <mergeCell ref="BH6:BM6"/>
    <mergeCell ref="A1:BN4"/>
    <mergeCell ref="A5:M5"/>
    <mergeCell ref="O5:BR5"/>
    <mergeCell ref="A6:A7"/>
    <mergeCell ref="B6:C7"/>
    <mergeCell ref="D6:D7"/>
    <mergeCell ref="E6:F7"/>
    <mergeCell ref="G6:G7"/>
    <mergeCell ref="H6:I7"/>
    <mergeCell ref="J6:J7"/>
    <mergeCell ref="BN6:BO7"/>
    <mergeCell ref="BP6:BQ7"/>
    <mergeCell ref="BR6:BR7"/>
    <mergeCell ref="AB7:AC7"/>
    <mergeCell ref="AD7:AE7"/>
    <mergeCell ref="AF7:AG7"/>
    <mergeCell ref="AH7:AI7"/>
    <mergeCell ref="AJ7:AK7"/>
    <mergeCell ref="Z6:Z7"/>
    <mergeCell ref="AA6:AA7"/>
    <mergeCell ref="AB6:AD6"/>
    <mergeCell ref="AF6:AL6"/>
    <mergeCell ref="AN6:AX6"/>
    <mergeCell ref="AZ6:BE6"/>
  </mergeCells>
  <pageMargins left="1.1023622047244095" right="0.11811023622047245" top="0.35433070866141736" bottom="0.35433070866141736" header="0.31496062992125984" footer="0.31496062992125984"/>
  <pageSetup paperSize="5"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U30"/>
  <sheetViews>
    <sheetView showGridLines="0" topLeftCell="Q1" zoomScale="60" zoomScaleNormal="60" workbookViewId="0">
      <selection activeCell="T13" sqref="T13:T19"/>
    </sheetView>
  </sheetViews>
  <sheetFormatPr baseColWidth="10" defaultColWidth="11.42578125" defaultRowHeight="15.75" x14ac:dyDescent="0.25"/>
  <cols>
    <col min="1" max="1" width="11.85546875" style="908" customWidth="1"/>
    <col min="2" max="2" width="21.140625" style="25" customWidth="1"/>
    <col min="3" max="3" width="16.7109375" style="25" customWidth="1"/>
    <col min="4" max="4" width="20.28515625" style="25" customWidth="1"/>
    <col min="5" max="6" width="13.85546875" style="25" customWidth="1"/>
    <col min="7" max="7" width="13.140625" style="25" customWidth="1"/>
    <col min="8" max="8" width="11.7109375" style="25" customWidth="1"/>
    <col min="9" max="9" width="6.85546875" style="25" customWidth="1"/>
    <col min="10" max="10" width="14.5703125" style="25" customWidth="1"/>
    <col min="11" max="11" width="50.5703125" style="663" customWidth="1"/>
    <col min="12" max="12" width="28.7109375" style="735" customWidth="1"/>
    <col min="13" max="13" width="15.28515625" style="822" customWidth="1"/>
    <col min="14" max="14" width="15.7109375" style="822" customWidth="1"/>
    <col min="15" max="15" width="36.7109375" style="735" customWidth="1"/>
    <col min="16" max="16" width="24.5703125" style="735" customWidth="1"/>
    <col min="17" max="17" width="24.5703125" style="663" customWidth="1"/>
    <col min="18" max="18" width="17.85546875" style="1212" customWidth="1"/>
    <col min="19" max="19" width="26.85546875" style="1213" customWidth="1"/>
    <col min="20" max="20" width="37.28515625" style="663" customWidth="1"/>
    <col min="21" max="21" width="48.42578125" style="663" customWidth="1"/>
    <col min="22" max="22" width="34.140625" style="663" customWidth="1"/>
    <col min="23" max="25" width="28.42578125" style="1214" customWidth="1"/>
    <col min="26" max="26" width="18.5703125" style="1210" customWidth="1"/>
    <col min="27" max="27" width="22" style="663" customWidth="1"/>
    <col min="28" max="29" width="10.42578125" style="25" customWidth="1"/>
    <col min="30" max="31" width="10.5703125" style="25" customWidth="1"/>
    <col min="32" max="33" width="11.85546875" style="25" customWidth="1"/>
    <col min="34" max="35" width="10.140625" style="25" customWidth="1"/>
    <col min="36" max="37" width="10.5703125" style="25" customWidth="1"/>
    <col min="38" max="39" width="9.5703125" style="25" customWidth="1"/>
    <col min="40" max="41" width="9.28515625" style="25" customWidth="1"/>
    <col min="42" max="43" width="8.85546875" style="25" customWidth="1"/>
    <col min="44" max="49" width="8" style="25" customWidth="1"/>
    <col min="50" max="51" width="8.7109375" style="25" customWidth="1"/>
    <col min="52" max="53" width="9.85546875" style="25" customWidth="1"/>
    <col min="54" max="55" width="10.5703125" style="25" customWidth="1"/>
    <col min="56" max="57" width="9.85546875" style="25" customWidth="1"/>
    <col min="58" max="59" width="13.140625" style="25" customWidth="1"/>
    <col min="60" max="60" width="16.42578125" style="25" customWidth="1"/>
    <col min="61" max="61" width="22" style="25" customWidth="1"/>
    <col min="62" max="62" width="23.85546875" style="25" customWidth="1"/>
    <col min="63" max="63" width="19.42578125" style="25" customWidth="1"/>
    <col min="64" max="64" width="18.85546875" style="25" bestFit="1" customWidth="1"/>
    <col min="65" max="65" width="30.7109375" style="25" customWidth="1"/>
    <col min="66" max="66" width="18.42578125" style="1211" customWidth="1"/>
    <col min="67" max="67" width="18.85546875" style="1211" customWidth="1"/>
    <col min="68" max="69" width="23" style="1100" customWidth="1"/>
    <col min="70" max="70" width="27.42578125" style="909" customWidth="1"/>
    <col min="71" max="281" width="11.42578125" style="25"/>
    <col min="282" max="283" width="11.42578125" style="1103"/>
    <col min="284" max="284" width="13" style="1103" bestFit="1" customWidth="1"/>
    <col min="285" max="285" width="6.85546875" style="1103" customWidth="1"/>
    <col min="286" max="286" width="14.28515625" style="1103" customWidth="1"/>
    <col min="287" max="287" width="14" style="1103" customWidth="1"/>
    <col min="288" max="288" width="17.85546875" style="1103" customWidth="1"/>
    <col min="289" max="289" width="3.5703125" style="1103" customWidth="1"/>
    <col min="290" max="290" width="13.28515625" style="1103" customWidth="1"/>
    <col min="291" max="291" width="5.85546875" style="1103" customWidth="1"/>
    <col min="292" max="292" width="23.28515625" style="1103" customWidth="1"/>
    <col min="293" max="293" width="17.140625" style="1103" customWidth="1"/>
    <col min="294" max="294" width="50.5703125" style="1103" customWidth="1"/>
    <col min="295" max="295" width="28.7109375" style="1103" customWidth="1"/>
    <col min="296" max="296" width="25.140625" style="1103" customWidth="1"/>
    <col min="297" max="297" width="36.7109375" style="1103" customWidth="1"/>
    <col min="298" max="299" width="24.5703125" style="1103" customWidth="1"/>
    <col min="300" max="300" width="17.85546875" style="1103" customWidth="1"/>
    <col min="301" max="301" width="27.5703125" style="1103" bestFit="1" customWidth="1"/>
    <col min="302" max="302" width="37.28515625" style="1103" customWidth="1"/>
    <col min="303" max="303" width="48.42578125" style="1103" customWidth="1"/>
    <col min="304" max="304" width="32" style="1103" customWidth="1"/>
    <col min="305" max="305" width="32.7109375" style="1103" customWidth="1"/>
    <col min="306" max="306" width="18.5703125" style="1103" customWidth="1"/>
    <col min="307" max="307" width="16.7109375" style="1103" customWidth="1"/>
    <col min="308" max="308" width="10.42578125" style="1103" customWidth="1"/>
    <col min="309" max="309" width="10.5703125" style="1103" customWidth="1"/>
    <col min="310" max="310" width="9.28515625" style="1103" customWidth="1"/>
    <col min="311" max="311" width="10.140625" style="1103" customWidth="1"/>
    <col min="312" max="312" width="8.42578125" style="1103" customWidth="1"/>
    <col min="313" max="313" width="9.5703125" style="1103" customWidth="1"/>
    <col min="314" max="314" width="9.28515625" style="1103" customWidth="1"/>
    <col min="315" max="315" width="8.85546875" style="1103" customWidth="1"/>
    <col min="316" max="318" width="8" style="1103" customWidth="1"/>
    <col min="319" max="319" width="8.7109375" style="1103" customWidth="1"/>
    <col min="320" max="320" width="8.140625" style="1103" customWidth="1"/>
    <col min="321" max="321" width="10.5703125" style="1103" customWidth="1"/>
    <col min="322" max="322" width="9.85546875" style="1103" customWidth="1"/>
    <col min="323" max="323" width="13.140625" style="1103" customWidth="1"/>
    <col min="324" max="324" width="25.42578125" style="1103" customWidth="1"/>
    <col min="325" max="325" width="30.85546875" style="1103" customWidth="1"/>
    <col min="326" max="326" width="27.42578125" style="1103" customWidth="1"/>
    <col min="327" max="539" width="11.42578125" style="1103"/>
    <col min="540" max="540" width="13" style="1103" bestFit="1" customWidth="1"/>
    <col min="541" max="541" width="6.85546875" style="1103" customWidth="1"/>
    <col min="542" max="542" width="14.28515625" style="1103" customWidth="1"/>
    <col min="543" max="543" width="14" style="1103" customWidth="1"/>
    <col min="544" max="544" width="17.85546875" style="1103" customWidth="1"/>
    <col min="545" max="545" width="3.5703125" style="1103" customWidth="1"/>
    <col min="546" max="546" width="13.28515625" style="1103" customWidth="1"/>
    <col min="547" max="547" width="5.85546875" style="1103" customWidth="1"/>
    <col min="548" max="548" width="23.28515625" style="1103" customWidth="1"/>
    <col min="549" max="549" width="17.140625" style="1103" customWidth="1"/>
    <col min="550" max="550" width="50.5703125" style="1103" customWidth="1"/>
    <col min="551" max="551" width="28.7109375" style="1103" customWidth="1"/>
    <col min="552" max="552" width="25.140625" style="1103" customWidth="1"/>
    <col min="553" max="553" width="36.7109375" style="1103" customWidth="1"/>
    <col min="554" max="555" width="24.5703125" style="1103" customWidth="1"/>
    <col min="556" max="556" width="17.85546875" style="1103" customWidth="1"/>
    <col min="557" max="557" width="27.5703125" style="1103" bestFit="1" customWidth="1"/>
    <col min="558" max="558" width="37.28515625" style="1103" customWidth="1"/>
    <col min="559" max="559" width="48.42578125" style="1103" customWidth="1"/>
    <col min="560" max="560" width="32" style="1103" customWidth="1"/>
    <col min="561" max="561" width="32.7109375" style="1103" customWidth="1"/>
    <col min="562" max="562" width="18.5703125" style="1103" customWidth="1"/>
    <col min="563" max="563" width="16.7109375" style="1103" customWidth="1"/>
    <col min="564" max="564" width="10.42578125" style="1103" customWidth="1"/>
    <col min="565" max="565" width="10.5703125" style="1103" customWidth="1"/>
    <col min="566" max="566" width="9.28515625" style="1103" customWidth="1"/>
    <col min="567" max="567" width="10.140625" style="1103" customWidth="1"/>
    <col min="568" max="568" width="8.42578125" style="1103" customWidth="1"/>
    <col min="569" max="569" width="9.5703125" style="1103" customWidth="1"/>
    <col min="570" max="570" width="9.28515625" style="1103" customWidth="1"/>
    <col min="571" max="571" width="8.85546875" style="1103" customWidth="1"/>
    <col min="572" max="574" width="8" style="1103" customWidth="1"/>
    <col min="575" max="575" width="8.7109375" style="1103" customWidth="1"/>
    <col min="576" max="576" width="8.140625" style="1103" customWidth="1"/>
    <col min="577" max="577" width="10.5703125" style="1103" customWidth="1"/>
    <col min="578" max="578" width="9.85546875" style="1103" customWidth="1"/>
    <col min="579" max="579" width="13.140625" style="1103" customWidth="1"/>
    <col min="580" max="580" width="25.42578125" style="1103" customWidth="1"/>
    <col min="581" max="581" width="30.85546875" style="1103" customWidth="1"/>
    <col min="582" max="582" width="27.42578125" style="1103" customWidth="1"/>
    <col min="583" max="795" width="11.42578125" style="1103"/>
    <col min="796" max="796" width="13" style="1103" bestFit="1" customWidth="1"/>
    <col min="797" max="797" width="6.85546875" style="1103" customWidth="1"/>
    <col min="798" max="798" width="14.28515625" style="1103" customWidth="1"/>
    <col min="799" max="799" width="14" style="1103" customWidth="1"/>
    <col min="800" max="800" width="17.85546875" style="1103" customWidth="1"/>
    <col min="801" max="801" width="3.5703125" style="1103" customWidth="1"/>
    <col min="802" max="802" width="13.28515625" style="1103" customWidth="1"/>
    <col min="803" max="803" width="5.85546875" style="1103" customWidth="1"/>
    <col min="804" max="804" width="23.28515625" style="1103" customWidth="1"/>
    <col min="805" max="805" width="17.140625" style="1103" customWidth="1"/>
    <col min="806" max="806" width="50.5703125" style="1103" customWidth="1"/>
    <col min="807" max="807" width="28.7109375" style="1103" customWidth="1"/>
    <col min="808" max="808" width="25.140625" style="1103" customWidth="1"/>
    <col min="809" max="809" width="36.7109375" style="1103" customWidth="1"/>
    <col min="810" max="811" width="24.5703125" style="1103" customWidth="1"/>
    <col min="812" max="812" width="17.85546875" style="1103" customWidth="1"/>
    <col min="813" max="813" width="27.5703125" style="1103" bestFit="1" customWidth="1"/>
    <col min="814" max="814" width="37.28515625" style="1103" customWidth="1"/>
    <col min="815" max="815" width="48.42578125" style="1103" customWidth="1"/>
    <col min="816" max="816" width="32" style="1103" customWidth="1"/>
    <col min="817" max="817" width="32.7109375" style="1103" customWidth="1"/>
    <col min="818" max="818" width="18.5703125" style="1103" customWidth="1"/>
    <col min="819" max="819" width="16.7109375" style="1103" customWidth="1"/>
    <col min="820" max="820" width="10.42578125" style="1103" customWidth="1"/>
    <col min="821" max="821" width="10.5703125" style="1103" customWidth="1"/>
    <col min="822" max="822" width="9.28515625" style="1103" customWidth="1"/>
    <col min="823" max="823" width="10.140625" style="1103" customWidth="1"/>
    <col min="824" max="824" width="8.42578125" style="1103" customWidth="1"/>
    <col min="825" max="825" width="9.5703125" style="1103" customWidth="1"/>
    <col min="826" max="826" width="9.28515625" style="1103" customWidth="1"/>
    <col min="827" max="827" width="8.85546875" style="1103" customWidth="1"/>
    <col min="828" max="830" width="8" style="1103" customWidth="1"/>
    <col min="831" max="831" width="8.7109375" style="1103" customWidth="1"/>
    <col min="832" max="832" width="8.140625" style="1103" customWidth="1"/>
    <col min="833" max="833" width="10.5703125" style="1103" customWidth="1"/>
    <col min="834" max="834" width="9.85546875" style="1103" customWidth="1"/>
    <col min="835" max="835" width="13.140625" style="1103" customWidth="1"/>
    <col min="836" max="836" width="25.42578125" style="1103" customWidth="1"/>
    <col min="837" max="837" width="30.85546875" style="1103" customWidth="1"/>
    <col min="838" max="838" width="27.42578125" style="1103" customWidth="1"/>
    <col min="839" max="1051" width="11.42578125" style="1103"/>
    <col min="1052" max="1052" width="13" style="1103" bestFit="1" customWidth="1"/>
    <col min="1053" max="1053" width="6.85546875" style="1103" customWidth="1"/>
    <col min="1054" max="1054" width="14.28515625" style="1103" customWidth="1"/>
    <col min="1055" max="1055" width="14" style="1103" customWidth="1"/>
    <col min="1056" max="1056" width="17.85546875" style="1103" customWidth="1"/>
    <col min="1057" max="1057" width="3.5703125" style="1103" customWidth="1"/>
    <col min="1058" max="1058" width="13.28515625" style="1103" customWidth="1"/>
    <col min="1059" max="1059" width="5.85546875" style="1103" customWidth="1"/>
    <col min="1060" max="1060" width="23.28515625" style="1103" customWidth="1"/>
    <col min="1061" max="1061" width="17.140625" style="1103" customWidth="1"/>
    <col min="1062" max="1062" width="50.5703125" style="1103" customWidth="1"/>
    <col min="1063" max="1063" width="28.7109375" style="1103" customWidth="1"/>
    <col min="1064" max="1064" width="25.140625" style="1103" customWidth="1"/>
    <col min="1065" max="1065" width="36.7109375" style="1103" customWidth="1"/>
    <col min="1066" max="1067" width="24.5703125" style="1103" customWidth="1"/>
    <col min="1068" max="1068" width="17.85546875" style="1103" customWidth="1"/>
    <col min="1069" max="1069" width="27.5703125" style="1103" bestFit="1" customWidth="1"/>
    <col min="1070" max="1070" width="37.28515625" style="1103" customWidth="1"/>
    <col min="1071" max="1071" width="48.42578125" style="1103" customWidth="1"/>
    <col min="1072" max="1072" width="32" style="1103" customWidth="1"/>
    <col min="1073" max="1073" width="32.7109375" style="1103" customWidth="1"/>
    <col min="1074" max="1074" width="18.5703125" style="1103" customWidth="1"/>
    <col min="1075" max="1075" width="16.7109375" style="1103" customWidth="1"/>
    <col min="1076" max="1076" width="10.42578125" style="1103" customWidth="1"/>
    <col min="1077" max="1077" width="10.5703125" style="1103" customWidth="1"/>
    <col min="1078" max="1078" width="9.28515625" style="1103" customWidth="1"/>
    <col min="1079" max="1079" width="10.140625" style="1103" customWidth="1"/>
    <col min="1080" max="1080" width="8.42578125" style="1103" customWidth="1"/>
    <col min="1081" max="1081" width="9.5703125" style="1103" customWidth="1"/>
    <col min="1082" max="1082" width="9.28515625" style="1103" customWidth="1"/>
    <col min="1083" max="1083" width="8.85546875" style="1103" customWidth="1"/>
    <col min="1084" max="1086" width="8" style="1103" customWidth="1"/>
    <col min="1087" max="1087" width="8.7109375" style="1103" customWidth="1"/>
    <col min="1088" max="1088" width="8.140625" style="1103" customWidth="1"/>
    <col min="1089" max="1089" width="10.5703125" style="1103" customWidth="1"/>
    <col min="1090" max="1090" width="9.85546875" style="1103" customWidth="1"/>
    <col min="1091" max="1091" width="13.140625" style="1103" customWidth="1"/>
    <col min="1092" max="1092" width="25.42578125" style="1103" customWidth="1"/>
    <col min="1093" max="1093" width="30.85546875" style="1103" customWidth="1"/>
    <col min="1094" max="1094" width="27.42578125" style="1103" customWidth="1"/>
    <col min="1095" max="1307" width="11.42578125" style="1103"/>
    <col min="1308" max="1308" width="13" style="1103" bestFit="1" customWidth="1"/>
    <col min="1309" max="1309" width="6.85546875" style="1103" customWidth="1"/>
    <col min="1310" max="1310" width="14.28515625" style="1103" customWidth="1"/>
    <col min="1311" max="1311" width="14" style="1103" customWidth="1"/>
    <col min="1312" max="1312" width="17.85546875" style="1103" customWidth="1"/>
    <col min="1313" max="1313" width="3.5703125" style="1103" customWidth="1"/>
    <col min="1314" max="1314" width="13.28515625" style="1103" customWidth="1"/>
    <col min="1315" max="1315" width="5.85546875" style="1103" customWidth="1"/>
    <col min="1316" max="1316" width="23.28515625" style="1103" customWidth="1"/>
    <col min="1317" max="1317" width="17.140625" style="1103" customWidth="1"/>
    <col min="1318" max="1318" width="50.5703125" style="1103" customWidth="1"/>
    <col min="1319" max="1319" width="28.7109375" style="1103" customWidth="1"/>
    <col min="1320" max="1320" width="25.140625" style="1103" customWidth="1"/>
    <col min="1321" max="1321" width="36.7109375" style="1103" customWidth="1"/>
    <col min="1322" max="1323" width="24.5703125" style="1103" customWidth="1"/>
    <col min="1324" max="1324" width="17.85546875" style="1103" customWidth="1"/>
    <col min="1325" max="1325" width="27.5703125" style="1103" bestFit="1" customWidth="1"/>
    <col min="1326" max="1326" width="37.28515625" style="1103" customWidth="1"/>
    <col min="1327" max="1327" width="48.42578125" style="1103" customWidth="1"/>
    <col min="1328" max="1328" width="32" style="1103" customWidth="1"/>
    <col min="1329" max="1329" width="32.7109375" style="1103" customWidth="1"/>
    <col min="1330" max="1330" width="18.5703125" style="1103" customWidth="1"/>
    <col min="1331" max="1331" width="16.7109375" style="1103" customWidth="1"/>
    <col min="1332" max="1332" width="10.42578125" style="1103" customWidth="1"/>
    <col min="1333" max="1333" width="10.5703125" style="1103" customWidth="1"/>
    <col min="1334" max="1334" width="9.28515625" style="1103" customWidth="1"/>
    <col min="1335" max="1335" width="10.140625" style="1103" customWidth="1"/>
    <col min="1336" max="1336" width="8.42578125" style="1103" customWidth="1"/>
    <col min="1337" max="1337" width="9.5703125" style="1103" customWidth="1"/>
    <col min="1338" max="1338" width="9.28515625" style="1103" customWidth="1"/>
    <col min="1339" max="1339" width="8.85546875" style="1103" customWidth="1"/>
    <col min="1340" max="1342" width="8" style="1103" customWidth="1"/>
    <col min="1343" max="1343" width="8.7109375" style="1103" customWidth="1"/>
    <col min="1344" max="1344" width="8.140625" style="1103" customWidth="1"/>
    <col min="1345" max="1345" width="10.5703125" style="1103" customWidth="1"/>
    <col min="1346" max="1346" width="9.85546875" style="1103" customWidth="1"/>
    <col min="1347" max="1347" width="13.140625" style="1103" customWidth="1"/>
    <col min="1348" max="1348" width="25.42578125" style="1103" customWidth="1"/>
    <col min="1349" max="1349" width="30.85546875" style="1103" customWidth="1"/>
    <col min="1350" max="1350" width="27.42578125" style="1103" customWidth="1"/>
    <col min="1351" max="1563" width="11.42578125" style="1103"/>
    <col min="1564" max="1564" width="13" style="1103" bestFit="1" customWidth="1"/>
    <col min="1565" max="1565" width="6.85546875" style="1103" customWidth="1"/>
    <col min="1566" max="1566" width="14.28515625" style="1103" customWidth="1"/>
    <col min="1567" max="1567" width="14" style="1103" customWidth="1"/>
    <col min="1568" max="1568" width="17.85546875" style="1103" customWidth="1"/>
    <col min="1569" max="1569" width="3.5703125" style="1103" customWidth="1"/>
    <col min="1570" max="1570" width="13.28515625" style="1103" customWidth="1"/>
    <col min="1571" max="1571" width="5.85546875" style="1103" customWidth="1"/>
    <col min="1572" max="1572" width="23.28515625" style="1103" customWidth="1"/>
    <col min="1573" max="1573" width="17.140625" style="1103" customWidth="1"/>
    <col min="1574" max="1574" width="50.5703125" style="1103" customWidth="1"/>
    <col min="1575" max="1575" width="28.7109375" style="1103" customWidth="1"/>
    <col min="1576" max="1576" width="25.140625" style="1103" customWidth="1"/>
    <col min="1577" max="1577" width="36.7109375" style="1103" customWidth="1"/>
    <col min="1578" max="1579" width="24.5703125" style="1103" customWidth="1"/>
    <col min="1580" max="1580" width="17.85546875" style="1103" customWidth="1"/>
    <col min="1581" max="1581" width="27.5703125" style="1103" bestFit="1" customWidth="1"/>
    <col min="1582" max="1582" width="37.28515625" style="1103" customWidth="1"/>
    <col min="1583" max="1583" width="48.42578125" style="1103" customWidth="1"/>
    <col min="1584" max="1584" width="32" style="1103" customWidth="1"/>
    <col min="1585" max="1585" width="32.7109375" style="1103" customWidth="1"/>
    <col min="1586" max="1586" width="18.5703125" style="1103" customWidth="1"/>
    <col min="1587" max="1587" width="16.7109375" style="1103" customWidth="1"/>
    <col min="1588" max="1588" width="10.42578125" style="1103" customWidth="1"/>
    <col min="1589" max="1589" width="10.5703125" style="1103" customWidth="1"/>
    <col min="1590" max="1590" width="9.28515625" style="1103" customWidth="1"/>
    <col min="1591" max="1591" width="10.140625" style="1103" customWidth="1"/>
    <col min="1592" max="1592" width="8.42578125" style="1103" customWidth="1"/>
    <col min="1593" max="1593" width="9.5703125" style="1103" customWidth="1"/>
    <col min="1594" max="1594" width="9.28515625" style="1103" customWidth="1"/>
    <col min="1595" max="1595" width="8.85546875" style="1103" customWidth="1"/>
    <col min="1596" max="1598" width="8" style="1103" customWidth="1"/>
    <col min="1599" max="1599" width="8.7109375" style="1103" customWidth="1"/>
    <col min="1600" max="1600" width="8.140625" style="1103" customWidth="1"/>
    <col min="1601" max="1601" width="10.5703125" style="1103" customWidth="1"/>
    <col min="1602" max="1602" width="9.85546875" style="1103" customWidth="1"/>
    <col min="1603" max="1603" width="13.140625" style="1103" customWidth="1"/>
    <col min="1604" max="1604" width="25.42578125" style="1103" customWidth="1"/>
    <col min="1605" max="1605" width="30.85546875" style="1103" customWidth="1"/>
    <col min="1606" max="1606" width="27.42578125" style="1103" customWidth="1"/>
    <col min="1607" max="1819" width="11.42578125" style="1103"/>
    <col min="1820" max="1820" width="13" style="1103" bestFit="1" customWidth="1"/>
    <col min="1821" max="1821" width="6.85546875" style="1103" customWidth="1"/>
    <col min="1822" max="1822" width="14.28515625" style="1103" customWidth="1"/>
    <col min="1823" max="1823" width="14" style="1103" customWidth="1"/>
    <col min="1824" max="1824" width="17.85546875" style="1103" customWidth="1"/>
    <col min="1825" max="1825" width="3.5703125" style="1103" customWidth="1"/>
    <col min="1826" max="1826" width="13.28515625" style="1103" customWidth="1"/>
    <col min="1827" max="1827" width="5.85546875" style="1103" customWidth="1"/>
    <col min="1828" max="1828" width="23.28515625" style="1103" customWidth="1"/>
    <col min="1829" max="1829" width="17.140625" style="1103" customWidth="1"/>
    <col min="1830" max="1830" width="50.5703125" style="1103" customWidth="1"/>
    <col min="1831" max="1831" width="28.7109375" style="1103" customWidth="1"/>
    <col min="1832" max="1832" width="25.140625" style="1103" customWidth="1"/>
    <col min="1833" max="1833" width="36.7109375" style="1103" customWidth="1"/>
    <col min="1834" max="1835" width="24.5703125" style="1103" customWidth="1"/>
    <col min="1836" max="1836" width="17.85546875" style="1103" customWidth="1"/>
    <col min="1837" max="1837" width="27.5703125" style="1103" bestFit="1" customWidth="1"/>
    <col min="1838" max="1838" width="37.28515625" style="1103" customWidth="1"/>
    <col min="1839" max="1839" width="48.42578125" style="1103" customWidth="1"/>
    <col min="1840" max="1840" width="32" style="1103" customWidth="1"/>
    <col min="1841" max="1841" width="32.7109375" style="1103" customWidth="1"/>
    <col min="1842" max="1842" width="18.5703125" style="1103" customWidth="1"/>
    <col min="1843" max="1843" width="16.7109375" style="1103" customWidth="1"/>
    <col min="1844" max="1844" width="10.42578125" style="1103" customWidth="1"/>
    <col min="1845" max="1845" width="10.5703125" style="1103" customWidth="1"/>
    <col min="1846" max="1846" width="9.28515625" style="1103" customWidth="1"/>
    <col min="1847" max="1847" width="10.140625" style="1103" customWidth="1"/>
    <col min="1848" max="1848" width="8.42578125" style="1103" customWidth="1"/>
    <col min="1849" max="1849" width="9.5703125" style="1103" customWidth="1"/>
    <col min="1850" max="1850" width="9.28515625" style="1103" customWidth="1"/>
    <col min="1851" max="1851" width="8.85546875" style="1103" customWidth="1"/>
    <col min="1852" max="1854" width="8" style="1103" customWidth="1"/>
    <col min="1855" max="1855" width="8.7109375" style="1103" customWidth="1"/>
    <col min="1856" max="1856" width="8.140625" style="1103" customWidth="1"/>
    <col min="1857" max="1857" width="10.5703125" style="1103" customWidth="1"/>
    <col min="1858" max="1858" width="9.85546875" style="1103" customWidth="1"/>
    <col min="1859" max="1859" width="13.140625" style="1103" customWidth="1"/>
    <col min="1860" max="1860" width="25.42578125" style="1103" customWidth="1"/>
    <col min="1861" max="1861" width="30.85546875" style="1103" customWidth="1"/>
    <col min="1862" max="1862" width="27.42578125" style="1103" customWidth="1"/>
    <col min="1863" max="2075" width="11.42578125" style="1103"/>
    <col min="2076" max="2076" width="13" style="1103" bestFit="1" customWidth="1"/>
    <col min="2077" max="2077" width="6.85546875" style="1103" customWidth="1"/>
    <col min="2078" max="2078" width="14.28515625" style="1103" customWidth="1"/>
    <col min="2079" max="2079" width="14" style="1103" customWidth="1"/>
    <col min="2080" max="2080" width="17.85546875" style="1103" customWidth="1"/>
    <col min="2081" max="2081" width="3.5703125" style="1103" customWidth="1"/>
    <col min="2082" max="2082" width="13.28515625" style="1103" customWidth="1"/>
    <col min="2083" max="2083" width="5.85546875" style="1103" customWidth="1"/>
    <col min="2084" max="2084" width="23.28515625" style="1103" customWidth="1"/>
    <col min="2085" max="2085" width="17.140625" style="1103" customWidth="1"/>
    <col min="2086" max="2086" width="50.5703125" style="1103" customWidth="1"/>
    <col min="2087" max="2087" width="28.7109375" style="1103" customWidth="1"/>
    <col min="2088" max="2088" width="25.140625" style="1103" customWidth="1"/>
    <col min="2089" max="2089" width="36.7109375" style="1103" customWidth="1"/>
    <col min="2090" max="2091" width="24.5703125" style="1103" customWidth="1"/>
    <col min="2092" max="2092" width="17.85546875" style="1103" customWidth="1"/>
    <col min="2093" max="2093" width="27.5703125" style="1103" bestFit="1" customWidth="1"/>
    <col min="2094" max="2094" width="37.28515625" style="1103" customWidth="1"/>
    <col min="2095" max="2095" width="48.42578125" style="1103" customWidth="1"/>
    <col min="2096" max="2096" width="32" style="1103" customWidth="1"/>
    <col min="2097" max="2097" width="32.7109375" style="1103" customWidth="1"/>
    <col min="2098" max="2098" width="18.5703125" style="1103" customWidth="1"/>
    <col min="2099" max="2099" width="16.7109375" style="1103" customWidth="1"/>
    <col min="2100" max="2100" width="10.42578125" style="1103" customWidth="1"/>
    <col min="2101" max="2101" width="10.5703125" style="1103" customWidth="1"/>
    <col min="2102" max="2102" width="9.28515625" style="1103" customWidth="1"/>
    <col min="2103" max="2103" width="10.140625" style="1103" customWidth="1"/>
    <col min="2104" max="2104" width="8.42578125" style="1103" customWidth="1"/>
    <col min="2105" max="2105" width="9.5703125" style="1103" customWidth="1"/>
    <col min="2106" max="2106" width="9.28515625" style="1103" customWidth="1"/>
    <col min="2107" max="2107" width="8.85546875" style="1103" customWidth="1"/>
    <col min="2108" max="2110" width="8" style="1103" customWidth="1"/>
    <col min="2111" max="2111" width="8.7109375" style="1103" customWidth="1"/>
    <col min="2112" max="2112" width="8.140625" style="1103" customWidth="1"/>
    <col min="2113" max="2113" width="10.5703125" style="1103" customWidth="1"/>
    <col min="2114" max="2114" width="9.85546875" style="1103" customWidth="1"/>
    <col min="2115" max="2115" width="13.140625" style="1103" customWidth="1"/>
    <col min="2116" max="2116" width="25.42578125" style="1103" customWidth="1"/>
    <col min="2117" max="2117" width="30.85546875" style="1103" customWidth="1"/>
    <col min="2118" max="2118" width="27.42578125" style="1103" customWidth="1"/>
    <col min="2119" max="2331" width="11.42578125" style="1103"/>
    <col min="2332" max="2332" width="13" style="1103" bestFit="1" customWidth="1"/>
    <col min="2333" max="2333" width="6.85546875" style="1103" customWidth="1"/>
    <col min="2334" max="2334" width="14.28515625" style="1103" customWidth="1"/>
    <col min="2335" max="2335" width="14" style="1103" customWidth="1"/>
    <col min="2336" max="2336" width="17.85546875" style="1103" customWidth="1"/>
    <col min="2337" max="2337" width="3.5703125" style="1103" customWidth="1"/>
    <col min="2338" max="2338" width="13.28515625" style="1103" customWidth="1"/>
    <col min="2339" max="2339" width="5.85546875" style="1103" customWidth="1"/>
    <col min="2340" max="2340" width="23.28515625" style="1103" customWidth="1"/>
    <col min="2341" max="2341" width="17.140625" style="1103" customWidth="1"/>
    <col min="2342" max="2342" width="50.5703125" style="1103" customWidth="1"/>
    <col min="2343" max="2343" width="28.7109375" style="1103" customWidth="1"/>
    <col min="2344" max="2344" width="25.140625" style="1103" customWidth="1"/>
    <col min="2345" max="2345" width="36.7109375" style="1103" customWidth="1"/>
    <col min="2346" max="2347" width="24.5703125" style="1103" customWidth="1"/>
    <col min="2348" max="2348" width="17.85546875" style="1103" customWidth="1"/>
    <col min="2349" max="2349" width="27.5703125" style="1103" bestFit="1" customWidth="1"/>
    <col min="2350" max="2350" width="37.28515625" style="1103" customWidth="1"/>
    <col min="2351" max="2351" width="48.42578125" style="1103" customWidth="1"/>
    <col min="2352" max="2352" width="32" style="1103" customWidth="1"/>
    <col min="2353" max="2353" width="32.7109375" style="1103" customWidth="1"/>
    <col min="2354" max="2354" width="18.5703125" style="1103" customWidth="1"/>
    <col min="2355" max="2355" width="16.7109375" style="1103" customWidth="1"/>
    <col min="2356" max="2356" width="10.42578125" style="1103" customWidth="1"/>
    <col min="2357" max="2357" width="10.5703125" style="1103" customWidth="1"/>
    <col min="2358" max="2358" width="9.28515625" style="1103" customWidth="1"/>
    <col min="2359" max="2359" width="10.140625" style="1103" customWidth="1"/>
    <col min="2360" max="2360" width="8.42578125" style="1103" customWidth="1"/>
    <col min="2361" max="2361" width="9.5703125" style="1103" customWidth="1"/>
    <col min="2362" max="2362" width="9.28515625" style="1103" customWidth="1"/>
    <col min="2363" max="2363" width="8.85546875" style="1103" customWidth="1"/>
    <col min="2364" max="2366" width="8" style="1103" customWidth="1"/>
    <col min="2367" max="2367" width="8.7109375" style="1103" customWidth="1"/>
    <col min="2368" max="2368" width="8.140625" style="1103" customWidth="1"/>
    <col min="2369" max="2369" width="10.5703125" style="1103" customWidth="1"/>
    <col min="2370" max="2370" width="9.85546875" style="1103" customWidth="1"/>
    <col min="2371" max="2371" width="13.140625" style="1103" customWidth="1"/>
    <col min="2372" max="2372" width="25.42578125" style="1103" customWidth="1"/>
    <col min="2373" max="2373" width="30.85546875" style="1103" customWidth="1"/>
    <col min="2374" max="2374" width="27.42578125" style="1103" customWidth="1"/>
    <col min="2375" max="2587" width="11.42578125" style="1103"/>
    <col min="2588" max="2588" width="13" style="1103" bestFit="1" customWidth="1"/>
    <col min="2589" max="2589" width="6.85546875" style="1103" customWidth="1"/>
    <col min="2590" max="2590" width="14.28515625" style="1103" customWidth="1"/>
    <col min="2591" max="2591" width="14" style="1103" customWidth="1"/>
    <col min="2592" max="2592" width="17.85546875" style="1103" customWidth="1"/>
    <col min="2593" max="2593" width="3.5703125" style="1103" customWidth="1"/>
    <col min="2594" max="2594" width="13.28515625" style="1103" customWidth="1"/>
    <col min="2595" max="2595" width="5.85546875" style="1103" customWidth="1"/>
    <col min="2596" max="2596" width="23.28515625" style="1103" customWidth="1"/>
    <col min="2597" max="2597" width="17.140625" style="1103" customWidth="1"/>
    <col min="2598" max="2598" width="50.5703125" style="1103" customWidth="1"/>
    <col min="2599" max="2599" width="28.7109375" style="1103" customWidth="1"/>
    <col min="2600" max="2600" width="25.140625" style="1103" customWidth="1"/>
    <col min="2601" max="2601" width="36.7109375" style="1103" customWidth="1"/>
    <col min="2602" max="2603" width="24.5703125" style="1103" customWidth="1"/>
    <col min="2604" max="2604" width="17.85546875" style="1103" customWidth="1"/>
    <col min="2605" max="2605" width="27.5703125" style="1103" bestFit="1" customWidth="1"/>
    <col min="2606" max="2606" width="37.28515625" style="1103" customWidth="1"/>
    <col min="2607" max="2607" width="48.42578125" style="1103" customWidth="1"/>
    <col min="2608" max="2608" width="32" style="1103" customWidth="1"/>
    <col min="2609" max="2609" width="32.7109375" style="1103" customWidth="1"/>
    <col min="2610" max="2610" width="18.5703125" style="1103" customWidth="1"/>
    <col min="2611" max="2611" width="16.7109375" style="1103" customWidth="1"/>
    <col min="2612" max="2612" width="10.42578125" style="1103" customWidth="1"/>
    <col min="2613" max="2613" width="10.5703125" style="1103" customWidth="1"/>
    <col min="2614" max="2614" width="9.28515625" style="1103" customWidth="1"/>
    <col min="2615" max="2615" width="10.140625" style="1103" customWidth="1"/>
    <col min="2616" max="2616" width="8.42578125" style="1103" customWidth="1"/>
    <col min="2617" max="2617" width="9.5703125" style="1103" customWidth="1"/>
    <col min="2618" max="2618" width="9.28515625" style="1103" customWidth="1"/>
    <col min="2619" max="2619" width="8.85546875" style="1103" customWidth="1"/>
    <col min="2620" max="2622" width="8" style="1103" customWidth="1"/>
    <col min="2623" max="2623" width="8.7109375" style="1103" customWidth="1"/>
    <col min="2624" max="2624" width="8.140625" style="1103" customWidth="1"/>
    <col min="2625" max="2625" width="10.5703125" style="1103" customWidth="1"/>
    <col min="2626" max="2626" width="9.85546875" style="1103" customWidth="1"/>
    <col min="2627" max="2627" width="13.140625" style="1103" customWidth="1"/>
    <col min="2628" max="2628" width="25.42578125" style="1103" customWidth="1"/>
    <col min="2629" max="2629" width="30.85546875" style="1103" customWidth="1"/>
    <col min="2630" max="2630" width="27.42578125" style="1103" customWidth="1"/>
    <col min="2631" max="2843" width="11.42578125" style="1103"/>
    <col min="2844" max="2844" width="13" style="1103" bestFit="1" customWidth="1"/>
    <col min="2845" max="2845" width="6.85546875" style="1103" customWidth="1"/>
    <col min="2846" max="2846" width="14.28515625" style="1103" customWidth="1"/>
    <col min="2847" max="2847" width="14" style="1103" customWidth="1"/>
    <col min="2848" max="2848" width="17.85546875" style="1103" customWidth="1"/>
    <col min="2849" max="2849" width="3.5703125" style="1103" customWidth="1"/>
    <col min="2850" max="2850" width="13.28515625" style="1103" customWidth="1"/>
    <col min="2851" max="2851" width="5.85546875" style="1103" customWidth="1"/>
    <col min="2852" max="2852" width="23.28515625" style="1103" customWidth="1"/>
    <col min="2853" max="2853" width="17.140625" style="1103" customWidth="1"/>
    <col min="2854" max="2854" width="50.5703125" style="1103" customWidth="1"/>
    <col min="2855" max="2855" width="28.7109375" style="1103" customWidth="1"/>
    <col min="2856" max="2856" width="25.140625" style="1103" customWidth="1"/>
    <col min="2857" max="2857" width="36.7109375" style="1103" customWidth="1"/>
    <col min="2858" max="2859" width="24.5703125" style="1103" customWidth="1"/>
    <col min="2860" max="2860" width="17.85546875" style="1103" customWidth="1"/>
    <col min="2861" max="2861" width="27.5703125" style="1103" bestFit="1" customWidth="1"/>
    <col min="2862" max="2862" width="37.28515625" style="1103" customWidth="1"/>
    <col min="2863" max="2863" width="48.42578125" style="1103" customWidth="1"/>
    <col min="2864" max="2864" width="32" style="1103" customWidth="1"/>
    <col min="2865" max="2865" width="32.7109375" style="1103" customWidth="1"/>
    <col min="2866" max="2866" width="18.5703125" style="1103" customWidth="1"/>
    <col min="2867" max="2867" width="16.7109375" style="1103" customWidth="1"/>
    <col min="2868" max="2868" width="10.42578125" style="1103" customWidth="1"/>
    <col min="2869" max="2869" width="10.5703125" style="1103" customWidth="1"/>
    <col min="2870" max="2870" width="9.28515625" style="1103" customWidth="1"/>
    <col min="2871" max="2871" width="10.140625" style="1103" customWidth="1"/>
    <col min="2872" max="2872" width="8.42578125" style="1103" customWidth="1"/>
    <col min="2873" max="2873" width="9.5703125" style="1103" customWidth="1"/>
    <col min="2874" max="2874" width="9.28515625" style="1103" customWidth="1"/>
    <col min="2875" max="2875" width="8.85546875" style="1103" customWidth="1"/>
    <col min="2876" max="2878" width="8" style="1103" customWidth="1"/>
    <col min="2879" max="2879" width="8.7109375" style="1103" customWidth="1"/>
    <col min="2880" max="2880" width="8.140625" style="1103" customWidth="1"/>
    <col min="2881" max="2881" width="10.5703125" style="1103" customWidth="1"/>
    <col min="2882" max="2882" width="9.85546875" style="1103" customWidth="1"/>
    <col min="2883" max="2883" width="13.140625" style="1103" customWidth="1"/>
    <col min="2884" max="2884" width="25.42578125" style="1103" customWidth="1"/>
    <col min="2885" max="2885" width="30.85546875" style="1103" customWidth="1"/>
    <col min="2886" max="2886" width="27.42578125" style="1103" customWidth="1"/>
    <col min="2887" max="3099" width="11.42578125" style="1103"/>
    <col min="3100" max="3100" width="13" style="1103" bestFit="1" customWidth="1"/>
    <col min="3101" max="3101" width="6.85546875" style="1103" customWidth="1"/>
    <col min="3102" max="3102" width="14.28515625" style="1103" customWidth="1"/>
    <col min="3103" max="3103" width="14" style="1103" customWidth="1"/>
    <col min="3104" max="3104" width="17.85546875" style="1103" customWidth="1"/>
    <col min="3105" max="3105" width="3.5703125" style="1103" customWidth="1"/>
    <col min="3106" max="3106" width="13.28515625" style="1103" customWidth="1"/>
    <col min="3107" max="3107" width="5.85546875" style="1103" customWidth="1"/>
    <col min="3108" max="3108" width="23.28515625" style="1103" customWidth="1"/>
    <col min="3109" max="3109" width="17.140625" style="1103" customWidth="1"/>
    <col min="3110" max="3110" width="50.5703125" style="1103" customWidth="1"/>
    <col min="3111" max="3111" width="28.7109375" style="1103" customWidth="1"/>
    <col min="3112" max="3112" width="25.140625" style="1103" customWidth="1"/>
    <col min="3113" max="3113" width="36.7109375" style="1103" customWidth="1"/>
    <col min="3114" max="3115" width="24.5703125" style="1103" customWidth="1"/>
    <col min="3116" max="3116" width="17.85546875" style="1103" customWidth="1"/>
    <col min="3117" max="3117" width="27.5703125" style="1103" bestFit="1" customWidth="1"/>
    <col min="3118" max="3118" width="37.28515625" style="1103" customWidth="1"/>
    <col min="3119" max="3119" width="48.42578125" style="1103" customWidth="1"/>
    <col min="3120" max="3120" width="32" style="1103" customWidth="1"/>
    <col min="3121" max="3121" width="32.7109375" style="1103" customWidth="1"/>
    <col min="3122" max="3122" width="18.5703125" style="1103" customWidth="1"/>
    <col min="3123" max="3123" width="16.7109375" style="1103" customWidth="1"/>
    <col min="3124" max="3124" width="10.42578125" style="1103" customWidth="1"/>
    <col min="3125" max="3125" width="10.5703125" style="1103" customWidth="1"/>
    <col min="3126" max="3126" width="9.28515625" style="1103" customWidth="1"/>
    <col min="3127" max="3127" width="10.140625" style="1103" customWidth="1"/>
    <col min="3128" max="3128" width="8.42578125" style="1103" customWidth="1"/>
    <col min="3129" max="3129" width="9.5703125" style="1103" customWidth="1"/>
    <col min="3130" max="3130" width="9.28515625" style="1103" customWidth="1"/>
    <col min="3131" max="3131" width="8.85546875" style="1103" customWidth="1"/>
    <col min="3132" max="3134" width="8" style="1103" customWidth="1"/>
    <col min="3135" max="3135" width="8.7109375" style="1103" customWidth="1"/>
    <col min="3136" max="3136" width="8.140625" style="1103" customWidth="1"/>
    <col min="3137" max="3137" width="10.5703125" style="1103" customWidth="1"/>
    <col min="3138" max="3138" width="9.85546875" style="1103" customWidth="1"/>
    <col min="3139" max="3139" width="13.140625" style="1103" customWidth="1"/>
    <col min="3140" max="3140" width="25.42578125" style="1103" customWidth="1"/>
    <col min="3141" max="3141" width="30.85546875" style="1103" customWidth="1"/>
    <col min="3142" max="3142" width="27.42578125" style="1103" customWidth="1"/>
    <col min="3143" max="3355" width="11.42578125" style="1103"/>
    <col min="3356" max="3356" width="13" style="1103" bestFit="1" customWidth="1"/>
    <col min="3357" max="3357" width="6.85546875" style="1103" customWidth="1"/>
    <col min="3358" max="3358" width="14.28515625" style="1103" customWidth="1"/>
    <col min="3359" max="3359" width="14" style="1103" customWidth="1"/>
    <col min="3360" max="3360" width="17.85546875" style="1103" customWidth="1"/>
    <col min="3361" max="3361" width="3.5703125" style="1103" customWidth="1"/>
    <col min="3362" max="3362" width="13.28515625" style="1103" customWidth="1"/>
    <col min="3363" max="3363" width="5.85546875" style="1103" customWidth="1"/>
    <col min="3364" max="3364" width="23.28515625" style="1103" customWidth="1"/>
    <col min="3365" max="3365" width="17.140625" style="1103" customWidth="1"/>
    <col min="3366" max="3366" width="50.5703125" style="1103" customWidth="1"/>
    <col min="3367" max="3367" width="28.7109375" style="1103" customWidth="1"/>
    <col min="3368" max="3368" width="25.140625" style="1103" customWidth="1"/>
    <col min="3369" max="3369" width="36.7109375" style="1103" customWidth="1"/>
    <col min="3370" max="3371" width="24.5703125" style="1103" customWidth="1"/>
    <col min="3372" max="3372" width="17.85546875" style="1103" customWidth="1"/>
    <col min="3373" max="3373" width="27.5703125" style="1103" bestFit="1" customWidth="1"/>
    <col min="3374" max="3374" width="37.28515625" style="1103" customWidth="1"/>
    <col min="3375" max="3375" width="48.42578125" style="1103" customWidth="1"/>
    <col min="3376" max="3376" width="32" style="1103" customWidth="1"/>
    <col min="3377" max="3377" width="32.7109375" style="1103" customWidth="1"/>
    <col min="3378" max="3378" width="18.5703125" style="1103" customWidth="1"/>
    <col min="3379" max="3379" width="16.7109375" style="1103" customWidth="1"/>
    <col min="3380" max="3380" width="10.42578125" style="1103" customWidth="1"/>
    <col min="3381" max="3381" width="10.5703125" style="1103" customWidth="1"/>
    <col min="3382" max="3382" width="9.28515625" style="1103" customWidth="1"/>
    <col min="3383" max="3383" width="10.140625" style="1103" customWidth="1"/>
    <col min="3384" max="3384" width="8.42578125" style="1103" customWidth="1"/>
    <col min="3385" max="3385" width="9.5703125" style="1103" customWidth="1"/>
    <col min="3386" max="3386" width="9.28515625" style="1103" customWidth="1"/>
    <col min="3387" max="3387" width="8.85546875" style="1103" customWidth="1"/>
    <col min="3388" max="3390" width="8" style="1103" customWidth="1"/>
    <col min="3391" max="3391" width="8.7109375" style="1103" customWidth="1"/>
    <col min="3392" max="3392" width="8.140625" style="1103" customWidth="1"/>
    <col min="3393" max="3393" width="10.5703125" style="1103" customWidth="1"/>
    <col min="3394" max="3394" width="9.85546875" style="1103" customWidth="1"/>
    <col min="3395" max="3395" width="13.140625" style="1103" customWidth="1"/>
    <col min="3396" max="3396" width="25.42578125" style="1103" customWidth="1"/>
    <col min="3397" max="3397" width="30.85546875" style="1103" customWidth="1"/>
    <col min="3398" max="3398" width="27.42578125" style="1103" customWidth="1"/>
    <col min="3399" max="3611" width="11.42578125" style="1103"/>
    <col min="3612" max="3612" width="13" style="1103" bestFit="1" customWidth="1"/>
    <col min="3613" max="3613" width="6.85546875" style="1103" customWidth="1"/>
    <col min="3614" max="3614" width="14.28515625" style="1103" customWidth="1"/>
    <col min="3615" max="3615" width="14" style="1103" customWidth="1"/>
    <col min="3616" max="3616" width="17.85546875" style="1103" customWidth="1"/>
    <col min="3617" max="3617" width="3.5703125" style="1103" customWidth="1"/>
    <col min="3618" max="3618" width="13.28515625" style="1103" customWidth="1"/>
    <col min="3619" max="3619" width="5.85546875" style="1103" customWidth="1"/>
    <col min="3620" max="3620" width="23.28515625" style="1103" customWidth="1"/>
    <col min="3621" max="3621" width="17.140625" style="1103" customWidth="1"/>
    <col min="3622" max="3622" width="50.5703125" style="1103" customWidth="1"/>
    <col min="3623" max="3623" width="28.7109375" style="1103" customWidth="1"/>
    <col min="3624" max="3624" width="25.140625" style="1103" customWidth="1"/>
    <col min="3625" max="3625" width="36.7109375" style="1103" customWidth="1"/>
    <col min="3626" max="3627" width="24.5703125" style="1103" customWidth="1"/>
    <col min="3628" max="3628" width="17.85546875" style="1103" customWidth="1"/>
    <col min="3629" max="3629" width="27.5703125" style="1103" bestFit="1" customWidth="1"/>
    <col min="3630" max="3630" width="37.28515625" style="1103" customWidth="1"/>
    <col min="3631" max="3631" width="48.42578125" style="1103" customWidth="1"/>
    <col min="3632" max="3632" width="32" style="1103" customWidth="1"/>
    <col min="3633" max="3633" width="32.7109375" style="1103" customWidth="1"/>
    <col min="3634" max="3634" width="18.5703125" style="1103" customWidth="1"/>
    <col min="3635" max="3635" width="16.7109375" style="1103" customWidth="1"/>
    <col min="3636" max="3636" width="10.42578125" style="1103" customWidth="1"/>
    <col min="3637" max="3637" width="10.5703125" style="1103" customWidth="1"/>
    <col min="3638" max="3638" width="9.28515625" style="1103" customWidth="1"/>
    <col min="3639" max="3639" width="10.140625" style="1103" customWidth="1"/>
    <col min="3640" max="3640" width="8.42578125" style="1103" customWidth="1"/>
    <col min="3641" max="3641" width="9.5703125" style="1103" customWidth="1"/>
    <col min="3642" max="3642" width="9.28515625" style="1103" customWidth="1"/>
    <col min="3643" max="3643" width="8.85546875" style="1103" customWidth="1"/>
    <col min="3644" max="3646" width="8" style="1103" customWidth="1"/>
    <col min="3647" max="3647" width="8.7109375" style="1103" customWidth="1"/>
    <col min="3648" max="3648" width="8.140625" style="1103" customWidth="1"/>
    <col min="3649" max="3649" width="10.5703125" style="1103" customWidth="1"/>
    <col min="3650" max="3650" width="9.85546875" style="1103" customWidth="1"/>
    <col min="3651" max="3651" width="13.140625" style="1103" customWidth="1"/>
    <col min="3652" max="3652" width="25.42578125" style="1103" customWidth="1"/>
    <col min="3653" max="3653" width="30.85546875" style="1103" customWidth="1"/>
    <col min="3654" max="3654" width="27.42578125" style="1103" customWidth="1"/>
    <col min="3655" max="3867" width="11.42578125" style="1103"/>
    <col min="3868" max="3868" width="13" style="1103" bestFit="1" customWidth="1"/>
    <col min="3869" max="3869" width="6.85546875" style="1103" customWidth="1"/>
    <col min="3870" max="3870" width="14.28515625" style="1103" customWidth="1"/>
    <col min="3871" max="3871" width="14" style="1103" customWidth="1"/>
    <col min="3872" max="3872" width="17.85546875" style="1103" customWidth="1"/>
    <col min="3873" max="3873" width="3.5703125" style="1103" customWidth="1"/>
    <col min="3874" max="3874" width="13.28515625" style="1103" customWidth="1"/>
    <col min="3875" max="3875" width="5.85546875" style="1103" customWidth="1"/>
    <col min="3876" max="3876" width="23.28515625" style="1103" customWidth="1"/>
    <col min="3877" max="3877" width="17.140625" style="1103" customWidth="1"/>
    <col min="3878" max="3878" width="50.5703125" style="1103" customWidth="1"/>
    <col min="3879" max="3879" width="28.7109375" style="1103" customWidth="1"/>
    <col min="3880" max="3880" width="25.140625" style="1103" customWidth="1"/>
    <col min="3881" max="3881" width="36.7109375" style="1103" customWidth="1"/>
    <col min="3882" max="3883" width="24.5703125" style="1103" customWidth="1"/>
    <col min="3884" max="3884" width="17.85546875" style="1103" customWidth="1"/>
    <col min="3885" max="3885" width="27.5703125" style="1103" bestFit="1" customWidth="1"/>
    <col min="3886" max="3886" width="37.28515625" style="1103" customWidth="1"/>
    <col min="3887" max="3887" width="48.42578125" style="1103" customWidth="1"/>
    <col min="3888" max="3888" width="32" style="1103" customWidth="1"/>
    <col min="3889" max="3889" width="32.7109375" style="1103" customWidth="1"/>
    <col min="3890" max="3890" width="18.5703125" style="1103" customWidth="1"/>
    <col min="3891" max="3891" width="16.7109375" style="1103" customWidth="1"/>
    <col min="3892" max="3892" width="10.42578125" style="1103" customWidth="1"/>
    <col min="3893" max="3893" width="10.5703125" style="1103" customWidth="1"/>
    <col min="3894" max="3894" width="9.28515625" style="1103" customWidth="1"/>
    <col min="3895" max="3895" width="10.140625" style="1103" customWidth="1"/>
    <col min="3896" max="3896" width="8.42578125" style="1103" customWidth="1"/>
    <col min="3897" max="3897" width="9.5703125" style="1103" customWidth="1"/>
    <col min="3898" max="3898" width="9.28515625" style="1103" customWidth="1"/>
    <col min="3899" max="3899" width="8.85546875" style="1103" customWidth="1"/>
    <col min="3900" max="3902" width="8" style="1103" customWidth="1"/>
    <col min="3903" max="3903" width="8.7109375" style="1103" customWidth="1"/>
    <col min="3904" max="3904" width="8.140625" style="1103" customWidth="1"/>
    <col min="3905" max="3905" width="10.5703125" style="1103" customWidth="1"/>
    <col min="3906" max="3906" width="9.85546875" style="1103" customWidth="1"/>
    <col min="3907" max="3907" width="13.140625" style="1103" customWidth="1"/>
    <col min="3908" max="3908" width="25.42578125" style="1103" customWidth="1"/>
    <col min="3909" max="3909" width="30.85546875" style="1103" customWidth="1"/>
    <col min="3910" max="3910" width="27.42578125" style="1103" customWidth="1"/>
    <col min="3911" max="4123" width="11.42578125" style="1103"/>
    <col min="4124" max="4124" width="13" style="1103" bestFit="1" customWidth="1"/>
    <col min="4125" max="4125" width="6.85546875" style="1103" customWidth="1"/>
    <col min="4126" max="4126" width="14.28515625" style="1103" customWidth="1"/>
    <col min="4127" max="4127" width="14" style="1103" customWidth="1"/>
    <col min="4128" max="4128" width="17.85546875" style="1103" customWidth="1"/>
    <col min="4129" max="4129" width="3.5703125" style="1103" customWidth="1"/>
    <col min="4130" max="4130" width="13.28515625" style="1103" customWidth="1"/>
    <col min="4131" max="4131" width="5.85546875" style="1103" customWidth="1"/>
    <col min="4132" max="4132" width="23.28515625" style="1103" customWidth="1"/>
    <col min="4133" max="4133" width="17.140625" style="1103" customWidth="1"/>
    <col min="4134" max="4134" width="50.5703125" style="1103" customWidth="1"/>
    <col min="4135" max="4135" width="28.7109375" style="1103" customWidth="1"/>
    <col min="4136" max="4136" width="25.140625" style="1103" customWidth="1"/>
    <col min="4137" max="4137" width="36.7109375" style="1103" customWidth="1"/>
    <col min="4138" max="4139" width="24.5703125" style="1103" customWidth="1"/>
    <col min="4140" max="4140" width="17.85546875" style="1103" customWidth="1"/>
    <col min="4141" max="4141" width="27.5703125" style="1103" bestFit="1" customWidth="1"/>
    <col min="4142" max="4142" width="37.28515625" style="1103" customWidth="1"/>
    <col min="4143" max="4143" width="48.42578125" style="1103" customWidth="1"/>
    <col min="4144" max="4144" width="32" style="1103" customWidth="1"/>
    <col min="4145" max="4145" width="32.7109375" style="1103" customWidth="1"/>
    <col min="4146" max="4146" width="18.5703125" style="1103" customWidth="1"/>
    <col min="4147" max="4147" width="16.7109375" style="1103" customWidth="1"/>
    <col min="4148" max="4148" width="10.42578125" style="1103" customWidth="1"/>
    <col min="4149" max="4149" width="10.5703125" style="1103" customWidth="1"/>
    <col min="4150" max="4150" width="9.28515625" style="1103" customWidth="1"/>
    <col min="4151" max="4151" width="10.140625" style="1103" customWidth="1"/>
    <col min="4152" max="4152" width="8.42578125" style="1103" customWidth="1"/>
    <col min="4153" max="4153" width="9.5703125" style="1103" customWidth="1"/>
    <col min="4154" max="4154" width="9.28515625" style="1103" customWidth="1"/>
    <col min="4155" max="4155" width="8.85546875" style="1103" customWidth="1"/>
    <col min="4156" max="4158" width="8" style="1103" customWidth="1"/>
    <col min="4159" max="4159" width="8.7109375" style="1103" customWidth="1"/>
    <col min="4160" max="4160" width="8.140625" style="1103" customWidth="1"/>
    <col min="4161" max="4161" width="10.5703125" style="1103" customWidth="1"/>
    <col min="4162" max="4162" width="9.85546875" style="1103" customWidth="1"/>
    <col min="4163" max="4163" width="13.140625" style="1103" customWidth="1"/>
    <col min="4164" max="4164" width="25.42578125" style="1103" customWidth="1"/>
    <col min="4165" max="4165" width="30.85546875" style="1103" customWidth="1"/>
    <col min="4166" max="4166" width="27.42578125" style="1103" customWidth="1"/>
    <col min="4167" max="4379" width="11.42578125" style="1103"/>
    <col min="4380" max="4380" width="13" style="1103" bestFit="1" customWidth="1"/>
    <col min="4381" max="4381" width="6.85546875" style="1103" customWidth="1"/>
    <col min="4382" max="4382" width="14.28515625" style="1103" customWidth="1"/>
    <col min="4383" max="4383" width="14" style="1103" customWidth="1"/>
    <col min="4384" max="4384" width="17.85546875" style="1103" customWidth="1"/>
    <col min="4385" max="4385" width="3.5703125" style="1103" customWidth="1"/>
    <col min="4386" max="4386" width="13.28515625" style="1103" customWidth="1"/>
    <col min="4387" max="4387" width="5.85546875" style="1103" customWidth="1"/>
    <col min="4388" max="4388" width="23.28515625" style="1103" customWidth="1"/>
    <col min="4389" max="4389" width="17.140625" style="1103" customWidth="1"/>
    <col min="4390" max="4390" width="50.5703125" style="1103" customWidth="1"/>
    <col min="4391" max="4391" width="28.7109375" style="1103" customWidth="1"/>
    <col min="4392" max="4392" width="25.140625" style="1103" customWidth="1"/>
    <col min="4393" max="4393" width="36.7109375" style="1103" customWidth="1"/>
    <col min="4394" max="4395" width="24.5703125" style="1103" customWidth="1"/>
    <col min="4396" max="4396" width="17.85546875" style="1103" customWidth="1"/>
    <col min="4397" max="4397" width="27.5703125" style="1103" bestFit="1" customWidth="1"/>
    <col min="4398" max="4398" width="37.28515625" style="1103" customWidth="1"/>
    <col min="4399" max="4399" width="48.42578125" style="1103" customWidth="1"/>
    <col min="4400" max="4400" width="32" style="1103" customWidth="1"/>
    <col min="4401" max="4401" width="32.7109375" style="1103" customWidth="1"/>
    <col min="4402" max="4402" width="18.5703125" style="1103" customWidth="1"/>
    <col min="4403" max="4403" width="16.7109375" style="1103" customWidth="1"/>
    <col min="4404" max="4404" width="10.42578125" style="1103" customWidth="1"/>
    <col min="4405" max="4405" width="10.5703125" style="1103" customWidth="1"/>
    <col min="4406" max="4406" width="9.28515625" style="1103" customWidth="1"/>
    <col min="4407" max="4407" width="10.140625" style="1103" customWidth="1"/>
    <col min="4408" max="4408" width="8.42578125" style="1103" customWidth="1"/>
    <col min="4409" max="4409" width="9.5703125" style="1103" customWidth="1"/>
    <col min="4410" max="4410" width="9.28515625" style="1103" customWidth="1"/>
    <col min="4411" max="4411" width="8.85546875" style="1103" customWidth="1"/>
    <col min="4412" max="4414" width="8" style="1103" customWidth="1"/>
    <col min="4415" max="4415" width="8.7109375" style="1103" customWidth="1"/>
    <col min="4416" max="4416" width="8.140625" style="1103" customWidth="1"/>
    <col min="4417" max="4417" width="10.5703125" style="1103" customWidth="1"/>
    <col min="4418" max="4418" width="9.85546875" style="1103" customWidth="1"/>
    <col min="4419" max="4419" width="13.140625" style="1103" customWidth="1"/>
    <col min="4420" max="4420" width="25.42578125" style="1103" customWidth="1"/>
    <col min="4421" max="4421" width="30.85546875" style="1103" customWidth="1"/>
    <col min="4422" max="4422" width="27.42578125" style="1103" customWidth="1"/>
    <col min="4423" max="4635" width="11.42578125" style="1103"/>
    <col min="4636" max="4636" width="13" style="1103" bestFit="1" customWidth="1"/>
    <col min="4637" max="4637" width="6.85546875" style="1103" customWidth="1"/>
    <col min="4638" max="4638" width="14.28515625" style="1103" customWidth="1"/>
    <col min="4639" max="4639" width="14" style="1103" customWidth="1"/>
    <col min="4640" max="4640" width="17.85546875" style="1103" customWidth="1"/>
    <col min="4641" max="4641" width="3.5703125" style="1103" customWidth="1"/>
    <col min="4642" max="4642" width="13.28515625" style="1103" customWidth="1"/>
    <col min="4643" max="4643" width="5.85546875" style="1103" customWidth="1"/>
    <col min="4644" max="4644" width="23.28515625" style="1103" customWidth="1"/>
    <col min="4645" max="4645" width="17.140625" style="1103" customWidth="1"/>
    <col min="4646" max="4646" width="50.5703125" style="1103" customWidth="1"/>
    <col min="4647" max="4647" width="28.7109375" style="1103" customWidth="1"/>
    <col min="4648" max="4648" width="25.140625" style="1103" customWidth="1"/>
    <col min="4649" max="4649" width="36.7109375" style="1103" customWidth="1"/>
    <col min="4650" max="4651" width="24.5703125" style="1103" customWidth="1"/>
    <col min="4652" max="4652" width="17.85546875" style="1103" customWidth="1"/>
    <col min="4653" max="4653" width="27.5703125" style="1103" bestFit="1" customWidth="1"/>
    <col min="4654" max="4654" width="37.28515625" style="1103" customWidth="1"/>
    <col min="4655" max="4655" width="48.42578125" style="1103" customWidth="1"/>
    <col min="4656" max="4656" width="32" style="1103" customWidth="1"/>
    <col min="4657" max="4657" width="32.7109375" style="1103" customWidth="1"/>
    <col min="4658" max="4658" width="18.5703125" style="1103" customWidth="1"/>
    <col min="4659" max="4659" width="16.7109375" style="1103" customWidth="1"/>
    <col min="4660" max="4660" width="10.42578125" style="1103" customWidth="1"/>
    <col min="4661" max="4661" width="10.5703125" style="1103" customWidth="1"/>
    <col min="4662" max="4662" width="9.28515625" style="1103" customWidth="1"/>
    <col min="4663" max="4663" width="10.140625" style="1103" customWidth="1"/>
    <col min="4664" max="4664" width="8.42578125" style="1103" customWidth="1"/>
    <col min="4665" max="4665" width="9.5703125" style="1103" customWidth="1"/>
    <col min="4666" max="4666" width="9.28515625" style="1103" customWidth="1"/>
    <col min="4667" max="4667" width="8.85546875" style="1103" customWidth="1"/>
    <col min="4668" max="4670" width="8" style="1103" customWidth="1"/>
    <col min="4671" max="4671" width="8.7109375" style="1103" customWidth="1"/>
    <col min="4672" max="4672" width="8.140625" style="1103" customWidth="1"/>
    <col min="4673" max="4673" width="10.5703125" style="1103" customWidth="1"/>
    <col min="4674" max="4674" width="9.85546875" style="1103" customWidth="1"/>
    <col min="4675" max="4675" width="13.140625" style="1103" customWidth="1"/>
    <col min="4676" max="4676" width="25.42578125" style="1103" customWidth="1"/>
    <col min="4677" max="4677" width="30.85546875" style="1103" customWidth="1"/>
    <col min="4678" max="4678" width="27.42578125" style="1103" customWidth="1"/>
    <col min="4679" max="4891" width="11.42578125" style="1103"/>
    <col min="4892" max="4892" width="13" style="1103" bestFit="1" customWidth="1"/>
    <col min="4893" max="4893" width="6.85546875" style="1103" customWidth="1"/>
    <col min="4894" max="4894" width="14.28515625" style="1103" customWidth="1"/>
    <col min="4895" max="4895" width="14" style="1103" customWidth="1"/>
    <col min="4896" max="4896" width="17.85546875" style="1103" customWidth="1"/>
    <col min="4897" max="4897" width="3.5703125" style="1103" customWidth="1"/>
    <col min="4898" max="4898" width="13.28515625" style="1103" customWidth="1"/>
    <col min="4899" max="4899" width="5.85546875" style="1103" customWidth="1"/>
    <col min="4900" max="4900" width="23.28515625" style="1103" customWidth="1"/>
    <col min="4901" max="4901" width="17.140625" style="1103" customWidth="1"/>
    <col min="4902" max="4902" width="50.5703125" style="1103" customWidth="1"/>
    <col min="4903" max="4903" width="28.7109375" style="1103" customWidth="1"/>
    <col min="4904" max="4904" width="25.140625" style="1103" customWidth="1"/>
    <col min="4905" max="4905" width="36.7109375" style="1103" customWidth="1"/>
    <col min="4906" max="4907" width="24.5703125" style="1103" customWidth="1"/>
    <col min="4908" max="4908" width="17.85546875" style="1103" customWidth="1"/>
    <col min="4909" max="4909" width="27.5703125" style="1103" bestFit="1" customWidth="1"/>
    <col min="4910" max="4910" width="37.28515625" style="1103" customWidth="1"/>
    <col min="4911" max="4911" width="48.42578125" style="1103" customWidth="1"/>
    <col min="4912" max="4912" width="32" style="1103" customWidth="1"/>
    <col min="4913" max="4913" width="32.7109375" style="1103" customWidth="1"/>
    <col min="4914" max="4914" width="18.5703125" style="1103" customWidth="1"/>
    <col min="4915" max="4915" width="16.7109375" style="1103" customWidth="1"/>
    <col min="4916" max="4916" width="10.42578125" style="1103" customWidth="1"/>
    <col min="4917" max="4917" width="10.5703125" style="1103" customWidth="1"/>
    <col min="4918" max="4918" width="9.28515625" style="1103" customWidth="1"/>
    <col min="4919" max="4919" width="10.140625" style="1103" customWidth="1"/>
    <col min="4920" max="4920" width="8.42578125" style="1103" customWidth="1"/>
    <col min="4921" max="4921" width="9.5703125" style="1103" customWidth="1"/>
    <col min="4922" max="4922" width="9.28515625" style="1103" customWidth="1"/>
    <col min="4923" max="4923" width="8.85546875" style="1103" customWidth="1"/>
    <col min="4924" max="4926" width="8" style="1103" customWidth="1"/>
    <col min="4927" max="4927" width="8.7109375" style="1103" customWidth="1"/>
    <col min="4928" max="4928" width="8.140625" style="1103" customWidth="1"/>
    <col min="4929" max="4929" width="10.5703125" style="1103" customWidth="1"/>
    <col min="4930" max="4930" width="9.85546875" style="1103" customWidth="1"/>
    <col min="4931" max="4931" width="13.140625" style="1103" customWidth="1"/>
    <col min="4932" max="4932" width="25.42578125" style="1103" customWidth="1"/>
    <col min="4933" max="4933" width="30.85546875" style="1103" customWidth="1"/>
    <col min="4934" max="4934" width="27.42578125" style="1103" customWidth="1"/>
    <col min="4935" max="5147" width="11.42578125" style="1103"/>
    <col min="5148" max="5148" width="13" style="1103" bestFit="1" customWidth="1"/>
    <col min="5149" max="5149" width="6.85546875" style="1103" customWidth="1"/>
    <col min="5150" max="5150" width="14.28515625" style="1103" customWidth="1"/>
    <col min="5151" max="5151" width="14" style="1103" customWidth="1"/>
    <col min="5152" max="5152" width="17.85546875" style="1103" customWidth="1"/>
    <col min="5153" max="5153" width="3.5703125" style="1103" customWidth="1"/>
    <col min="5154" max="5154" width="13.28515625" style="1103" customWidth="1"/>
    <col min="5155" max="5155" width="5.85546875" style="1103" customWidth="1"/>
    <col min="5156" max="5156" width="23.28515625" style="1103" customWidth="1"/>
    <col min="5157" max="5157" width="17.140625" style="1103" customWidth="1"/>
    <col min="5158" max="5158" width="50.5703125" style="1103" customWidth="1"/>
    <col min="5159" max="5159" width="28.7109375" style="1103" customWidth="1"/>
    <col min="5160" max="5160" width="25.140625" style="1103" customWidth="1"/>
    <col min="5161" max="5161" width="36.7109375" style="1103" customWidth="1"/>
    <col min="5162" max="5163" width="24.5703125" style="1103" customWidth="1"/>
    <col min="5164" max="5164" width="17.85546875" style="1103" customWidth="1"/>
    <col min="5165" max="5165" width="27.5703125" style="1103" bestFit="1" customWidth="1"/>
    <col min="5166" max="5166" width="37.28515625" style="1103" customWidth="1"/>
    <col min="5167" max="5167" width="48.42578125" style="1103" customWidth="1"/>
    <col min="5168" max="5168" width="32" style="1103" customWidth="1"/>
    <col min="5169" max="5169" width="32.7109375" style="1103" customWidth="1"/>
    <col min="5170" max="5170" width="18.5703125" style="1103" customWidth="1"/>
    <col min="5171" max="5171" width="16.7109375" style="1103" customWidth="1"/>
    <col min="5172" max="5172" width="10.42578125" style="1103" customWidth="1"/>
    <col min="5173" max="5173" width="10.5703125" style="1103" customWidth="1"/>
    <col min="5174" max="5174" width="9.28515625" style="1103" customWidth="1"/>
    <col min="5175" max="5175" width="10.140625" style="1103" customWidth="1"/>
    <col min="5176" max="5176" width="8.42578125" style="1103" customWidth="1"/>
    <col min="5177" max="5177" width="9.5703125" style="1103" customWidth="1"/>
    <col min="5178" max="5178" width="9.28515625" style="1103" customWidth="1"/>
    <col min="5179" max="5179" width="8.85546875" style="1103" customWidth="1"/>
    <col min="5180" max="5182" width="8" style="1103" customWidth="1"/>
    <col min="5183" max="5183" width="8.7109375" style="1103" customWidth="1"/>
    <col min="5184" max="5184" width="8.140625" style="1103" customWidth="1"/>
    <col min="5185" max="5185" width="10.5703125" style="1103" customWidth="1"/>
    <col min="5186" max="5186" width="9.85546875" style="1103" customWidth="1"/>
    <col min="5187" max="5187" width="13.140625" style="1103" customWidth="1"/>
    <col min="5188" max="5188" width="25.42578125" style="1103" customWidth="1"/>
    <col min="5189" max="5189" width="30.85546875" style="1103" customWidth="1"/>
    <col min="5190" max="5190" width="27.42578125" style="1103" customWidth="1"/>
    <col min="5191" max="5403" width="11.42578125" style="1103"/>
    <col min="5404" max="5404" width="13" style="1103" bestFit="1" customWidth="1"/>
    <col min="5405" max="5405" width="6.85546875" style="1103" customWidth="1"/>
    <col min="5406" max="5406" width="14.28515625" style="1103" customWidth="1"/>
    <col min="5407" max="5407" width="14" style="1103" customWidth="1"/>
    <col min="5408" max="5408" width="17.85546875" style="1103" customWidth="1"/>
    <col min="5409" max="5409" width="3.5703125" style="1103" customWidth="1"/>
    <col min="5410" max="5410" width="13.28515625" style="1103" customWidth="1"/>
    <col min="5411" max="5411" width="5.85546875" style="1103" customWidth="1"/>
    <col min="5412" max="5412" width="23.28515625" style="1103" customWidth="1"/>
    <col min="5413" max="5413" width="17.140625" style="1103" customWidth="1"/>
    <col min="5414" max="5414" width="50.5703125" style="1103" customWidth="1"/>
    <col min="5415" max="5415" width="28.7109375" style="1103" customWidth="1"/>
    <col min="5416" max="5416" width="25.140625" style="1103" customWidth="1"/>
    <col min="5417" max="5417" width="36.7109375" style="1103" customWidth="1"/>
    <col min="5418" max="5419" width="24.5703125" style="1103" customWidth="1"/>
    <col min="5420" max="5420" width="17.85546875" style="1103" customWidth="1"/>
    <col min="5421" max="5421" width="27.5703125" style="1103" bestFit="1" customWidth="1"/>
    <col min="5422" max="5422" width="37.28515625" style="1103" customWidth="1"/>
    <col min="5423" max="5423" width="48.42578125" style="1103" customWidth="1"/>
    <col min="5424" max="5424" width="32" style="1103" customWidth="1"/>
    <col min="5425" max="5425" width="32.7109375" style="1103" customWidth="1"/>
    <col min="5426" max="5426" width="18.5703125" style="1103" customWidth="1"/>
    <col min="5427" max="5427" width="16.7109375" style="1103" customWidth="1"/>
    <col min="5428" max="5428" width="10.42578125" style="1103" customWidth="1"/>
    <col min="5429" max="5429" width="10.5703125" style="1103" customWidth="1"/>
    <col min="5430" max="5430" width="9.28515625" style="1103" customWidth="1"/>
    <col min="5431" max="5431" width="10.140625" style="1103" customWidth="1"/>
    <col min="5432" max="5432" width="8.42578125" style="1103" customWidth="1"/>
    <col min="5433" max="5433" width="9.5703125" style="1103" customWidth="1"/>
    <col min="5434" max="5434" width="9.28515625" style="1103" customWidth="1"/>
    <col min="5435" max="5435" width="8.85546875" style="1103" customWidth="1"/>
    <col min="5436" max="5438" width="8" style="1103" customWidth="1"/>
    <col min="5439" max="5439" width="8.7109375" style="1103" customWidth="1"/>
    <col min="5440" max="5440" width="8.140625" style="1103" customWidth="1"/>
    <col min="5441" max="5441" width="10.5703125" style="1103" customWidth="1"/>
    <col min="5442" max="5442" width="9.85546875" style="1103" customWidth="1"/>
    <col min="5443" max="5443" width="13.140625" style="1103" customWidth="1"/>
    <col min="5444" max="5444" width="25.42578125" style="1103" customWidth="1"/>
    <col min="5445" max="5445" width="30.85546875" style="1103" customWidth="1"/>
    <col min="5446" max="5446" width="27.42578125" style="1103" customWidth="1"/>
    <col min="5447" max="5659" width="11.42578125" style="1103"/>
    <col min="5660" max="5660" width="13" style="1103" bestFit="1" customWidth="1"/>
    <col min="5661" max="5661" width="6.85546875" style="1103" customWidth="1"/>
    <col min="5662" max="5662" width="14.28515625" style="1103" customWidth="1"/>
    <col min="5663" max="5663" width="14" style="1103" customWidth="1"/>
    <col min="5664" max="5664" width="17.85546875" style="1103" customWidth="1"/>
    <col min="5665" max="5665" width="3.5703125" style="1103" customWidth="1"/>
    <col min="5666" max="5666" width="13.28515625" style="1103" customWidth="1"/>
    <col min="5667" max="5667" width="5.85546875" style="1103" customWidth="1"/>
    <col min="5668" max="5668" width="23.28515625" style="1103" customWidth="1"/>
    <col min="5669" max="5669" width="17.140625" style="1103" customWidth="1"/>
    <col min="5670" max="5670" width="50.5703125" style="1103" customWidth="1"/>
    <col min="5671" max="5671" width="28.7109375" style="1103" customWidth="1"/>
    <col min="5672" max="5672" width="25.140625" style="1103" customWidth="1"/>
    <col min="5673" max="5673" width="36.7109375" style="1103" customWidth="1"/>
    <col min="5674" max="5675" width="24.5703125" style="1103" customWidth="1"/>
    <col min="5676" max="5676" width="17.85546875" style="1103" customWidth="1"/>
    <col min="5677" max="5677" width="27.5703125" style="1103" bestFit="1" customWidth="1"/>
    <col min="5678" max="5678" width="37.28515625" style="1103" customWidth="1"/>
    <col min="5679" max="5679" width="48.42578125" style="1103" customWidth="1"/>
    <col min="5680" max="5680" width="32" style="1103" customWidth="1"/>
    <col min="5681" max="5681" width="32.7109375" style="1103" customWidth="1"/>
    <col min="5682" max="5682" width="18.5703125" style="1103" customWidth="1"/>
    <col min="5683" max="5683" width="16.7109375" style="1103" customWidth="1"/>
    <col min="5684" max="5684" width="10.42578125" style="1103" customWidth="1"/>
    <col min="5685" max="5685" width="10.5703125" style="1103" customWidth="1"/>
    <col min="5686" max="5686" width="9.28515625" style="1103" customWidth="1"/>
    <col min="5687" max="5687" width="10.140625" style="1103" customWidth="1"/>
    <col min="5688" max="5688" width="8.42578125" style="1103" customWidth="1"/>
    <col min="5689" max="5689" width="9.5703125" style="1103" customWidth="1"/>
    <col min="5690" max="5690" width="9.28515625" style="1103" customWidth="1"/>
    <col min="5691" max="5691" width="8.85546875" style="1103" customWidth="1"/>
    <col min="5692" max="5694" width="8" style="1103" customWidth="1"/>
    <col min="5695" max="5695" width="8.7109375" style="1103" customWidth="1"/>
    <col min="5696" max="5696" width="8.140625" style="1103" customWidth="1"/>
    <col min="5697" max="5697" width="10.5703125" style="1103" customWidth="1"/>
    <col min="5698" max="5698" width="9.85546875" style="1103" customWidth="1"/>
    <col min="5699" max="5699" width="13.140625" style="1103" customWidth="1"/>
    <col min="5700" max="5700" width="25.42578125" style="1103" customWidth="1"/>
    <col min="5701" max="5701" width="30.85546875" style="1103" customWidth="1"/>
    <col min="5702" max="5702" width="27.42578125" style="1103" customWidth="1"/>
    <col min="5703" max="5915" width="11.42578125" style="1103"/>
    <col min="5916" max="5916" width="13" style="1103" bestFit="1" customWidth="1"/>
    <col min="5917" max="5917" width="6.85546875" style="1103" customWidth="1"/>
    <col min="5918" max="5918" width="14.28515625" style="1103" customWidth="1"/>
    <col min="5919" max="5919" width="14" style="1103" customWidth="1"/>
    <col min="5920" max="5920" width="17.85546875" style="1103" customWidth="1"/>
    <col min="5921" max="5921" width="3.5703125" style="1103" customWidth="1"/>
    <col min="5922" max="5922" width="13.28515625" style="1103" customWidth="1"/>
    <col min="5923" max="5923" width="5.85546875" style="1103" customWidth="1"/>
    <col min="5924" max="5924" width="23.28515625" style="1103" customWidth="1"/>
    <col min="5925" max="5925" width="17.140625" style="1103" customWidth="1"/>
    <col min="5926" max="5926" width="50.5703125" style="1103" customWidth="1"/>
    <col min="5927" max="5927" width="28.7109375" style="1103" customWidth="1"/>
    <col min="5928" max="5928" width="25.140625" style="1103" customWidth="1"/>
    <col min="5929" max="5929" width="36.7109375" style="1103" customWidth="1"/>
    <col min="5930" max="5931" width="24.5703125" style="1103" customWidth="1"/>
    <col min="5932" max="5932" width="17.85546875" style="1103" customWidth="1"/>
    <col min="5933" max="5933" width="27.5703125" style="1103" bestFit="1" customWidth="1"/>
    <col min="5934" max="5934" width="37.28515625" style="1103" customWidth="1"/>
    <col min="5935" max="5935" width="48.42578125" style="1103" customWidth="1"/>
    <col min="5936" max="5936" width="32" style="1103" customWidth="1"/>
    <col min="5937" max="5937" width="32.7109375" style="1103" customWidth="1"/>
    <col min="5938" max="5938" width="18.5703125" style="1103" customWidth="1"/>
    <col min="5939" max="5939" width="16.7109375" style="1103" customWidth="1"/>
    <col min="5940" max="5940" width="10.42578125" style="1103" customWidth="1"/>
    <col min="5941" max="5941" width="10.5703125" style="1103" customWidth="1"/>
    <col min="5942" max="5942" width="9.28515625" style="1103" customWidth="1"/>
    <col min="5943" max="5943" width="10.140625" style="1103" customWidth="1"/>
    <col min="5944" max="5944" width="8.42578125" style="1103" customWidth="1"/>
    <col min="5945" max="5945" width="9.5703125" style="1103" customWidth="1"/>
    <col min="5946" max="5946" width="9.28515625" style="1103" customWidth="1"/>
    <col min="5947" max="5947" width="8.85546875" style="1103" customWidth="1"/>
    <col min="5948" max="5950" width="8" style="1103" customWidth="1"/>
    <col min="5951" max="5951" width="8.7109375" style="1103" customWidth="1"/>
    <col min="5952" max="5952" width="8.140625" style="1103" customWidth="1"/>
    <col min="5953" max="5953" width="10.5703125" style="1103" customWidth="1"/>
    <col min="5954" max="5954" width="9.85546875" style="1103" customWidth="1"/>
    <col min="5955" max="5955" width="13.140625" style="1103" customWidth="1"/>
    <col min="5956" max="5956" width="25.42578125" style="1103" customWidth="1"/>
    <col min="5957" max="5957" width="30.85546875" style="1103" customWidth="1"/>
    <col min="5958" max="5958" width="27.42578125" style="1103" customWidth="1"/>
    <col min="5959" max="6171" width="11.42578125" style="1103"/>
    <col min="6172" max="6172" width="13" style="1103" bestFit="1" customWidth="1"/>
    <col min="6173" max="6173" width="6.85546875" style="1103" customWidth="1"/>
    <col min="6174" max="6174" width="14.28515625" style="1103" customWidth="1"/>
    <col min="6175" max="6175" width="14" style="1103" customWidth="1"/>
    <col min="6176" max="6176" width="17.85546875" style="1103" customWidth="1"/>
    <col min="6177" max="6177" width="3.5703125" style="1103" customWidth="1"/>
    <col min="6178" max="6178" width="13.28515625" style="1103" customWidth="1"/>
    <col min="6179" max="6179" width="5.85546875" style="1103" customWidth="1"/>
    <col min="6180" max="6180" width="23.28515625" style="1103" customWidth="1"/>
    <col min="6181" max="6181" width="17.140625" style="1103" customWidth="1"/>
    <col min="6182" max="6182" width="50.5703125" style="1103" customWidth="1"/>
    <col min="6183" max="6183" width="28.7109375" style="1103" customWidth="1"/>
    <col min="6184" max="6184" width="25.140625" style="1103" customWidth="1"/>
    <col min="6185" max="6185" width="36.7109375" style="1103" customWidth="1"/>
    <col min="6186" max="6187" width="24.5703125" style="1103" customWidth="1"/>
    <col min="6188" max="6188" width="17.85546875" style="1103" customWidth="1"/>
    <col min="6189" max="6189" width="27.5703125" style="1103" bestFit="1" customWidth="1"/>
    <col min="6190" max="6190" width="37.28515625" style="1103" customWidth="1"/>
    <col min="6191" max="6191" width="48.42578125" style="1103" customWidth="1"/>
    <col min="6192" max="6192" width="32" style="1103" customWidth="1"/>
    <col min="6193" max="6193" width="32.7109375" style="1103" customWidth="1"/>
    <col min="6194" max="6194" width="18.5703125" style="1103" customWidth="1"/>
    <col min="6195" max="6195" width="16.7109375" style="1103" customWidth="1"/>
    <col min="6196" max="6196" width="10.42578125" style="1103" customWidth="1"/>
    <col min="6197" max="6197" width="10.5703125" style="1103" customWidth="1"/>
    <col min="6198" max="6198" width="9.28515625" style="1103" customWidth="1"/>
    <col min="6199" max="6199" width="10.140625" style="1103" customWidth="1"/>
    <col min="6200" max="6200" width="8.42578125" style="1103" customWidth="1"/>
    <col min="6201" max="6201" width="9.5703125" style="1103" customWidth="1"/>
    <col min="6202" max="6202" width="9.28515625" style="1103" customWidth="1"/>
    <col min="6203" max="6203" width="8.85546875" style="1103" customWidth="1"/>
    <col min="6204" max="6206" width="8" style="1103" customWidth="1"/>
    <col min="6207" max="6207" width="8.7109375" style="1103" customWidth="1"/>
    <col min="6208" max="6208" width="8.140625" style="1103" customWidth="1"/>
    <col min="6209" max="6209" width="10.5703125" style="1103" customWidth="1"/>
    <col min="6210" max="6210" width="9.85546875" style="1103" customWidth="1"/>
    <col min="6211" max="6211" width="13.140625" style="1103" customWidth="1"/>
    <col min="6212" max="6212" width="25.42578125" style="1103" customWidth="1"/>
    <col min="6213" max="6213" width="30.85546875" style="1103" customWidth="1"/>
    <col min="6214" max="6214" width="27.42578125" style="1103" customWidth="1"/>
    <col min="6215" max="6427" width="11.42578125" style="1103"/>
    <col min="6428" max="6428" width="13" style="1103" bestFit="1" customWidth="1"/>
    <col min="6429" max="6429" width="6.85546875" style="1103" customWidth="1"/>
    <col min="6430" max="6430" width="14.28515625" style="1103" customWidth="1"/>
    <col min="6431" max="6431" width="14" style="1103" customWidth="1"/>
    <col min="6432" max="6432" width="17.85546875" style="1103" customWidth="1"/>
    <col min="6433" max="6433" width="3.5703125" style="1103" customWidth="1"/>
    <col min="6434" max="6434" width="13.28515625" style="1103" customWidth="1"/>
    <col min="6435" max="6435" width="5.85546875" style="1103" customWidth="1"/>
    <col min="6436" max="6436" width="23.28515625" style="1103" customWidth="1"/>
    <col min="6437" max="6437" width="17.140625" style="1103" customWidth="1"/>
    <col min="6438" max="6438" width="50.5703125" style="1103" customWidth="1"/>
    <col min="6439" max="6439" width="28.7109375" style="1103" customWidth="1"/>
    <col min="6440" max="6440" width="25.140625" style="1103" customWidth="1"/>
    <col min="6441" max="6441" width="36.7109375" style="1103" customWidth="1"/>
    <col min="6442" max="6443" width="24.5703125" style="1103" customWidth="1"/>
    <col min="6444" max="6444" width="17.85546875" style="1103" customWidth="1"/>
    <col min="6445" max="6445" width="27.5703125" style="1103" bestFit="1" customWidth="1"/>
    <col min="6446" max="6446" width="37.28515625" style="1103" customWidth="1"/>
    <col min="6447" max="6447" width="48.42578125" style="1103" customWidth="1"/>
    <col min="6448" max="6448" width="32" style="1103" customWidth="1"/>
    <col min="6449" max="6449" width="32.7109375" style="1103" customWidth="1"/>
    <col min="6450" max="6450" width="18.5703125" style="1103" customWidth="1"/>
    <col min="6451" max="6451" width="16.7109375" style="1103" customWidth="1"/>
    <col min="6452" max="6452" width="10.42578125" style="1103" customWidth="1"/>
    <col min="6453" max="6453" width="10.5703125" style="1103" customWidth="1"/>
    <col min="6454" max="6454" width="9.28515625" style="1103" customWidth="1"/>
    <col min="6455" max="6455" width="10.140625" style="1103" customWidth="1"/>
    <col min="6456" max="6456" width="8.42578125" style="1103" customWidth="1"/>
    <col min="6457" max="6457" width="9.5703125" style="1103" customWidth="1"/>
    <col min="6458" max="6458" width="9.28515625" style="1103" customWidth="1"/>
    <col min="6459" max="6459" width="8.85546875" style="1103" customWidth="1"/>
    <col min="6460" max="6462" width="8" style="1103" customWidth="1"/>
    <col min="6463" max="6463" width="8.7109375" style="1103" customWidth="1"/>
    <col min="6464" max="6464" width="8.140625" style="1103" customWidth="1"/>
    <col min="6465" max="6465" width="10.5703125" style="1103" customWidth="1"/>
    <col min="6466" max="6466" width="9.85546875" style="1103" customWidth="1"/>
    <col min="6467" max="6467" width="13.140625" style="1103" customWidth="1"/>
    <col min="6468" max="6468" width="25.42578125" style="1103" customWidth="1"/>
    <col min="6469" max="6469" width="30.85546875" style="1103" customWidth="1"/>
    <col min="6470" max="6470" width="27.42578125" style="1103" customWidth="1"/>
    <col min="6471" max="6683" width="11.42578125" style="1103"/>
    <col min="6684" max="6684" width="13" style="1103" bestFit="1" customWidth="1"/>
    <col min="6685" max="6685" width="6.85546875" style="1103" customWidth="1"/>
    <col min="6686" max="6686" width="14.28515625" style="1103" customWidth="1"/>
    <col min="6687" max="6687" width="14" style="1103" customWidth="1"/>
    <col min="6688" max="6688" width="17.85546875" style="1103" customWidth="1"/>
    <col min="6689" max="6689" width="3.5703125" style="1103" customWidth="1"/>
    <col min="6690" max="6690" width="13.28515625" style="1103" customWidth="1"/>
    <col min="6691" max="6691" width="5.85546875" style="1103" customWidth="1"/>
    <col min="6692" max="6692" width="23.28515625" style="1103" customWidth="1"/>
    <col min="6693" max="6693" width="17.140625" style="1103" customWidth="1"/>
    <col min="6694" max="6694" width="50.5703125" style="1103" customWidth="1"/>
    <col min="6695" max="6695" width="28.7109375" style="1103" customWidth="1"/>
    <col min="6696" max="6696" width="25.140625" style="1103" customWidth="1"/>
    <col min="6697" max="6697" width="36.7109375" style="1103" customWidth="1"/>
    <col min="6698" max="6699" width="24.5703125" style="1103" customWidth="1"/>
    <col min="6700" max="6700" width="17.85546875" style="1103" customWidth="1"/>
    <col min="6701" max="6701" width="27.5703125" style="1103" bestFit="1" customWidth="1"/>
    <col min="6702" max="6702" width="37.28515625" style="1103" customWidth="1"/>
    <col min="6703" max="6703" width="48.42578125" style="1103" customWidth="1"/>
    <col min="6704" max="6704" width="32" style="1103" customWidth="1"/>
    <col min="6705" max="6705" width="32.7109375" style="1103" customWidth="1"/>
    <col min="6706" max="6706" width="18.5703125" style="1103" customWidth="1"/>
    <col min="6707" max="6707" width="16.7109375" style="1103" customWidth="1"/>
    <col min="6708" max="6708" width="10.42578125" style="1103" customWidth="1"/>
    <col min="6709" max="6709" width="10.5703125" style="1103" customWidth="1"/>
    <col min="6710" max="6710" width="9.28515625" style="1103" customWidth="1"/>
    <col min="6711" max="6711" width="10.140625" style="1103" customWidth="1"/>
    <col min="6712" max="6712" width="8.42578125" style="1103" customWidth="1"/>
    <col min="6713" max="6713" width="9.5703125" style="1103" customWidth="1"/>
    <col min="6714" max="6714" width="9.28515625" style="1103" customWidth="1"/>
    <col min="6715" max="6715" width="8.85546875" style="1103" customWidth="1"/>
    <col min="6716" max="6718" width="8" style="1103" customWidth="1"/>
    <col min="6719" max="6719" width="8.7109375" style="1103" customWidth="1"/>
    <col min="6720" max="6720" width="8.140625" style="1103" customWidth="1"/>
    <col min="6721" max="6721" width="10.5703125" style="1103" customWidth="1"/>
    <col min="6722" max="6722" width="9.85546875" style="1103" customWidth="1"/>
    <col min="6723" max="6723" width="13.140625" style="1103" customWidth="1"/>
    <col min="6724" max="6724" width="25.42578125" style="1103" customWidth="1"/>
    <col min="6725" max="6725" width="30.85546875" style="1103" customWidth="1"/>
    <col min="6726" max="6726" width="27.42578125" style="1103" customWidth="1"/>
    <col min="6727" max="6939" width="11.42578125" style="1103"/>
    <col min="6940" max="6940" width="13" style="1103" bestFit="1" customWidth="1"/>
    <col min="6941" max="6941" width="6.85546875" style="1103" customWidth="1"/>
    <col min="6942" max="6942" width="14.28515625" style="1103" customWidth="1"/>
    <col min="6943" max="6943" width="14" style="1103" customWidth="1"/>
    <col min="6944" max="6944" width="17.85546875" style="1103" customWidth="1"/>
    <col min="6945" max="6945" width="3.5703125" style="1103" customWidth="1"/>
    <col min="6946" max="6946" width="13.28515625" style="1103" customWidth="1"/>
    <col min="6947" max="6947" width="5.85546875" style="1103" customWidth="1"/>
    <col min="6948" max="6948" width="23.28515625" style="1103" customWidth="1"/>
    <col min="6949" max="6949" width="17.140625" style="1103" customWidth="1"/>
    <col min="6950" max="6950" width="50.5703125" style="1103" customWidth="1"/>
    <col min="6951" max="6951" width="28.7109375" style="1103" customWidth="1"/>
    <col min="6952" max="6952" width="25.140625" style="1103" customWidth="1"/>
    <col min="6953" max="6953" width="36.7109375" style="1103" customWidth="1"/>
    <col min="6954" max="6955" width="24.5703125" style="1103" customWidth="1"/>
    <col min="6956" max="6956" width="17.85546875" style="1103" customWidth="1"/>
    <col min="6957" max="6957" width="27.5703125" style="1103" bestFit="1" customWidth="1"/>
    <col min="6958" max="6958" width="37.28515625" style="1103" customWidth="1"/>
    <col min="6959" max="6959" width="48.42578125" style="1103" customWidth="1"/>
    <col min="6960" max="6960" width="32" style="1103" customWidth="1"/>
    <col min="6961" max="6961" width="32.7109375" style="1103" customWidth="1"/>
    <col min="6962" max="6962" width="18.5703125" style="1103" customWidth="1"/>
    <col min="6963" max="6963" width="16.7109375" style="1103" customWidth="1"/>
    <col min="6964" max="6964" width="10.42578125" style="1103" customWidth="1"/>
    <col min="6965" max="6965" width="10.5703125" style="1103" customWidth="1"/>
    <col min="6966" max="6966" width="9.28515625" style="1103" customWidth="1"/>
    <col min="6967" max="6967" width="10.140625" style="1103" customWidth="1"/>
    <col min="6968" max="6968" width="8.42578125" style="1103" customWidth="1"/>
    <col min="6969" max="6969" width="9.5703125" style="1103" customWidth="1"/>
    <col min="6970" max="6970" width="9.28515625" style="1103" customWidth="1"/>
    <col min="6971" max="6971" width="8.85546875" style="1103" customWidth="1"/>
    <col min="6972" max="6974" width="8" style="1103" customWidth="1"/>
    <col min="6975" max="6975" width="8.7109375" style="1103" customWidth="1"/>
    <col min="6976" max="6976" width="8.140625" style="1103" customWidth="1"/>
    <col min="6977" max="6977" width="10.5703125" style="1103" customWidth="1"/>
    <col min="6978" max="6978" width="9.85546875" style="1103" customWidth="1"/>
    <col min="6979" max="6979" width="13.140625" style="1103" customWidth="1"/>
    <col min="6980" max="6980" width="25.42578125" style="1103" customWidth="1"/>
    <col min="6981" max="6981" width="30.85546875" style="1103" customWidth="1"/>
    <col min="6982" max="6982" width="27.42578125" style="1103" customWidth="1"/>
    <col min="6983" max="7195" width="11.42578125" style="1103"/>
    <col min="7196" max="7196" width="13" style="1103" bestFit="1" customWidth="1"/>
    <col min="7197" max="7197" width="6.85546875" style="1103" customWidth="1"/>
    <col min="7198" max="7198" width="14.28515625" style="1103" customWidth="1"/>
    <col min="7199" max="7199" width="14" style="1103" customWidth="1"/>
    <col min="7200" max="7200" width="17.85546875" style="1103" customWidth="1"/>
    <col min="7201" max="7201" width="3.5703125" style="1103" customWidth="1"/>
    <col min="7202" max="7202" width="13.28515625" style="1103" customWidth="1"/>
    <col min="7203" max="7203" width="5.85546875" style="1103" customWidth="1"/>
    <col min="7204" max="7204" width="23.28515625" style="1103" customWidth="1"/>
    <col min="7205" max="7205" width="17.140625" style="1103" customWidth="1"/>
    <col min="7206" max="7206" width="50.5703125" style="1103" customWidth="1"/>
    <col min="7207" max="7207" width="28.7109375" style="1103" customWidth="1"/>
    <col min="7208" max="7208" width="25.140625" style="1103" customWidth="1"/>
    <col min="7209" max="7209" width="36.7109375" style="1103" customWidth="1"/>
    <col min="7210" max="7211" width="24.5703125" style="1103" customWidth="1"/>
    <col min="7212" max="7212" width="17.85546875" style="1103" customWidth="1"/>
    <col min="7213" max="7213" width="27.5703125" style="1103" bestFit="1" customWidth="1"/>
    <col min="7214" max="7214" width="37.28515625" style="1103" customWidth="1"/>
    <col min="7215" max="7215" width="48.42578125" style="1103" customWidth="1"/>
    <col min="7216" max="7216" width="32" style="1103" customWidth="1"/>
    <col min="7217" max="7217" width="32.7109375" style="1103" customWidth="1"/>
    <col min="7218" max="7218" width="18.5703125" style="1103" customWidth="1"/>
    <col min="7219" max="7219" width="16.7109375" style="1103" customWidth="1"/>
    <col min="7220" max="7220" width="10.42578125" style="1103" customWidth="1"/>
    <col min="7221" max="7221" width="10.5703125" style="1103" customWidth="1"/>
    <col min="7222" max="7222" width="9.28515625" style="1103" customWidth="1"/>
    <col min="7223" max="7223" width="10.140625" style="1103" customWidth="1"/>
    <col min="7224" max="7224" width="8.42578125" style="1103" customWidth="1"/>
    <col min="7225" max="7225" width="9.5703125" style="1103" customWidth="1"/>
    <col min="7226" max="7226" width="9.28515625" style="1103" customWidth="1"/>
    <col min="7227" max="7227" width="8.85546875" style="1103" customWidth="1"/>
    <col min="7228" max="7230" width="8" style="1103" customWidth="1"/>
    <col min="7231" max="7231" width="8.7109375" style="1103" customWidth="1"/>
    <col min="7232" max="7232" width="8.140625" style="1103" customWidth="1"/>
    <col min="7233" max="7233" width="10.5703125" style="1103" customWidth="1"/>
    <col min="7234" max="7234" width="9.85546875" style="1103" customWidth="1"/>
    <col min="7235" max="7235" width="13.140625" style="1103" customWidth="1"/>
    <col min="7236" max="7236" width="25.42578125" style="1103" customWidth="1"/>
    <col min="7237" max="7237" width="30.85546875" style="1103" customWidth="1"/>
    <col min="7238" max="7238" width="27.42578125" style="1103" customWidth="1"/>
    <col min="7239" max="7451" width="11.42578125" style="1103"/>
    <col min="7452" max="7452" width="13" style="1103" bestFit="1" customWidth="1"/>
    <col min="7453" max="7453" width="6.85546875" style="1103" customWidth="1"/>
    <col min="7454" max="7454" width="14.28515625" style="1103" customWidth="1"/>
    <col min="7455" max="7455" width="14" style="1103" customWidth="1"/>
    <col min="7456" max="7456" width="17.85546875" style="1103" customWidth="1"/>
    <col min="7457" max="7457" width="3.5703125" style="1103" customWidth="1"/>
    <col min="7458" max="7458" width="13.28515625" style="1103" customWidth="1"/>
    <col min="7459" max="7459" width="5.85546875" style="1103" customWidth="1"/>
    <col min="7460" max="7460" width="23.28515625" style="1103" customWidth="1"/>
    <col min="7461" max="7461" width="17.140625" style="1103" customWidth="1"/>
    <col min="7462" max="7462" width="50.5703125" style="1103" customWidth="1"/>
    <col min="7463" max="7463" width="28.7109375" style="1103" customWidth="1"/>
    <col min="7464" max="7464" width="25.140625" style="1103" customWidth="1"/>
    <col min="7465" max="7465" width="36.7109375" style="1103" customWidth="1"/>
    <col min="7466" max="7467" width="24.5703125" style="1103" customWidth="1"/>
    <col min="7468" max="7468" width="17.85546875" style="1103" customWidth="1"/>
    <col min="7469" max="7469" width="27.5703125" style="1103" bestFit="1" customWidth="1"/>
    <col min="7470" max="7470" width="37.28515625" style="1103" customWidth="1"/>
    <col min="7471" max="7471" width="48.42578125" style="1103" customWidth="1"/>
    <col min="7472" max="7472" width="32" style="1103" customWidth="1"/>
    <col min="7473" max="7473" width="32.7109375" style="1103" customWidth="1"/>
    <col min="7474" max="7474" width="18.5703125" style="1103" customWidth="1"/>
    <col min="7475" max="7475" width="16.7109375" style="1103" customWidth="1"/>
    <col min="7476" max="7476" width="10.42578125" style="1103" customWidth="1"/>
    <col min="7477" max="7477" width="10.5703125" style="1103" customWidth="1"/>
    <col min="7478" max="7478" width="9.28515625" style="1103" customWidth="1"/>
    <col min="7479" max="7479" width="10.140625" style="1103" customWidth="1"/>
    <col min="7480" max="7480" width="8.42578125" style="1103" customWidth="1"/>
    <col min="7481" max="7481" width="9.5703125" style="1103" customWidth="1"/>
    <col min="7482" max="7482" width="9.28515625" style="1103" customWidth="1"/>
    <col min="7483" max="7483" width="8.85546875" style="1103" customWidth="1"/>
    <col min="7484" max="7486" width="8" style="1103" customWidth="1"/>
    <col min="7487" max="7487" width="8.7109375" style="1103" customWidth="1"/>
    <col min="7488" max="7488" width="8.140625" style="1103" customWidth="1"/>
    <col min="7489" max="7489" width="10.5703125" style="1103" customWidth="1"/>
    <col min="7490" max="7490" width="9.85546875" style="1103" customWidth="1"/>
    <col min="7491" max="7491" width="13.140625" style="1103" customWidth="1"/>
    <col min="7492" max="7492" width="25.42578125" style="1103" customWidth="1"/>
    <col min="7493" max="7493" width="30.85546875" style="1103" customWidth="1"/>
    <col min="7494" max="7494" width="27.42578125" style="1103" customWidth="1"/>
    <col min="7495" max="7707" width="11.42578125" style="1103"/>
    <col min="7708" max="7708" width="13" style="1103" bestFit="1" customWidth="1"/>
    <col min="7709" max="7709" width="6.85546875" style="1103" customWidth="1"/>
    <col min="7710" max="7710" width="14.28515625" style="1103" customWidth="1"/>
    <col min="7711" max="7711" width="14" style="1103" customWidth="1"/>
    <col min="7712" max="7712" width="17.85546875" style="1103" customWidth="1"/>
    <col min="7713" max="7713" width="3.5703125" style="1103" customWidth="1"/>
    <col min="7714" max="7714" width="13.28515625" style="1103" customWidth="1"/>
    <col min="7715" max="7715" width="5.85546875" style="1103" customWidth="1"/>
    <col min="7716" max="7716" width="23.28515625" style="1103" customWidth="1"/>
    <col min="7717" max="7717" width="17.140625" style="1103" customWidth="1"/>
    <col min="7718" max="7718" width="50.5703125" style="1103" customWidth="1"/>
    <col min="7719" max="7719" width="28.7109375" style="1103" customWidth="1"/>
    <col min="7720" max="7720" width="25.140625" style="1103" customWidth="1"/>
    <col min="7721" max="7721" width="36.7109375" style="1103" customWidth="1"/>
    <col min="7722" max="7723" width="24.5703125" style="1103" customWidth="1"/>
    <col min="7724" max="7724" width="17.85546875" style="1103" customWidth="1"/>
    <col min="7725" max="7725" width="27.5703125" style="1103" bestFit="1" customWidth="1"/>
    <col min="7726" max="7726" width="37.28515625" style="1103" customWidth="1"/>
    <col min="7727" max="7727" width="48.42578125" style="1103" customWidth="1"/>
    <col min="7728" max="7728" width="32" style="1103" customWidth="1"/>
    <col min="7729" max="7729" width="32.7109375" style="1103" customWidth="1"/>
    <col min="7730" max="7730" width="18.5703125" style="1103" customWidth="1"/>
    <col min="7731" max="7731" width="16.7109375" style="1103" customWidth="1"/>
    <col min="7732" max="7732" width="10.42578125" style="1103" customWidth="1"/>
    <col min="7733" max="7733" width="10.5703125" style="1103" customWidth="1"/>
    <col min="7734" max="7734" width="9.28515625" style="1103" customWidth="1"/>
    <col min="7735" max="7735" width="10.140625" style="1103" customWidth="1"/>
    <col min="7736" max="7736" width="8.42578125" style="1103" customWidth="1"/>
    <col min="7737" max="7737" width="9.5703125" style="1103" customWidth="1"/>
    <col min="7738" max="7738" width="9.28515625" style="1103" customWidth="1"/>
    <col min="7739" max="7739" width="8.85546875" style="1103" customWidth="1"/>
    <col min="7740" max="7742" width="8" style="1103" customWidth="1"/>
    <col min="7743" max="7743" width="8.7109375" style="1103" customWidth="1"/>
    <col min="7744" max="7744" width="8.140625" style="1103" customWidth="1"/>
    <col min="7745" max="7745" width="10.5703125" style="1103" customWidth="1"/>
    <col min="7746" max="7746" width="9.85546875" style="1103" customWidth="1"/>
    <col min="7747" max="7747" width="13.140625" style="1103" customWidth="1"/>
    <col min="7748" max="7748" width="25.42578125" style="1103" customWidth="1"/>
    <col min="7749" max="7749" width="30.85546875" style="1103" customWidth="1"/>
    <col min="7750" max="7750" width="27.42578125" style="1103" customWidth="1"/>
    <col min="7751" max="7963" width="11.42578125" style="1103"/>
    <col min="7964" max="7964" width="13" style="1103" bestFit="1" customWidth="1"/>
    <col min="7965" max="7965" width="6.85546875" style="1103" customWidth="1"/>
    <col min="7966" max="7966" width="14.28515625" style="1103" customWidth="1"/>
    <col min="7967" max="7967" width="14" style="1103" customWidth="1"/>
    <col min="7968" max="7968" width="17.85546875" style="1103" customWidth="1"/>
    <col min="7969" max="7969" width="3.5703125" style="1103" customWidth="1"/>
    <col min="7970" max="7970" width="13.28515625" style="1103" customWidth="1"/>
    <col min="7971" max="7971" width="5.85546875" style="1103" customWidth="1"/>
    <col min="7972" max="7972" width="23.28515625" style="1103" customWidth="1"/>
    <col min="7973" max="7973" width="17.140625" style="1103" customWidth="1"/>
    <col min="7974" max="7974" width="50.5703125" style="1103" customWidth="1"/>
    <col min="7975" max="7975" width="28.7109375" style="1103" customWidth="1"/>
    <col min="7976" max="7976" width="25.140625" style="1103" customWidth="1"/>
    <col min="7977" max="7977" width="36.7109375" style="1103" customWidth="1"/>
    <col min="7978" max="7979" width="24.5703125" style="1103" customWidth="1"/>
    <col min="7980" max="7980" width="17.85546875" style="1103" customWidth="1"/>
    <col min="7981" max="7981" width="27.5703125" style="1103" bestFit="1" customWidth="1"/>
    <col min="7982" max="7982" width="37.28515625" style="1103" customWidth="1"/>
    <col min="7983" max="7983" width="48.42578125" style="1103" customWidth="1"/>
    <col min="7984" max="7984" width="32" style="1103" customWidth="1"/>
    <col min="7985" max="7985" width="32.7109375" style="1103" customWidth="1"/>
    <col min="7986" max="7986" width="18.5703125" style="1103" customWidth="1"/>
    <col min="7987" max="7987" width="16.7109375" style="1103" customWidth="1"/>
    <col min="7988" max="7988" width="10.42578125" style="1103" customWidth="1"/>
    <col min="7989" max="7989" width="10.5703125" style="1103" customWidth="1"/>
    <col min="7990" max="7990" width="9.28515625" style="1103" customWidth="1"/>
    <col min="7991" max="7991" width="10.140625" style="1103" customWidth="1"/>
    <col min="7992" max="7992" width="8.42578125" style="1103" customWidth="1"/>
    <col min="7993" max="7993" width="9.5703125" style="1103" customWidth="1"/>
    <col min="7994" max="7994" width="9.28515625" style="1103" customWidth="1"/>
    <col min="7995" max="7995" width="8.85546875" style="1103" customWidth="1"/>
    <col min="7996" max="7998" width="8" style="1103" customWidth="1"/>
    <col min="7999" max="7999" width="8.7109375" style="1103" customWidth="1"/>
    <col min="8000" max="8000" width="8.140625" style="1103" customWidth="1"/>
    <col min="8001" max="8001" width="10.5703125" style="1103" customWidth="1"/>
    <col min="8002" max="8002" width="9.85546875" style="1103" customWidth="1"/>
    <col min="8003" max="8003" width="13.140625" style="1103" customWidth="1"/>
    <col min="8004" max="8004" width="25.42578125" style="1103" customWidth="1"/>
    <col min="8005" max="8005" width="30.85546875" style="1103" customWidth="1"/>
    <col min="8006" max="8006" width="27.42578125" style="1103" customWidth="1"/>
    <col min="8007" max="8219" width="11.42578125" style="1103"/>
    <col min="8220" max="8220" width="13" style="1103" bestFit="1" customWidth="1"/>
    <col min="8221" max="8221" width="6.85546875" style="1103" customWidth="1"/>
    <col min="8222" max="8222" width="14.28515625" style="1103" customWidth="1"/>
    <col min="8223" max="8223" width="14" style="1103" customWidth="1"/>
    <col min="8224" max="8224" width="17.85546875" style="1103" customWidth="1"/>
    <col min="8225" max="8225" width="3.5703125" style="1103" customWidth="1"/>
    <col min="8226" max="8226" width="13.28515625" style="1103" customWidth="1"/>
    <col min="8227" max="8227" width="5.85546875" style="1103" customWidth="1"/>
    <col min="8228" max="8228" width="23.28515625" style="1103" customWidth="1"/>
    <col min="8229" max="8229" width="17.140625" style="1103" customWidth="1"/>
    <col min="8230" max="8230" width="50.5703125" style="1103" customWidth="1"/>
    <col min="8231" max="8231" width="28.7109375" style="1103" customWidth="1"/>
    <col min="8232" max="8232" width="25.140625" style="1103" customWidth="1"/>
    <col min="8233" max="8233" width="36.7109375" style="1103" customWidth="1"/>
    <col min="8234" max="8235" width="24.5703125" style="1103" customWidth="1"/>
    <col min="8236" max="8236" width="17.85546875" style="1103" customWidth="1"/>
    <col min="8237" max="8237" width="27.5703125" style="1103" bestFit="1" customWidth="1"/>
    <col min="8238" max="8238" width="37.28515625" style="1103" customWidth="1"/>
    <col min="8239" max="8239" width="48.42578125" style="1103" customWidth="1"/>
    <col min="8240" max="8240" width="32" style="1103" customWidth="1"/>
    <col min="8241" max="8241" width="32.7109375" style="1103" customWidth="1"/>
    <col min="8242" max="8242" width="18.5703125" style="1103" customWidth="1"/>
    <col min="8243" max="8243" width="16.7109375" style="1103" customWidth="1"/>
    <col min="8244" max="8244" width="10.42578125" style="1103" customWidth="1"/>
    <col min="8245" max="8245" width="10.5703125" style="1103" customWidth="1"/>
    <col min="8246" max="8246" width="9.28515625" style="1103" customWidth="1"/>
    <col min="8247" max="8247" width="10.140625" style="1103" customWidth="1"/>
    <col min="8248" max="8248" width="8.42578125" style="1103" customWidth="1"/>
    <col min="8249" max="8249" width="9.5703125" style="1103" customWidth="1"/>
    <col min="8250" max="8250" width="9.28515625" style="1103" customWidth="1"/>
    <col min="8251" max="8251" width="8.85546875" style="1103" customWidth="1"/>
    <col min="8252" max="8254" width="8" style="1103" customWidth="1"/>
    <col min="8255" max="8255" width="8.7109375" style="1103" customWidth="1"/>
    <col min="8256" max="8256" width="8.140625" style="1103" customWidth="1"/>
    <col min="8257" max="8257" width="10.5703125" style="1103" customWidth="1"/>
    <col min="8258" max="8258" width="9.85546875" style="1103" customWidth="1"/>
    <col min="8259" max="8259" width="13.140625" style="1103" customWidth="1"/>
    <col min="8260" max="8260" width="25.42578125" style="1103" customWidth="1"/>
    <col min="8261" max="8261" width="30.85546875" style="1103" customWidth="1"/>
    <col min="8262" max="8262" width="27.42578125" style="1103" customWidth="1"/>
    <col min="8263" max="8475" width="11.42578125" style="1103"/>
    <col min="8476" max="8476" width="13" style="1103" bestFit="1" customWidth="1"/>
    <col min="8477" max="8477" width="6.85546875" style="1103" customWidth="1"/>
    <col min="8478" max="8478" width="14.28515625" style="1103" customWidth="1"/>
    <col min="8479" max="8479" width="14" style="1103" customWidth="1"/>
    <col min="8480" max="8480" width="17.85546875" style="1103" customWidth="1"/>
    <col min="8481" max="8481" width="3.5703125" style="1103" customWidth="1"/>
    <col min="8482" max="8482" width="13.28515625" style="1103" customWidth="1"/>
    <col min="8483" max="8483" width="5.85546875" style="1103" customWidth="1"/>
    <col min="8484" max="8484" width="23.28515625" style="1103" customWidth="1"/>
    <col min="8485" max="8485" width="17.140625" style="1103" customWidth="1"/>
    <col min="8486" max="8486" width="50.5703125" style="1103" customWidth="1"/>
    <col min="8487" max="8487" width="28.7109375" style="1103" customWidth="1"/>
    <col min="8488" max="8488" width="25.140625" style="1103" customWidth="1"/>
    <col min="8489" max="8489" width="36.7109375" style="1103" customWidth="1"/>
    <col min="8490" max="8491" width="24.5703125" style="1103" customWidth="1"/>
    <col min="8492" max="8492" width="17.85546875" style="1103" customWidth="1"/>
    <col min="8493" max="8493" width="27.5703125" style="1103" bestFit="1" customWidth="1"/>
    <col min="8494" max="8494" width="37.28515625" style="1103" customWidth="1"/>
    <col min="8495" max="8495" width="48.42578125" style="1103" customWidth="1"/>
    <col min="8496" max="8496" width="32" style="1103" customWidth="1"/>
    <col min="8497" max="8497" width="32.7109375" style="1103" customWidth="1"/>
    <col min="8498" max="8498" width="18.5703125" style="1103" customWidth="1"/>
    <col min="8499" max="8499" width="16.7109375" style="1103" customWidth="1"/>
    <col min="8500" max="8500" width="10.42578125" style="1103" customWidth="1"/>
    <col min="8501" max="8501" width="10.5703125" style="1103" customWidth="1"/>
    <col min="8502" max="8502" width="9.28515625" style="1103" customWidth="1"/>
    <col min="8503" max="8503" width="10.140625" style="1103" customWidth="1"/>
    <col min="8504" max="8504" width="8.42578125" style="1103" customWidth="1"/>
    <col min="8505" max="8505" width="9.5703125" style="1103" customWidth="1"/>
    <col min="8506" max="8506" width="9.28515625" style="1103" customWidth="1"/>
    <col min="8507" max="8507" width="8.85546875" style="1103" customWidth="1"/>
    <col min="8508" max="8510" width="8" style="1103" customWidth="1"/>
    <col min="8511" max="8511" width="8.7109375" style="1103" customWidth="1"/>
    <col min="8512" max="8512" width="8.140625" style="1103" customWidth="1"/>
    <col min="8513" max="8513" width="10.5703125" style="1103" customWidth="1"/>
    <col min="8514" max="8514" width="9.85546875" style="1103" customWidth="1"/>
    <col min="8515" max="8515" width="13.140625" style="1103" customWidth="1"/>
    <col min="8516" max="8516" width="25.42578125" style="1103" customWidth="1"/>
    <col min="8517" max="8517" width="30.85546875" style="1103" customWidth="1"/>
    <col min="8518" max="8518" width="27.42578125" style="1103" customWidth="1"/>
    <col min="8519" max="8731" width="11.42578125" style="1103"/>
    <col min="8732" max="8732" width="13" style="1103" bestFit="1" customWidth="1"/>
    <col min="8733" max="8733" width="6.85546875" style="1103" customWidth="1"/>
    <col min="8734" max="8734" width="14.28515625" style="1103" customWidth="1"/>
    <col min="8735" max="8735" width="14" style="1103" customWidth="1"/>
    <col min="8736" max="8736" width="17.85546875" style="1103" customWidth="1"/>
    <col min="8737" max="8737" width="3.5703125" style="1103" customWidth="1"/>
    <col min="8738" max="8738" width="13.28515625" style="1103" customWidth="1"/>
    <col min="8739" max="8739" width="5.85546875" style="1103" customWidth="1"/>
    <col min="8740" max="8740" width="23.28515625" style="1103" customWidth="1"/>
    <col min="8741" max="8741" width="17.140625" style="1103" customWidth="1"/>
    <col min="8742" max="8742" width="50.5703125" style="1103" customWidth="1"/>
    <col min="8743" max="8743" width="28.7109375" style="1103" customWidth="1"/>
    <col min="8744" max="8744" width="25.140625" style="1103" customWidth="1"/>
    <col min="8745" max="8745" width="36.7109375" style="1103" customWidth="1"/>
    <col min="8746" max="8747" width="24.5703125" style="1103" customWidth="1"/>
    <col min="8748" max="8748" width="17.85546875" style="1103" customWidth="1"/>
    <col min="8749" max="8749" width="27.5703125" style="1103" bestFit="1" customWidth="1"/>
    <col min="8750" max="8750" width="37.28515625" style="1103" customWidth="1"/>
    <col min="8751" max="8751" width="48.42578125" style="1103" customWidth="1"/>
    <col min="8752" max="8752" width="32" style="1103" customWidth="1"/>
    <col min="8753" max="8753" width="32.7109375" style="1103" customWidth="1"/>
    <col min="8754" max="8754" width="18.5703125" style="1103" customWidth="1"/>
    <col min="8755" max="8755" width="16.7109375" style="1103" customWidth="1"/>
    <col min="8756" max="8756" width="10.42578125" style="1103" customWidth="1"/>
    <col min="8757" max="8757" width="10.5703125" style="1103" customWidth="1"/>
    <col min="8758" max="8758" width="9.28515625" style="1103" customWidth="1"/>
    <col min="8759" max="8759" width="10.140625" style="1103" customWidth="1"/>
    <col min="8760" max="8760" width="8.42578125" style="1103" customWidth="1"/>
    <col min="8761" max="8761" width="9.5703125" style="1103" customWidth="1"/>
    <col min="8762" max="8762" width="9.28515625" style="1103" customWidth="1"/>
    <col min="8763" max="8763" width="8.85546875" style="1103" customWidth="1"/>
    <col min="8764" max="8766" width="8" style="1103" customWidth="1"/>
    <col min="8767" max="8767" width="8.7109375" style="1103" customWidth="1"/>
    <col min="8768" max="8768" width="8.140625" style="1103" customWidth="1"/>
    <col min="8769" max="8769" width="10.5703125" style="1103" customWidth="1"/>
    <col min="8770" max="8770" width="9.85546875" style="1103" customWidth="1"/>
    <col min="8771" max="8771" width="13.140625" style="1103" customWidth="1"/>
    <col min="8772" max="8772" width="25.42578125" style="1103" customWidth="1"/>
    <col min="8773" max="8773" width="30.85546875" style="1103" customWidth="1"/>
    <col min="8774" max="8774" width="27.42578125" style="1103" customWidth="1"/>
    <col min="8775" max="8987" width="11.42578125" style="1103"/>
    <col min="8988" max="8988" width="13" style="1103" bestFit="1" customWidth="1"/>
    <col min="8989" max="8989" width="6.85546875" style="1103" customWidth="1"/>
    <col min="8990" max="8990" width="14.28515625" style="1103" customWidth="1"/>
    <col min="8991" max="8991" width="14" style="1103" customWidth="1"/>
    <col min="8992" max="8992" width="17.85546875" style="1103" customWidth="1"/>
    <col min="8993" max="8993" width="3.5703125" style="1103" customWidth="1"/>
    <col min="8994" max="8994" width="13.28515625" style="1103" customWidth="1"/>
    <col min="8995" max="8995" width="5.85546875" style="1103" customWidth="1"/>
    <col min="8996" max="8996" width="23.28515625" style="1103" customWidth="1"/>
    <col min="8997" max="8997" width="17.140625" style="1103" customWidth="1"/>
    <col min="8998" max="8998" width="50.5703125" style="1103" customWidth="1"/>
    <col min="8999" max="8999" width="28.7109375" style="1103" customWidth="1"/>
    <col min="9000" max="9000" width="25.140625" style="1103" customWidth="1"/>
    <col min="9001" max="9001" width="36.7109375" style="1103" customWidth="1"/>
    <col min="9002" max="9003" width="24.5703125" style="1103" customWidth="1"/>
    <col min="9004" max="9004" width="17.85546875" style="1103" customWidth="1"/>
    <col min="9005" max="9005" width="27.5703125" style="1103" bestFit="1" customWidth="1"/>
    <col min="9006" max="9006" width="37.28515625" style="1103" customWidth="1"/>
    <col min="9007" max="9007" width="48.42578125" style="1103" customWidth="1"/>
    <col min="9008" max="9008" width="32" style="1103" customWidth="1"/>
    <col min="9009" max="9009" width="32.7109375" style="1103" customWidth="1"/>
    <col min="9010" max="9010" width="18.5703125" style="1103" customWidth="1"/>
    <col min="9011" max="9011" width="16.7109375" style="1103" customWidth="1"/>
    <col min="9012" max="9012" width="10.42578125" style="1103" customWidth="1"/>
    <col min="9013" max="9013" width="10.5703125" style="1103" customWidth="1"/>
    <col min="9014" max="9014" width="9.28515625" style="1103" customWidth="1"/>
    <col min="9015" max="9015" width="10.140625" style="1103" customWidth="1"/>
    <col min="9016" max="9016" width="8.42578125" style="1103" customWidth="1"/>
    <col min="9017" max="9017" width="9.5703125" style="1103" customWidth="1"/>
    <col min="9018" max="9018" width="9.28515625" style="1103" customWidth="1"/>
    <col min="9019" max="9019" width="8.85546875" style="1103" customWidth="1"/>
    <col min="9020" max="9022" width="8" style="1103" customWidth="1"/>
    <col min="9023" max="9023" width="8.7109375" style="1103" customWidth="1"/>
    <col min="9024" max="9024" width="8.140625" style="1103" customWidth="1"/>
    <col min="9025" max="9025" width="10.5703125" style="1103" customWidth="1"/>
    <col min="9026" max="9026" width="9.85546875" style="1103" customWidth="1"/>
    <col min="9027" max="9027" width="13.140625" style="1103" customWidth="1"/>
    <col min="9028" max="9028" width="25.42578125" style="1103" customWidth="1"/>
    <col min="9029" max="9029" width="30.85546875" style="1103" customWidth="1"/>
    <col min="9030" max="9030" width="27.42578125" style="1103" customWidth="1"/>
    <col min="9031" max="9243" width="11.42578125" style="1103"/>
    <col min="9244" max="9244" width="13" style="1103" bestFit="1" customWidth="1"/>
    <col min="9245" max="9245" width="6.85546875" style="1103" customWidth="1"/>
    <col min="9246" max="9246" width="14.28515625" style="1103" customWidth="1"/>
    <col min="9247" max="9247" width="14" style="1103" customWidth="1"/>
    <col min="9248" max="9248" width="17.85546875" style="1103" customWidth="1"/>
    <col min="9249" max="9249" width="3.5703125" style="1103" customWidth="1"/>
    <col min="9250" max="9250" width="13.28515625" style="1103" customWidth="1"/>
    <col min="9251" max="9251" width="5.85546875" style="1103" customWidth="1"/>
    <col min="9252" max="9252" width="23.28515625" style="1103" customWidth="1"/>
    <col min="9253" max="9253" width="17.140625" style="1103" customWidth="1"/>
    <col min="9254" max="9254" width="50.5703125" style="1103" customWidth="1"/>
    <col min="9255" max="9255" width="28.7109375" style="1103" customWidth="1"/>
    <col min="9256" max="9256" width="25.140625" style="1103" customWidth="1"/>
    <col min="9257" max="9257" width="36.7109375" style="1103" customWidth="1"/>
    <col min="9258" max="9259" width="24.5703125" style="1103" customWidth="1"/>
    <col min="9260" max="9260" width="17.85546875" style="1103" customWidth="1"/>
    <col min="9261" max="9261" width="27.5703125" style="1103" bestFit="1" customWidth="1"/>
    <col min="9262" max="9262" width="37.28515625" style="1103" customWidth="1"/>
    <col min="9263" max="9263" width="48.42578125" style="1103" customWidth="1"/>
    <col min="9264" max="9264" width="32" style="1103" customWidth="1"/>
    <col min="9265" max="9265" width="32.7109375" style="1103" customWidth="1"/>
    <col min="9266" max="9266" width="18.5703125" style="1103" customWidth="1"/>
    <col min="9267" max="9267" width="16.7109375" style="1103" customWidth="1"/>
    <col min="9268" max="9268" width="10.42578125" style="1103" customWidth="1"/>
    <col min="9269" max="9269" width="10.5703125" style="1103" customWidth="1"/>
    <col min="9270" max="9270" width="9.28515625" style="1103" customWidth="1"/>
    <col min="9271" max="9271" width="10.140625" style="1103" customWidth="1"/>
    <col min="9272" max="9272" width="8.42578125" style="1103" customWidth="1"/>
    <col min="9273" max="9273" width="9.5703125" style="1103" customWidth="1"/>
    <col min="9274" max="9274" width="9.28515625" style="1103" customWidth="1"/>
    <col min="9275" max="9275" width="8.85546875" style="1103" customWidth="1"/>
    <col min="9276" max="9278" width="8" style="1103" customWidth="1"/>
    <col min="9279" max="9279" width="8.7109375" style="1103" customWidth="1"/>
    <col min="9280" max="9280" width="8.140625" style="1103" customWidth="1"/>
    <col min="9281" max="9281" width="10.5703125" style="1103" customWidth="1"/>
    <col min="9282" max="9282" width="9.85546875" style="1103" customWidth="1"/>
    <col min="9283" max="9283" width="13.140625" style="1103" customWidth="1"/>
    <col min="9284" max="9284" width="25.42578125" style="1103" customWidth="1"/>
    <col min="9285" max="9285" width="30.85546875" style="1103" customWidth="1"/>
    <col min="9286" max="9286" width="27.42578125" style="1103" customWidth="1"/>
    <col min="9287" max="9499" width="11.42578125" style="1103"/>
    <col min="9500" max="9500" width="13" style="1103" bestFit="1" customWidth="1"/>
    <col min="9501" max="9501" width="6.85546875" style="1103" customWidth="1"/>
    <col min="9502" max="9502" width="14.28515625" style="1103" customWidth="1"/>
    <col min="9503" max="9503" width="14" style="1103" customWidth="1"/>
    <col min="9504" max="9504" width="17.85546875" style="1103" customWidth="1"/>
    <col min="9505" max="9505" width="3.5703125" style="1103" customWidth="1"/>
    <col min="9506" max="9506" width="13.28515625" style="1103" customWidth="1"/>
    <col min="9507" max="9507" width="5.85546875" style="1103" customWidth="1"/>
    <col min="9508" max="9508" width="23.28515625" style="1103" customWidth="1"/>
    <col min="9509" max="9509" width="17.140625" style="1103" customWidth="1"/>
    <col min="9510" max="9510" width="50.5703125" style="1103" customWidth="1"/>
    <col min="9511" max="9511" width="28.7109375" style="1103" customWidth="1"/>
    <col min="9512" max="9512" width="25.140625" style="1103" customWidth="1"/>
    <col min="9513" max="9513" width="36.7109375" style="1103" customWidth="1"/>
    <col min="9514" max="9515" width="24.5703125" style="1103" customWidth="1"/>
    <col min="9516" max="9516" width="17.85546875" style="1103" customWidth="1"/>
    <col min="9517" max="9517" width="27.5703125" style="1103" bestFit="1" customWidth="1"/>
    <col min="9518" max="9518" width="37.28515625" style="1103" customWidth="1"/>
    <col min="9519" max="9519" width="48.42578125" style="1103" customWidth="1"/>
    <col min="9520" max="9520" width="32" style="1103" customWidth="1"/>
    <col min="9521" max="9521" width="32.7109375" style="1103" customWidth="1"/>
    <col min="9522" max="9522" width="18.5703125" style="1103" customWidth="1"/>
    <col min="9523" max="9523" width="16.7109375" style="1103" customWidth="1"/>
    <col min="9524" max="9524" width="10.42578125" style="1103" customWidth="1"/>
    <col min="9525" max="9525" width="10.5703125" style="1103" customWidth="1"/>
    <col min="9526" max="9526" width="9.28515625" style="1103" customWidth="1"/>
    <col min="9527" max="9527" width="10.140625" style="1103" customWidth="1"/>
    <col min="9528" max="9528" width="8.42578125" style="1103" customWidth="1"/>
    <col min="9529" max="9529" width="9.5703125" style="1103" customWidth="1"/>
    <col min="9530" max="9530" width="9.28515625" style="1103" customWidth="1"/>
    <col min="9531" max="9531" width="8.85546875" style="1103" customWidth="1"/>
    <col min="9532" max="9534" width="8" style="1103" customWidth="1"/>
    <col min="9535" max="9535" width="8.7109375" style="1103" customWidth="1"/>
    <col min="9536" max="9536" width="8.140625" style="1103" customWidth="1"/>
    <col min="9537" max="9537" width="10.5703125" style="1103" customWidth="1"/>
    <col min="9538" max="9538" width="9.85546875" style="1103" customWidth="1"/>
    <col min="9539" max="9539" width="13.140625" style="1103" customWidth="1"/>
    <col min="9540" max="9540" width="25.42578125" style="1103" customWidth="1"/>
    <col min="9541" max="9541" width="30.85546875" style="1103" customWidth="1"/>
    <col min="9542" max="9542" width="27.42578125" style="1103" customWidth="1"/>
    <col min="9543" max="9755" width="11.42578125" style="1103"/>
    <col min="9756" max="9756" width="13" style="1103" bestFit="1" customWidth="1"/>
    <col min="9757" max="9757" width="6.85546875" style="1103" customWidth="1"/>
    <col min="9758" max="9758" width="14.28515625" style="1103" customWidth="1"/>
    <col min="9759" max="9759" width="14" style="1103" customWidth="1"/>
    <col min="9760" max="9760" width="17.85546875" style="1103" customWidth="1"/>
    <col min="9761" max="9761" width="3.5703125" style="1103" customWidth="1"/>
    <col min="9762" max="9762" width="13.28515625" style="1103" customWidth="1"/>
    <col min="9763" max="9763" width="5.85546875" style="1103" customWidth="1"/>
    <col min="9764" max="9764" width="23.28515625" style="1103" customWidth="1"/>
    <col min="9765" max="9765" width="17.140625" style="1103" customWidth="1"/>
    <col min="9766" max="9766" width="50.5703125" style="1103" customWidth="1"/>
    <col min="9767" max="9767" width="28.7109375" style="1103" customWidth="1"/>
    <col min="9768" max="9768" width="25.140625" style="1103" customWidth="1"/>
    <col min="9769" max="9769" width="36.7109375" style="1103" customWidth="1"/>
    <col min="9770" max="9771" width="24.5703125" style="1103" customWidth="1"/>
    <col min="9772" max="9772" width="17.85546875" style="1103" customWidth="1"/>
    <col min="9773" max="9773" width="27.5703125" style="1103" bestFit="1" customWidth="1"/>
    <col min="9774" max="9774" width="37.28515625" style="1103" customWidth="1"/>
    <col min="9775" max="9775" width="48.42578125" style="1103" customWidth="1"/>
    <col min="9776" max="9776" width="32" style="1103" customWidth="1"/>
    <col min="9777" max="9777" width="32.7109375" style="1103" customWidth="1"/>
    <col min="9778" max="9778" width="18.5703125" style="1103" customWidth="1"/>
    <col min="9779" max="9779" width="16.7109375" style="1103" customWidth="1"/>
    <col min="9780" max="9780" width="10.42578125" style="1103" customWidth="1"/>
    <col min="9781" max="9781" width="10.5703125" style="1103" customWidth="1"/>
    <col min="9782" max="9782" width="9.28515625" style="1103" customWidth="1"/>
    <col min="9783" max="9783" width="10.140625" style="1103" customWidth="1"/>
    <col min="9784" max="9784" width="8.42578125" style="1103" customWidth="1"/>
    <col min="9785" max="9785" width="9.5703125" style="1103" customWidth="1"/>
    <col min="9786" max="9786" width="9.28515625" style="1103" customWidth="1"/>
    <col min="9787" max="9787" width="8.85546875" style="1103" customWidth="1"/>
    <col min="9788" max="9790" width="8" style="1103" customWidth="1"/>
    <col min="9791" max="9791" width="8.7109375" style="1103" customWidth="1"/>
    <col min="9792" max="9792" width="8.140625" style="1103" customWidth="1"/>
    <col min="9793" max="9793" width="10.5703125" style="1103" customWidth="1"/>
    <col min="9794" max="9794" width="9.85546875" style="1103" customWidth="1"/>
    <col min="9795" max="9795" width="13.140625" style="1103" customWidth="1"/>
    <col min="9796" max="9796" width="25.42578125" style="1103" customWidth="1"/>
    <col min="9797" max="9797" width="30.85546875" style="1103" customWidth="1"/>
    <col min="9798" max="9798" width="27.42578125" style="1103" customWidth="1"/>
    <col min="9799" max="10011" width="11.42578125" style="1103"/>
    <col min="10012" max="10012" width="13" style="1103" bestFit="1" customWidth="1"/>
    <col min="10013" max="10013" width="6.85546875" style="1103" customWidth="1"/>
    <col min="10014" max="10014" width="14.28515625" style="1103" customWidth="1"/>
    <col min="10015" max="10015" width="14" style="1103" customWidth="1"/>
    <col min="10016" max="10016" width="17.85546875" style="1103" customWidth="1"/>
    <col min="10017" max="10017" width="3.5703125" style="1103" customWidth="1"/>
    <col min="10018" max="10018" width="13.28515625" style="1103" customWidth="1"/>
    <col min="10019" max="10019" width="5.85546875" style="1103" customWidth="1"/>
    <col min="10020" max="10020" width="23.28515625" style="1103" customWidth="1"/>
    <col min="10021" max="10021" width="17.140625" style="1103" customWidth="1"/>
    <col min="10022" max="10022" width="50.5703125" style="1103" customWidth="1"/>
    <col min="10023" max="10023" width="28.7109375" style="1103" customWidth="1"/>
    <col min="10024" max="10024" width="25.140625" style="1103" customWidth="1"/>
    <col min="10025" max="10025" width="36.7109375" style="1103" customWidth="1"/>
    <col min="10026" max="10027" width="24.5703125" style="1103" customWidth="1"/>
    <col min="10028" max="10028" width="17.85546875" style="1103" customWidth="1"/>
    <col min="10029" max="10029" width="27.5703125" style="1103" bestFit="1" customWidth="1"/>
    <col min="10030" max="10030" width="37.28515625" style="1103" customWidth="1"/>
    <col min="10031" max="10031" width="48.42578125" style="1103" customWidth="1"/>
    <col min="10032" max="10032" width="32" style="1103" customWidth="1"/>
    <col min="10033" max="10033" width="32.7109375" style="1103" customWidth="1"/>
    <col min="10034" max="10034" width="18.5703125" style="1103" customWidth="1"/>
    <col min="10035" max="10035" width="16.7109375" style="1103" customWidth="1"/>
    <col min="10036" max="10036" width="10.42578125" style="1103" customWidth="1"/>
    <col min="10037" max="10037" width="10.5703125" style="1103" customWidth="1"/>
    <col min="10038" max="10038" width="9.28515625" style="1103" customWidth="1"/>
    <col min="10039" max="10039" width="10.140625" style="1103" customWidth="1"/>
    <col min="10040" max="10040" width="8.42578125" style="1103" customWidth="1"/>
    <col min="10041" max="10041" width="9.5703125" style="1103" customWidth="1"/>
    <col min="10042" max="10042" width="9.28515625" style="1103" customWidth="1"/>
    <col min="10043" max="10043" width="8.85546875" style="1103" customWidth="1"/>
    <col min="10044" max="10046" width="8" style="1103" customWidth="1"/>
    <col min="10047" max="10047" width="8.7109375" style="1103" customWidth="1"/>
    <col min="10048" max="10048" width="8.140625" style="1103" customWidth="1"/>
    <col min="10049" max="10049" width="10.5703125" style="1103" customWidth="1"/>
    <col min="10050" max="10050" width="9.85546875" style="1103" customWidth="1"/>
    <col min="10051" max="10051" width="13.140625" style="1103" customWidth="1"/>
    <col min="10052" max="10052" width="25.42578125" style="1103" customWidth="1"/>
    <col min="10053" max="10053" width="30.85546875" style="1103" customWidth="1"/>
    <col min="10054" max="10054" width="27.42578125" style="1103" customWidth="1"/>
    <col min="10055" max="10267" width="11.42578125" style="1103"/>
    <col min="10268" max="10268" width="13" style="1103" bestFit="1" customWidth="1"/>
    <col min="10269" max="10269" width="6.85546875" style="1103" customWidth="1"/>
    <col min="10270" max="10270" width="14.28515625" style="1103" customWidth="1"/>
    <col min="10271" max="10271" width="14" style="1103" customWidth="1"/>
    <col min="10272" max="10272" width="17.85546875" style="1103" customWidth="1"/>
    <col min="10273" max="10273" width="3.5703125" style="1103" customWidth="1"/>
    <col min="10274" max="10274" width="13.28515625" style="1103" customWidth="1"/>
    <col min="10275" max="10275" width="5.85546875" style="1103" customWidth="1"/>
    <col min="10276" max="10276" width="23.28515625" style="1103" customWidth="1"/>
    <col min="10277" max="10277" width="17.140625" style="1103" customWidth="1"/>
    <col min="10278" max="10278" width="50.5703125" style="1103" customWidth="1"/>
    <col min="10279" max="10279" width="28.7109375" style="1103" customWidth="1"/>
    <col min="10280" max="10280" width="25.140625" style="1103" customWidth="1"/>
    <col min="10281" max="10281" width="36.7109375" style="1103" customWidth="1"/>
    <col min="10282" max="10283" width="24.5703125" style="1103" customWidth="1"/>
    <col min="10284" max="10284" width="17.85546875" style="1103" customWidth="1"/>
    <col min="10285" max="10285" width="27.5703125" style="1103" bestFit="1" customWidth="1"/>
    <col min="10286" max="10286" width="37.28515625" style="1103" customWidth="1"/>
    <col min="10287" max="10287" width="48.42578125" style="1103" customWidth="1"/>
    <col min="10288" max="10288" width="32" style="1103" customWidth="1"/>
    <col min="10289" max="10289" width="32.7109375" style="1103" customWidth="1"/>
    <col min="10290" max="10290" width="18.5703125" style="1103" customWidth="1"/>
    <col min="10291" max="10291" width="16.7109375" style="1103" customWidth="1"/>
    <col min="10292" max="10292" width="10.42578125" style="1103" customWidth="1"/>
    <col min="10293" max="10293" width="10.5703125" style="1103" customWidth="1"/>
    <col min="10294" max="10294" width="9.28515625" style="1103" customWidth="1"/>
    <col min="10295" max="10295" width="10.140625" style="1103" customWidth="1"/>
    <col min="10296" max="10296" width="8.42578125" style="1103" customWidth="1"/>
    <col min="10297" max="10297" width="9.5703125" style="1103" customWidth="1"/>
    <col min="10298" max="10298" width="9.28515625" style="1103" customWidth="1"/>
    <col min="10299" max="10299" width="8.85546875" style="1103" customWidth="1"/>
    <col min="10300" max="10302" width="8" style="1103" customWidth="1"/>
    <col min="10303" max="10303" width="8.7109375" style="1103" customWidth="1"/>
    <col min="10304" max="10304" width="8.140625" style="1103" customWidth="1"/>
    <col min="10305" max="10305" width="10.5703125" style="1103" customWidth="1"/>
    <col min="10306" max="10306" width="9.85546875" style="1103" customWidth="1"/>
    <col min="10307" max="10307" width="13.140625" style="1103" customWidth="1"/>
    <col min="10308" max="10308" width="25.42578125" style="1103" customWidth="1"/>
    <col min="10309" max="10309" width="30.85546875" style="1103" customWidth="1"/>
    <col min="10310" max="10310" width="27.42578125" style="1103" customWidth="1"/>
    <col min="10311" max="10523" width="11.42578125" style="1103"/>
    <col min="10524" max="10524" width="13" style="1103" bestFit="1" customWidth="1"/>
    <col min="10525" max="10525" width="6.85546875" style="1103" customWidth="1"/>
    <col min="10526" max="10526" width="14.28515625" style="1103" customWidth="1"/>
    <col min="10527" max="10527" width="14" style="1103" customWidth="1"/>
    <col min="10528" max="10528" width="17.85546875" style="1103" customWidth="1"/>
    <col min="10529" max="10529" width="3.5703125" style="1103" customWidth="1"/>
    <col min="10530" max="10530" width="13.28515625" style="1103" customWidth="1"/>
    <col min="10531" max="10531" width="5.85546875" style="1103" customWidth="1"/>
    <col min="10532" max="10532" width="23.28515625" style="1103" customWidth="1"/>
    <col min="10533" max="10533" width="17.140625" style="1103" customWidth="1"/>
    <col min="10534" max="10534" width="50.5703125" style="1103" customWidth="1"/>
    <col min="10535" max="10535" width="28.7109375" style="1103" customWidth="1"/>
    <col min="10536" max="10536" width="25.140625" style="1103" customWidth="1"/>
    <col min="10537" max="10537" width="36.7109375" style="1103" customWidth="1"/>
    <col min="10538" max="10539" width="24.5703125" style="1103" customWidth="1"/>
    <col min="10540" max="10540" width="17.85546875" style="1103" customWidth="1"/>
    <col min="10541" max="10541" width="27.5703125" style="1103" bestFit="1" customWidth="1"/>
    <col min="10542" max="10542" width="37.28515625" style="1103" customWidth="1"/>
    <col min="10543" max="10543" width="48.42578125" style="1103" customWidth="1"/>
    <col min="10544" max="10544" width="32" style="1103" customWidth="1"/>
    <col min="10545" max="10545" width="32.7109375" style="1103" customWidth="1"/>
    <col min="10546" max="10546" width="18.5703125" style="1103" customWidth="1"/>
    <col min="10547" max="10547" width="16.7109375" style="1103" customWidth="1"/>
    <col min="10548" max="10548" width="10.42578125" style="1103" customWidth="1"/>
    <col min="10549" max="10549" width="10.5703125" style="1103" customWidth="1"/>
    <col min="10550" max="10550" width="9.28515625" style="1103" customWidth="1"/>
    <col min="10551" max="10551" width="10.140625" style="1103" customWidth="1"/>
    <col min="10552" max="10552" width="8.42578125" style="1103" customWidth="1"/>
    <col min="10553" max="10553" width="9.5703125" style="1103" customWidth="1"/>
    <col min="10554" max="10554" width="9.28515625" style="1103" customWidth="1"/>
    <col min="10555" max="10555" width="8.85546875" style="1103" customWidth="1"/>
    <col min="10556" max="10558" width="8" style="1103" customWidth="1"/>
    <col min="10559" max="10559" width="8.7109375" style="1103" customWidth="1"/>
    <col min="10560" max="10560" width="8.140625" style="1103" customWidth="1"/>
    <col min="10561" max="10561" width="10.5703125" style="1103" customWidth="1"/>
    <col min="10562" max="10562" width="9.85546875" style="1103" customWidth="1"/>
    <col min="10563" max="10563" width="13.140625" style="1103" customWidth="1"/>
    <col min="10564" max="10564" width="25.42578125" style="1103" customWidth="1"/>
    <col min="10565" max="10565" width="30.85546875" style="1103" customWidth="1"/>
    <col min="10566" max="10566" width="27.42578125" style="1103" customWidth="1"/>
    <col min="10567" max="10779" width="11.42578125" style="1103"/>
    <col min="10780" max="10780" width="13" style="1103" bestFit="1" customWidth="1"/>
    <col min="10781" max="10781" width="6.85546875" style="1103" customWidth="1"/>
    <col min="10782" max="10782" width="14.28515625" style="1103" customWidth="1"/>
    <col min="10783" max="10783" width="14" style="1103" customWidth="1"/>
    <col min="10784" max="10784" width="17.85546875" style="1103" customWidth="1"/>
    <col min="10785" max="10785" width="3.5703125" style="1103" customWidth="1"/>
    <col min="10786" max="10786" width="13.28515625" style="1103" customWidth="1"/>
    <col min="10787" max="10787" width="5.85546875" style="1103" customWidth="1"/>
    <col min="10788" max="10788" width="23.28515625" style="1103" customWidth="1"/>
    <col min="10789" max="10789" width="17.140625" style="1103" customWidth="1"/>
    <col min="10790" max="10790" width="50.5703125" style="1103" customWidth="1"/>
    <col min="10791" max="10791" width="28.7109375" style="1103" customWidth="1"/>
    <col min="10792" max="10792" width="25.140625" style="1103" customWidth="1"/>
    <col min="10793" max="10793" width="36.7109375" style="1103" customWidth="1"/>
    <col min="10794" max="10795" width="24.5703125" style="1103" customWidth="1"/>
    <col min="10796" max="10796" width="17.85546875" style="1103" customWidth="1"/>
    <col min="10797" max="10797" width="27.5703125" style="1103" bestFit="1" customWidth="1"/>
    <col min="10798" max="10798" width="37.28515625" style="1103" customWidth="1"/>
    <col min="10799" max="10799" width="48.42578125" style="1103" customWidth="1"/>
    <col min="10800" max="10800" width="32" style="1103" customWidth="1"/>
    <col min="10801" max="10801" width="32.7109375" style="1103" customWidth="1"/>
    <col min="10802" max="10802" width="18.5703125" style="1103" customWidth="1"/>
    <col min="10803" max="10803" width="16.7109375" style="1103" customWidth="1"/>
    <col min="10804" max="10804" width="10.42578125" style="1103" customWidth="1"/>
    <col min="10805" max="10805" width="10.5703125" style="1103" customWidth="1"/>
    <col min="10806" max="10806" width="9.28515625" style="1103" customWidth="1"/>
    <col min="10807" max="10807" width="10.140625" style="1103" customWidth="1"/>
    <col min="10808" max="10808" width="8.42578125" style="1103" customWidth="1"/>
    <col min="10809" max="10809" width="9.5703125" style="1103" customWidth="1"/>
    <col min="10810" max="10810" width="9.28515625" style="1103" customWidth="1"/>
    <col min="10811" max="10811" width="8.85546875" style="1103" customWidth="1"/>
    <col min="10812" max="10814" width="8" style="1103" customWidth="1"/>
    <col min="10815" max="10815" width="8.7109375" style="1103" customWidth="1"/>
    <col min="10816" max="10816" width="8.140625" style="1103" customWidth="1"/>
    <col min="10817" max="10817" width="10.5703125" style="1103" customWidth="1"/>
    <col min="10818" max="10818" width="9.85546875" style="1103" customWidth="1"/>
    <col min="10819" max="10819" width="13.140625" style="1103" customWidth="1"/>
    <col min="10820" max="10820" width="25.42578125" style="1103" customWidth="1"/>
    <col min="10821" max="10821" width="30.85546875" style="1103" customWidth="1"/>
    <col min="10822" max="10822" width="27.42578125" style="1103" customWidth="1"/>
    <col min="10823" max="11035" width="11.42578125" style="1103"/>
    <col min="11036" max="11036" width="13" style="1103" bestFit="1" customWidth="1"/>
    <col min="11037" max="11037" width="6.85546875" style="1103" customWidth="1"/>
    <col min="11038" max="11038" width="14.28515625" style="1103" customWidth="1"/>
    <col min="11039" max="11039" width="14" style="1103" customWidth="1"/>
    <col min="11040" max="11040" width="17.85546875" style="1103" customWidth="1"/>
    <col min="11041" max="11041" width="3.5703125" style="1103" customWidth="1"/>
    <col min="11042" max="11042" width="13.28515625" style="1103" customWidth="1"/>
    <col min="11043" max="11043" width="5.85546875" style="1103" customWidth="1"/>
    <col min="11044" max="11044" width="23.28515625" style="1103" customWidth="1"/>
    <col min="11045" max="11045" width="17.140625" style="1103" customWidth="1"/>
    <col min="11046" max="11046" width="50.5703125" style="1103" customWidth="1"/>
    <col min="11047" max="11047" width="28.7109375" style="1103" customWidth="1"/>
    <col min="11048" max="11048" width="25.140625" style="1103" customWidth="1"/>
    <col min="11049" max="11049" width="36.7109375" style="1103" customWidth="1"/>
    <col min="11050" max="11051" width="24.5703125" style="1103" customWidth="1"/>
    <col min="11052" max="11052" width="17.85546875" style="1103" customWidth="1"/>
    <col min="11053" max="11053" width="27.5703125" style="1103" bestFit="1" customWidth="1"/>
    <col min="11054" max="11054" width="37.28515625" style="1103" customWidth="1"/>
    <col min="11055" max="11055" width="48.42578125" style="1103" customWidth="1"/>
    <col min="11056" max="11056" width="32" style="1103" customWidth="1"/>
    <col min="11057" max="11057" width="32.7109375" style="1103" customWidth="1"/>
    <col min="11058" max="11058" width="18.5703125" style="1103" customWidth="1"/>
    <col min="11059" max="11059" width="16.7109375" style="1103" customWidth="1"/>
    <col min="11060" max="11060" width="10.42578125" style="1103" customWidth="1"/>
    <col min="11061" max="11061" width="10.5703125" style="1103" customWidth="1"/>
    <col min="11062" max="11062" width="9.28515625" style="1103" customWidth="1"/>
    <col min="11063" max="11063" width="10.140625" style="1103" customWidth="1"/>
    <col min="11064" max="11064" width="8.42578125" style="1103" customWidth="1"/>
    <col min="11065" max="11065" width="9.5703125" style="1103" customWidth="1"/>
    <col min="11066" max="11066" width="9.28515625" style="1103" customWidth="1"/>
    <col min="11067" max="11067" width="8.85546875" style="1103" customWidth="1"/>
    <col min="11068" max="11070" width="8" style="1103" customWidth="1"/>
    <col min="11071" max="11071" width="8.7109375" style="1103" customWidth="1"/>
    <col min="11072" max="11072" width="8.140625" style="1103" customWidth="1"/>
    <col min="11073" max="11073" width="10.5703125" style="1103" customWidth="1"/>
    <col min="11074" max="11074" width="9.85546875" style="1103" customWidth="1"/>
    <col min="11075" max="11075" width="13.140625" style="1103" customWidth="1"/>
    <col min="11076" max="11076" width="25.42578125" style="1103" customWidth="1"/>
    <col min="11077" max="11077" width="30.85546875" style="1103" customWidth="1"/>
    <col min="11078" max="11078" width="27.42578125" style="1103" customWidth="1"/>
    <col min="11079" max="11291" width="11.42578125" style="1103"/>
    <col min="11292" max="11292" width="13" style="1103" bestFit="1" customWidth="1"/>
    <col min="11293" max="11293" width="6.85546875" style="1103" customWidth="1"/>
    <col min="11294" max="11294" width="14.28515625" style="1103" customWidth="1"/>
    <col min="11295" max="11295" width="14" style="1103" customWidth="1"/>
    <col min="11296" max="11296" width="17.85546875" style="1103" customWidth="1"/>
    <col min="11297" max="11297" width="3.5703125" style="1103" customWidth="1"/>
    <col min="11298" max="11298" width="13.28515625" style="1103" customWidth="1"/>
    <col min="11299" max="11299" width="5.85546875" style="1103" customWidth="1"/>
    <col min="11300" max="11300" width="23.28515625" style="1103" customWidth="1"/>
    <col min="11301" max="11301" width="17.140625" style="1103" customWidth="1"/>
    <col min="11302" max="11302" width="50.5703125" style="1103" customWidth="1"/>
    <col min="11303" max="11303" width="28.7109375" style="1103" customWidth="1"/>
    <col min="11304" max="11304" width="25.140625" style="1103" customWidth="1"/>
    <col min="11305" max="11305" width="36.7109375" style="1103" customWidth="1"/>
    <col min="11306" max="11307" width="24.5703125" style="1103" customWidth="1"/>
    <col min="11308" max="11308" width="17.85546875" style="1103" customWidth="1"/>
    <col min="11309" max="11309" width="27.5703125" style="1103" bestFit="1" customWidth="1"/>
    <col min="11310" max="11310" width="37.28515625" style="1103" customWidth="1"/>
    <col min="11311" max="11311" width="48.42578125" style="1103" customWidth="1"/>
    <col min="11312" max="11312" width="32" style="1103" customWidth="1"/>
    <col min="11313" max="11313" width="32.7109375" style="1103" customWidth="1"/>
    <col min="11314" max="11314" width="18.5703125" style="1103" customWidth="1"/>
    <col min="11315" max="11315" width="16.7109375" style="1103" customWidth="1"/>
    <col min="11316" max="11316" width="10.42578125" style="1103" customWidth="1"/>
    <col min="11317" max="11317" width="10.5703125" style="1103" customWidth="1"/>
    <col min="11318" max="11318" width="9.28515625" style="1103" customWidth="1"/>
    <col min="11319" max="11319" width="10.140625" style="1103" customWidth="1"/>
    <col min="11320" max="11320" width="8.42578125" style="1103" customWidth="1"/>
    <col min="11321" max="11321" width="9.5703125" style="1103" customWidth="1"/>
    <col min="11322" max="11322" width="9.28515625" style="1103" customWidth="1"/>
    <col min="11323" max="11323" width="8.85546875" style="1103" customWidth="1"/>
    <col min="11324" max="11326" width="8" style="1103" customWidth="1"/>
    <col min="11327" max="11327" width="8.7109375" style="1103" customWidth="1"/>
    <col min="11328" max="11328" width="8.140625" style="1103" customWidth="1"/>
    <col min="11329" max="11329" width="10.5703125" style="1103" customWidth="1"/>
    <col min="11330" max="11330" width="9.85546875" style="1103" customWidth="1"/>
    <col min="11331" max="11331" width="13.140625" style="1103" customWidth="1"/>
    <col min="11332" max="11332" width="25.42578125" style="1103" customWidth="1"/>
    <col min="11333" max="11333" width="30.85546875" style="1103" customWidth="1"/>
    <col min="11334" max="11334" width="27.42578125" style="1103" customWidth="1"/>
    <col min="11335" max="11547" width="11.42578125" style="1103"/>
    <col min="11548" max="11548" width="13" style="1103" bestFit="1" customWidth="1"/>
    <col min="11549" max="11549" width="6.85546875" style="1103" customWidth="1"/>
    <col min="11550" max="11550" width="14.28515625" style="1103" customWidth="1"/>
    <col min="11551" max="11551" width="14" style="1103" customWidth="1"/>
    <col min="11552" max="11552" width="17.85546875" style="1103" customWidth="1"/>
    <col min="11553" max="11553" width="3.5703125" style="1103" customWidth="1"/>
    <col min="11554" max="11554" width="13.28515625" style="1103" customWidth="1"/>
    <col min="11555" max="11555" width="5.85546875" style="1103" customWidth="1"/>
    <col min="11556" max="11556" width="23.28515625" style="1103" customWidth="1"/>
    <col min="11557" max="11557" width="17.140625" style="1103" customWidth="1"/>
    <col min="11558" max="11558" width="50.5703125" style="1103" customWidth="1"/>
    <col min="11559" max="11559" width="28.7109375" style="1103" customWidth="1"/>
    <col min="11560" max="11560" width="25.140625" style="1103" customWidth="1"/>
    <col min="11561" max="11561" width="36.7109375" style="1103" customWidth="1"/>
    <col min="11562" max="11563" width="24.5703125" style="1103" customWidth="1"/>
    <col min="11564" max="11564" width="17.85546875" style="1103" customWidth="1"/>
    <col min="11565" max="11565" width="27.5703125" style="1103" bestFit="1" customWidth="1"/>
    <col min="11566" max="11566" width="37.28515625" style="1103" customWidth="1"/>
    <col min="11567" max="11567" width="48.42578125" style="1103" customWidth="1"/>
    <col min="11568" max="11568" width="32" style="1103" customWidth="1"/>
    <col min="11569" max="11569" width="32.7109375" style="1103" customWidth="1"/>
    <col min="11570" max="11570" width="18.5703125" style="1103" customWidth="1"/>
    <col min="11571" max="11571" width="16.7109375" style="1103" customWidth="1"/>
    <col min="11572" max="11572" width="10.42578125" style="1103" customWidth="1"/>
    <col min="11573" max="11573" width="10.5703125" style="1103" customWidth="1"/>
    <col min="11574" max="11574" width="9.28515625" style="1103" customWidth="1"/>
    <col min="11575" max="11575" width="10.140625" style="1103" customWidth="1"/>
    <col min="11576" max="11576" width="8.42578125" style="1103" customWidth="1"/>
    <col min="11577" max="11577" width="9.5703125" style="1103" customWidth="1"/>
    <col min="11578" max="11578" width="9.28515625" style="1103" customWidth="1"/>
    <col min="11579" max="11579" width="8.85546875" style="1103" customWidth="1"/>
    <col min="11580" max="11582" width="8" style="1103" customWidth="1"/>
    <col min="11583" max="11583" width="8.7109375" style="1103" customWidth="1"/>
    <col min="11584" max="11584" width="8.140625" style="1103" customWidth="1"/>
    <col min="11585" max="11585" width="10.5703125" style="1103" customWidth="1"/>
    <col min="11586" max="11586" width="9.85546875" style="1103" customWidth="1"/>
    <col min="11587" max="11587" width="13.140625" style="1103" customWidth="1"/>
    <col min="11588" max="11588" width="25.42578125" style="1103" customWidth="1"/>
    <col min="11589" max="11589" width="30.85546875" style="1103" customWidth="1"/>
    <col min="11590" max="11590" width="27.42578125" style="1103" customWidth="1"/>
    <col min="11591" max="11803" width="11.42578125" style="1103"/>
    <col min="11804" max="11804" width="13" style="1103" bestFit="1" customWidth="1"/>
    <col min="11805" max="11805" width="6.85546875" style="1103" customWidth="1"/>
    <col min="11806" max="11806" width="14.28515625" style="1103" customWidth="1"/>
    <col min="11807" max="11807" width="14" style="1103" customWidth="1"/>
    <col min="11808" max="11808" width="17.85546875" style="1103" customWidth="1"/>
    <col min="11809" max="11809" width="3.5703125" style="1103" customWidth="1"/>
    <col min="11810" max="11810" width="13.28515625" style="1103" customWidth="1"/>
    <col min="11811" max="11811" width="5.85546875" style="1103" customWidth="1"/>
    <col min="11812" max="11812" width="23.28515625" style="1103" customWidth="1"/>
    <col min="11813" max="11813" width="17.140625" style="1103" customWidth="1"/>
    <col min="11814" max="11814" width="50.5703125" style="1103" customWidth="1"/>
    <col min="11815" max="11815" width="28.7109375" style="1103" customWidth="1"/>
    <col min="11816" max="11816" width="25.140625" style="1103" customWidth="1"/>
    <col min="11817" max="11817" width="36.7109375" style="1103" customWidth="1"/>
    <col min="11818" max="11819" width="24.5703125" style="1103" customWidth="1"/>
    <col min="11820" max="11820" width="17.85546875" style="1103" customWidth="1"/>
    <col min="11821" max="11821" width="27.5703125" style="1103" bestFit="1" customWidth="1"/>
    <col min="11822" max="11822" width="37.28515625" style="1103" customWidth="1"/>
    <col min="11823" max="11823" width="48.42578125" style="1103" customWidth="1"/>
    <col min="11824" max="11824" width="32" style="1103" customWidth="1"/>
    <col min="11825" max="11825" width="32.7109375" style="1103" customWidth="1"/>
    <col min="11826" max="11826" width="18.5703125" style="1103" customWidth="1"/>
    <col min="11827" max="11827" width="16.7109375" style="1103" customWidth="1"/>
    <col min="11828" max="11828" width="10.42578125" style="1103" customWidth="1"/>
    <col min="11829" max="11829" width="10.5703125" style="1103" customWidth="1"/>
    <col min="11830" max="11830" width="9.28515625" style="1103" customWidth="1"/>
    <col min="11831" max="11831" width="10.140625" style="1103" customWidth="1"/>
    <col min="11832" max="11832" width="8.42578125" style="1103" customWidth="1"/>
    <col min="11833" max="11833" width="9.5703125" style="1103" customWidth="1"/>
    <col min="11834" max="11834" width="9.28515625" style="1103" customWidth="1"/>
    <col min="11835" max="11835" width="8.85546875" style="1103" customWidth="1"/>
    <col min="11836" max="11838" width="8" style="1103" customWidth="1"/>
    <col min="11839" max="11839" width="8.7109375" style="1103" customWidth="1"/>
    <col min="11840" max="11840" width="8.140625" style="1103" customWidth="1"/>
    <col min="11841" max="11841" width="10.5703125" style="1103" customWidth="1"/>
    <col min="11842" max="11842" width="9.85546875" style="1103" customWidth="1"/>
    <col min="11843" max="11843" width="13.140625" style="1103" customWidth="1"/>
    <col min="11844" max="11844" width="25.42578125" style="1103" customWidth="1"/>
    <col min="11845" max="11845" width="30.85546875" style="1103" customWidth="1"/>
    <col min="11846" max="11846" width="27.42578125" style="1103" customWidth="1"/>
    <col min="11847" max="12059" width="11.42578125" style="1103"/>
    <col min="12060" max="12060" width="13" style="1103" bestFit="1" customWidth="1"/>
    <col min="12061" max="12061" width="6.85546875" style="1103" customWidth="1"/>
    <col min="12062" max="12062" width="14.28515625" style="1103" customWidth="1"/>
    <col min="12063" max="12063" width="14" style="1103" customWidth="1"/>
    <col min="12064" max="12064" width="17.85546875" style="1103" customWidth="1"/>
    <col min="12065" max="12065" width="3.5703125" style="1103" customWidth="1"/>
    <col min="12066" max="12066" width="13.28515625" style="1103" customWidth="1"/>
    <col min="12067" max="12067" width="5.85546875" style="1103" customWidth="1"/>
    <col min="12068" max="12068" width="23.28515625" style="1103" customWidth="1"/>
    <col min="12069" max="12069" width="17.140625" style="1103" customWidth="1"/>
    <col min="12070" max="12070" width="50.5703125" style="1103" customWidth="1"/>
    <col min="12071" max="12071" width="28.7109375" style="1103" customWidth="1"/>
    <col min="12072" max="12072" width="25.140625" style="1103" customWidth="1"/>
    <col min="12073" max="12073" width="36.7109375" style="1103" customWidth="1"/>
    <col min="12074" max="12075" width="24.5703125" style="1103" customWidth="1"/>
    <col min="12076" max="12076" width="17.85546875" style="1103" customWidth="1"/>
    <col min="12077" max="12077" width="27.5703125" style="1103" bestFit="1" customWidth="1"/>
    <col min="12078" max="12078" width="37.28515625" style="1103" customWidth="1"/>
    <col min="12079" max="12079" width="48.42578125" style="1103" customWidth="1"/>
    <col min="12080" max="12080" width="32" style="1103" customWidth="1"/>
    <col min="12081" max="12081" width="32.7109375" style="1103" customWidth="1"/>
    <col min="12082" max="12082" width="18.5703125" style="1103" customWidth="1"/>
    <col min="12083" max="12083" width="16.7109375" style="1103" customWidth="1"/>
    <col min="12084" max="12084" width="10.42578125" style="1103" customWidth="1"/>
    <col min="12085" max="12085" width="10.5703125" style="1103" customWidth="1"/>
    <col min="12086" max="12086" width="9.28515625" style="1103" customWidth="1"/>
    <col min="12087" max="12087" width="10.140625" style="1103" customWidth="1"/>
    <col min="12088" max="12088" width="8.42578125" style="1103" customWidth="1"/>
    <col min="12089" max="12089" width="9.5703125" style="1103" customWidth="1"/>
    <col min="12090" max="12090" width="9.28515625" style="1103" customWidth="1"/>
    <col min="12091" max="12091" width="8.85546875" style="1103" customWidth="1"/>
    <col min="12092" max="12094" width="8" style="1103" customWidth="1"/>
    <col min="12095" max="12095" width="8.7109375" style="1103" customWidth="1"/>
    <col min="12096" max="12096" width="8.140625" style="1103" customWidth="1"/>
    <col min="12097" max="12097" width="10.5703125" style="1103" customWidth="1"/>
    <col min="12098" max="12098" width="9.85546875" style="1103" customWidth="1"/>
    <col min="12099" max="12099" width="13.140625" style="1103" customWidth="1"/>
    <col min="12100" max="12100" width="25.42578125" style="1103" customWidth="1"/>
    <col min="12101" max="12101" width="30.85546875" style="1103" customWidth="1"/>
    <col min="12102" max="12102" width="27.42578125" style="1103" customWidth="1"/>
    <col min="12103" max="12315" width="11.42578125" style="1103"/>
    <col min="12316" max="12316" width="13" style="1103" bestFit="1" customWidth="1"/>
    <col min="12317" max="12317" width="6.85546875" style="1103" customWidth="1"/>
    <col min="12318" max="12318" width="14.28515625" style="1103" customWidth="1"/>
    <col min="12319" max="12319" width="14" style="1103" customWidth="1"/>
    <col min="12320" max="12320" width="17.85546875" style="1103" customWidth="1"/>
    <col min="12321" max="12321" width="3.5703125" style="1103" customWidth="1"/>
    <col min="12322" max="12322" width="13.28515625" style="1103" customWidth="1"/>
    <col min="12323" max="12323" width="5.85546875" style="1103" customWidth="1"/>
    <col min="12324" max="12324" width="23.28515625" style="1103" customWidth="1"/>
    <col min="12325" max="12325" width="17.140625" style="1103" customWidth="1"/>
    <col min="12326" max="12326" width="50.5703125" style="1103" customWidth="1"/>
    <col min="12327" max="12327" width="28.7109375" style="1103" customWidth="1"/>
    <col min="12328" max="12328" width="25.140625" style="1103" customWidth="1"/>
    <col min="12329" max="12329" width="36.7109375" style="1103" customWidth="1"/>
    <col min="12330" max="12331" width="24.5703125" style="1103" customWidth="1"/>
    <col min="12332" max="12332" width="17.85546875" style="1103" customWidth="1"/>
    <col min="12333" max="12333" width="27.5703125" style="1103" bestFit="1" customWidth="1"/>
    <col min="12334" max="12334" width="37.28515625" style="1103" customWidth="1"/>
    <col min="12335" max="12335" width="48.42578125" style="1103" customWidth="1"/>
    <col min="12336" max="12336" width="32" style="1103" customWidth="1"/>
    <col min="12337" max="12337" width="32.7109375" style="1103" customWidth="1"/>
    <col min="12338" max="12338" width="18.5703125" style="1103" customWidth="1"/>
    <col min="12339" max="12339" width="16.7109375" style="1103" customWidth="1"/>
    <col min="12340" max="12340" width="10.42578125" style="1103" customWidth="1"/>
    <col min="12341" max="12341" width="10.5703125" style="1103" customWidth="1"/>
    <col min="12342" max="12342" width="9.28515625" style="1103" customWidth="1"/>
    <col min="12343" max="12343" width="10.140625" style="1103" customWidth="1"/>
    <col min="12344" max="12344" width="8.42578125" style="1103" customWidth="1"/>
    <col min="12345" max="12345" width="9.5703125" style="1103" customWidth="1"/>
    <col min="12346" max="12346" width="9.28515625" style="1103" customWidth="1"/>
    <col min="12347" max="12347" width="8.85546875" style="1103" customWidth="1"/>
    <col min="12348" max="12350" width="8" style="1103" customWidth="1"/>
    <col min="12351" max="12351" width="8.7109375" style="1103" customWidth="1"/>
    <col min="12352" max="12352" width="8.140625" style="1103" customWidth="1"/>
    <col min="12353" max="12353" width="10.5703125" style="1103" customWidth="1"/>
    <col min="12354" max="12354" width="9.85546875" style="1103" customWidth="1"/>
    <col min="12355" max="12355" width="13.140625" style="1103" customWidth="1"/>
    <col min="12356" max="12356" width="25.42578125" style="1103" customWidth="1"/>
    <col min="12357" max="12357" width="30.85546875" style="1103" customWidth="1"/>
    <col min="12358" max="12358" width="27.42578125" style="1103" customWidth="1"/>
    <col min="12359" max="12571" width="11.42578125" style="1103"/>
    <col min="12572" max="12572" width="13" style="1103" bestFit="1" customWidth="1"/>
    <col min="12573" max="12573" width="6.85546875" style="1103" customWidth="1"/>
    <col min="12574" max="12574" width="14.28515625" style="1103" customWidth="1"/>
    <col min="12575" max="12575" width="14" style="1103" customWidth="1"/>
    <col min="12576" max="12576" width="17.85546875" style="1103" customWidth="1"/>
    <col min="12577" max="12577" width="3.5703125" style="1103" customWidth="1"/>
    <col min="12578" max="12578" width="13.28515625" style="1103" customWidth="1"/>
    <col min="12579" max="12579" width="5.85546875" style="1103" customWidth="1"/>
    <col min="12580" max="12580" width="23.28515625" style="1103" customWidth="1"/>
    <col min="12581" max="12581" width="17.140625" style="1103" customWidth="1"/>
    <col min="12582" max="12582" width="50.5703125" style="1103" customWidth="1"/>
    <col min="12583" max="12583" width="28.7109375" style="1103" customWidth="1"/>
    <col min="12584" max="12584" width="25.140625" style="1103" customWidth="1"/>
    <col min="12585" max="12585" width="36.7109375" style="1103" customWidth="1"/>
    <col min="12586" max="12587" width="24.5703125" style="1103" customWidth="1"/>
    <col min="12588" max="12588" width="17.85546875" style="1103" customWidth="1"/>
    <col min="12589" max="12589" width="27.5703125" style="1103" bestFit="1" customWidth="1"/>
    <col min="12590" max="12590" width="37.28515625" style="1103" customWidth="1"/>
    <col min="12591" max="12591" width="48.42578125" style="1103" customWidth="1"/>
    <col min="12592" max="12592" width="32" style="1103" customWidth="1"/>
    <col min="12593" max="12593" width="32.7109375" style="1103" customWidth="1"/>
    <col min="12594" max="12594" width="18.5703125" style="1103" customWidth="1"/>
    <col min="12595" max="12595" width="16.7109375" style="1103" customWidth="1"/>
    <col min="12596" max="12596" width="10.42578125" style="1103" customWidth="1"/>
    <col min="12597" max="12597" width="10.5703125" style="1103" customWidth="1"/>
    <col min="12598" max="12598" width="9.28515625" style="1103" customWidth="1"/>
    <col min="12599" max="12599" width="10.140625" style="1103" customWidth="1"/>
    <col min="12600" max="12600" width="8.42578125" style="1103" customWidth="1"/>
    <col min="12601" max="12601" width="9.5703125" style="1103" customWidth="1"/>
    <col min="12602" max="12602" width="9.28515625" style="1103" customWidth="1"/>
    <col min="12603" max="12603" width="8.85546875" style="1103" customWidth="1"/>
    <col min="12604" max="12606" width="8" style="1103" customWidth="1"/>
    <col min="12607" max="12607" width="8.7109375" style="1103" customWidth="1"/>
    <col min="12608" max="12608" width="8.140625" style="1103" customWidth="1"/>
    <col min="12609" max="12609" width="10.5703125" style="1103" customWidth="1"/>
    <col min="12610" max="12610" width="9.85546875" style="1103" customWidth="1"/>
    <col min="12611" max="12611" width="13.140625" style="1103" customWidth="1"/>
    <col min="12612" max="12612" width="25.42578125" style="1103" customWidth="1"/>
    <col min="12613" max="12613" width="30.85546875" style="1103" customWidth="1"/>
    <col min="12614" max="12614" width="27.42578125" style="1103" customWidth="1"/>
    <col min="12615" max="12827" width="11.42578125" style="1103"/>
    <col min="12828" max="12828" width="13" style="1103" bestFit="1" customWidth="1"/>
    <col min="12829" max="12829" width="6.85546875" style="1103" customWidth="1"/>
    <col min="12830" max="12830" width="14.28515625" style="1103" customWidth="1"/>
    <col min="12831" max="12831" width="14" style="1103" customWidth="1"/>
    <col min="12832" max="12832" width="17.85546875" style="1103" customWidth="1"/>
    <col min="12833" max="12833" width="3.5703125" style="1103" customWidth="1"/>
    <col min="12834" max="12834" width="13.28515625" style="1103" customWidth="1"/>
    <col min="12835" max="12835" width="5.85546875" style="1103" customWidth="1"/>
    <col min="12836" max="12836" width="23.28515625" style="1103" customWidth="1"/>
    <col min="12837" max="12837" width="17.140625" style="1103" customWidth="1"/>
    <col min="12838" max="12838" width="50.5703125" style="1103" customWidth="1"/>
    <col min="12839" max="12839" width="28.7109375" style="1103" customWidth="1"/>
    <col min="12840" max="12840" width="25.140625" style="1103" customWidth="1"/>
    <col min="12841" max="12841" width="36.7109375" style="1103" customWidth="1"/>
    <col min="12842" max="12843" width="24.5703125" style="1103" customWidth="1"/>
    <col min="12844" max="12844" width="17.85546875" style="1103" customWidth="1"/>
    <col min="12845" max="12845" width="27.5703125" style="1103" bestFit="1" customWidth="1"/>
    <col min="12846" max="12846" width="37.28515625" style="1103" customWidth="1"/>
    <col min="12847" max="12847" width="48.42578125" style="1103" customWidth="1"/>
    <col min="12848" max="12848" width="32" style="1103" customWidth="1"/>
    <col min="12849" max="12849" width="32.7109375" style="1103" customWidth="1"/>
    <col min="12850" max="12850" width="18.5703125" style="1103" customWidth="1"/>
    <col min="12851" max="12851" width="16.7109375" style="1103" customWidth="1"/>
    <col min="12852" max="12852" width="10.42578125" style="1103" customWidth="1"/>
    <col min="12853" max="12853" width="10.5703125" style="1103" customWidth="1"/>
    <col min="12854" max="12854" width="9.28515625" style="1103" customWidth="1"/>
    <col min="12855" max="12855" width="10.140625" style="1103" customWidth="1"/>
    <col min="12856" max="12856" width="8.42578125" style="1103" customWidth="1"/>
    <col min="12857" max="12857" width="9.5703125" style="1103" customWidth="1"/>
    <col min="12858" max="12858" width="9.28515625" style="1103" customWidth="1"/>
    <col min="12859" max="12859" width="8.85546875" style="1103" customWidth="1"/>
    <col min="12860" max="12862" width="8" style="1103" customWidth="1"/>
    <col min="12863" max="12863" width="8.7109375" style="1103" customWidth="1"/>
    <col min="12864" max="12864" width="8.140625" style="1103" customWidth="1"/>
    <col min="12865" max="12865" width="10.5703125" style="1103" customWidth="1"/>
    <col min="12866" max="12866" width="9.85546875" style="1103" customWidth="1"/>
    <col min="12867" max="12867" width="13.140625" style="1103" customWidth="1"/>
    <col min="12868" max="12868" width="25.42578125" style="1103" customWidth="1"/>
    <col min="12869" max="12869" width="30.85546875" style="1103" customWidth="1"/>
    <col min="12870" max="12870" width="27.42578125" style="1103" customWidth="1"/>
    <col min="12871" max="13083" width="11.42578125" style="1103"/>
    <col min="13084" max="13084" width="13" style="1103" bestFit="1" customWidth="1"/>
    <col min="13085" max="13085" width="6.85546875" style="1103" customWidth="1"/>
    <col min="13086" max="13086" width="14.28515625" style="1103" customWidth="1"/>
    <col min="13087" max="13087" width="14" style="1103" customWidth="1"/>
    <col min="13088" max="13088" width="17.85546875" style="1103" customWidth="1"/>
    <col min="13089" max="13089" width="3.5703125" style="1103" customWidth="1"/>
    <col min="13090" max="13090" width="13.28515625" style="1103" customWidth="1"/>
    <col min="13091" max="13091" width="5.85546875" style="1103" customWidth="1"/>
    <col min="13092" max="13092" width="23.28515625" style="1103" customWidth="1"/>
    <col min="13093" max="13093" width="17.140625" style="1103" customWidth="1"/>
    <col min="13094" max="13094" width="50.5703125" style="1103" customWidth="1"/>
    <col min="13095" max="13095" width="28.7109375" style="1103" customWidth="1"/>
    <col min="13096" max="13096" width="25.140625" style="1103" customWidth="1"/>
    <col min="13097" max="13097" width="36.7109375" style="1103" customWidth="1"/>
    <col min="13098" max="13099" width="24.5703125" style="1103" customWidth="1"/>
    <col min="13100" max="13100" width="17.85546875" style="1103" customWidth="1"/>
    <col min="13101" max="13101" width="27.5703125" style="1103" bestFit="1" customWidth="1"/>
    <col min="13102" max="13102" width="37.28515625" style="1103" customWidth="1"/>
    <col min="13103" max="13103" width="48.42578125" style="1103" customWidth="1"/>
    <col min="13104" max="13104" width="32" style="1103" customWidth="1"/>
    <col min="13105" max="13105" width="32.7109375" style="1103" customWidth="1"/>
    <col min="13106" max="13106" width="18.5703125" style="1103" customWidth="1"/>
    <col min="13107" max="13107" width="16.7109375" style="1103" customWidth="1"/>
    <col min="13108" max="13108" width="10.42578125" style="1103" customWidth="1"/>
    <col min="13109" max="13109" width="10.5703125" style="1103" customWidth="1"/>
    <col min="13110" max="13110" width="9.28515625" style="1103" customWidth="1"/>
    <col min="13111" max="13111" width="10.140625" style="1103" customWidth="1"/>
    <col min="13112" max="13112" width="8.42578125" style="1103" customWidth="1"/>
    <col min="13113" max="13113" width="9.5703125" style="1103" customWidth="1"/>
    <col min="13114" max="13114" width="9.28515625" style="1103" customWidth="1"/>
    <col min="13115" max="13115" width="8.85546875" style="1103" customWidth="1"/>
    <col min="13116" max="13118" width="8" style="1103" customWidth="1"/>
    <col min="13119" max="13119" width="8.7109375" style="1103" customWidth="1"/>
    <col min="13120" max="13120" width="8.140625" style="1103" customWidth="1"/>
    <col min="13121" max="13121" width="10.5703125" style="1103" customWidth="1"/>
    <col min="13122" max="13122" width="9.85546875" style="1103" customWidth="1"/>
    <col min="13123" max="13123" width="13.140625" style="1103" customWidth="1"/>
    <col min="13124" max="13124" width="25.42578125" style="1103" customWidth="1"/>
    <col min="13125" max="13125" width="30.85546875" style="1103" customWidth="1"/>
    <col min="13126" max="13126" width="27.42578125" style="1103" customWidth="1"/>
    <col min="13127" max="13339" width="11.42578125" style="1103"/>
    <col min="13340" max="13340" width="13" style="1103" bestFit="1" customWidth="1"/>
    <col min="13341" max="13341" width="6.85546875" style="1103" customWidth="1"/>
    <col min="13342" max="13342" width="14.28515625" style="1103" customWidth="1"/>
    <col min="13343" max="13343" width="14" style="1103" customWidth="1"/>
    <col min="13344" max="13344" width="17.85546875" style="1103" customWidth="1"/>
    <col min="13345" max="13345" width="3.5703125" style="1103" customWidth="1"/>
    <col min="13346" max="13346" width="13.28515625" style="1103" customWidth="1"/>
    <col min="13347" max="13347" width="5.85546875" style="1103" customWidth="1"/>
    <col min="13348" max="13348" width="23.28515625" style="1103" customWidth="1"/>
    <col min="13349" max="13349" width="17.140625" style="1103" customWidth="1"/>
    <col min="13350" max="13350" width="50.5703125" style="1103" customWidth="1"/>
    <col min="13351" max="13351" width="28.7109375" style="1103" customWidth="1"/>
    <col min="13352" max="13352" width="25.140625" style="1103" customWidth="1"/>
    <col min="13353" max="13353" width="36.7109375" style="1103" customWidth="1"/>
    <col min="13354" max="13355" width="24.5703125" style="1103" customWidth="1"/>
    <col min="13356" max="13356" width="17.85546875" style="1103" customWidth="1"/>
    <col min="13357" max="13357" width="27.5703125" style="1103" bestFit="1" customWidth="1"/>
    <col min="13358" max="13358" width="37.28515625" style="1103" customWidth="1"/>
    <col min="13359" max="13359" width="48.42578125" style="1103" customWidth="1"/>
    <col min="13360" max="13360" width="32" style="1103" customWidth="1"/>
    <col min="13361" max="13361" width="32.7109375" style="1103" customWidth="1"/>
    <col min="13362" max="13362" width="18.5703125" style="1103" customWidth="1"/>
    <col min="13363" max="13363" width="16.7109375" style="1103" customWidth="1"/>
    <col min="13364" max="13364" width="10.42578125" style="1103" customWidth="1"/>
    <col min="13365" max="13365" width="10.5703125" style="1103" customWidth="1"/>
    <col min="13366" max="13366" width="9.28515625" style="1103" customWidth="1"/>
    <col min="13367" max="13367" width="10.140625" style="1103" customWidth="1"/>
    <col min="13368" max="13368" width="8.42578125" style="1103" customWidth="1"/>
    <col min="13369" max="13369" width="9.5703125" style="1103" customWidth="1"/>
    <col min="13370" max="13370" width="9.28515625" style="1103" customWidth="1"/>
    <col min="13371" max="13371" width="8.85546875" style="1103" customWidth="1"/>
    <col min="13372" max="13374" width="8" style="1103" customWidth="1"/>
    <col min="13375" max="13375" width="8.7109375" style="1103" customWidth="1"/>
    <col min="13376" max="13376" width="8.140625" style="1103" customWidth="1"/>
    <col min="13377" max="13377" width="10.5703125" style="1103" customWidth="1"/>
    <col min="13378" max="13378" width="9.85546875" style="1103" customWidth="1"/>
    <col min="13379" max="13379" width="13.140625" style="1103" customWidth="1"/>
    <col min="13380" max="13380" width="25.42578125" style="1103" customWidth="1"/>
    <col min="13381" max="13381" width="30.85546875" style="1103" customWidth="1"/>
    <col min="13382" max="13382" width="27.42578125" style="1103" customWidth="1"/>
    <col min="13383" max="13595" width="11.42578125" style="1103"/>
    <col min="13596" max="13596" width="13" style="1103" bestFit="1" customWidth="1"/>
    <col min="13597" max="13597" width="6.85546875" style="1103" customWidth="1"/>
    <col min="13598" max="13598" width="14.28515625" style="1103" customWidth="1"/>
    <col min="13599" max="13599" width="14" style="1103" customWidth="1"/>
    <col min="13600" max="13600" width="17.85546875" style="1103" customWidth="1"/>
    <col min="13601" max="13601" width="3.5703125" style="1103" customWidth="1"/>
    <col min="13602" max="13602" width="13.28515625" style="1103" customWidth="1"/>
    <col min="13603" max="13603" width="5.85546875" style="1103" customWidth="1"/>
    <col min="13604" max="13604" width="23.28515625" style="1103" customWidth="1"/>
    <col min="13605" max="13605" width="17.140625" style="1103" customWidth="1"/>
    <col min="13606" max="13606" width="50.5703125" style="1103" customWidth="1"/>
    <col min="13607" max="13607" width="28.7109375" style="1103" customWidth="1"/>
    <col min="13608" max="13608" width="25.140625" style="1103" customWidth="1"/>
    <col min="13609" max="13609" width="36.7109375" style="1103" customWidth="1"/>
    <col min="13610" max="13611" width="24.5703125" style="1103" customWidth="1"/>
    <col min="13612" max="13612" width="17.85546875" style="1103" customWidth="1"/>
    <col min="13613" max="13613" width="27.5703125" style="1103" bestFit="1" customWidth="1"/>
    <col min="13614" max="13614" width="37.28515625" style="1103" customWidth="1"/>
    <col min="13615" max="13615" width="48.42578125" style="1103" customWidth="1"/>
    <col min="13616" max="13616" width="32" style="1103" customWidth="1"/>
    <col min="13617" max="13617" width="32.7109375" style="1103" customWidth="1"/>
    <col min="13618" max="13618" width="18.5703125" style="1103" customWidth="1"/>
    <col min="13619" max="13619" width="16.7109375" style="1103" customWidth="1"/>
    <col min="13620" max="13620" width="10.42578125" style="1103" customWidth="1"/>
    <col min="13621" max="13621" width="10.5703125" style="1103" customWidth="1"/>
    <col min="13622" max="13622" width="9.28515625" style="1103" customWidth="1"/>
    <col min="13623" max="13623" width="10.140625" style="1103" customWidth="1"/>
    <col min="13624" max="13624" width="8.42578125" style="1103" customWidth="1"/>
    <col min="13625" max="13625" width="9.5703125" style="1103" customWidth="1"/>
    <col min="13626" max="13626" width="9.28515625" style="1103" customWidth="1"/>
    <col min="13627" max="13627" width="8.85546875" style="1103" customWidth="1"/>
    <col min="13628" max="13630" width="8" style="1103" customWidth="1"/>
    <col min="13631" max="13631" width="8.7109375" style="1103" customWidth="1"/>
    <col min="13632" max="13632" width="8.140625" style="1103" customWidth="1"/>
    <col min="13633" max="13633" width="10.5703125" style="1103" customWidth="1"/>
    <col min="13634" max="13634" width="9.85546875" style="1103" customWidth="1"/>
    <col min="13635" max="13635" width="13.140625" style="1103" customWidth="1"/>
    <col min="13636" max="13636" width="25.42578125" style="1103" customWidth="1"/>
    <col min="13637" max="13637" width="30.85546875" style="1103" customWidth="1"/>
    <col min="13638" max="13638" width="27.42578125" style="1103" customWidth="1"/>
    <col min="13639" max="13851" width="11.42578125" style="1103"/>
    <col min="13852" max="13852" width="13" style="1103" bestFit="1" customWidth="1"/>
    <col min="13853" max="13853" width="6.85546875" style="1103" customWidth="1"/>
    <col min="13854" max="13854" width="14.28515625" style="1103" customWidth="1"/>
    <col min="13855" max="13855" width="14" style="1103" customWidth="1"/>
    <col min="13856" max="13856" width="17.85546875" style="1103" customWidth="1"/>
    <col min="13857" max="13857" width="3.5703125" style="1103" customWidth="1"/>
    <col min="13858" max="13858" width="13.28515625" style="1103" customWidth="1"/>
    <col min="13859" max="13859" width="5.85546875" style="1103" customWidth="1"/>
    <col min="13860" max="13860" width="23.28515625" style="1103" customWidth="1"/>
    <col min="13861" max="13861" width="17.140625" style="1103" customWidth="1"/>
    <col min="13862" max="13862" width="50.5703125" style="1103" customWidth="1"/>
    <col min="13863" max="13863" width="28.7109375" style="1103" customWidth="1"/>
    <col min="13864" max="13864" width="25.140625" style="1103" customWidth="1"/>
    <col min="13865" max="13865" width="36.7109375" style="1103" customWidth="1"/>
    <col min="13866" max="13867" width="24.5703125" style="1103" customWidth="1"/>
    <col min="13868" max="13868" width="17.85546875" style="1103" customWidth="1"/>
    <col min="13869" max="13869" width="27.5703125" style="1103" bestFit="1" customWidth="1"/>
    <col min="13870" max="13870" width="37.28515625" style="1103" customWidth="1"/>
    <col min="13871" max="13871" width="48.42578125" style="1103" customWidth="1"/>
    <col min="13872" max="13872" width="32" style="1103" customWidth="1"/>
    <col min="13873" max="13873" width="32.7109375" style="1103" customWidth="1"/>
    <col min="13874" max="13874" width="18.5703125" style="1103" customWidth="1"/>
    <col min="13875" max="13875" width="16.7109375" style="1103" customWidth="1"/>
    <col min="13876" max="13876" width="10.42578125" style="1103" customWidth="1"/>
    <col min="13877" max="13877" width="10.5703125" style="1103" customWidth="1"/>
    <col min="13878" max="13878" width="9.28515625" style="1103" customWidth="1"/>
    <col min="13879" max="13879" width="10.140625" style="1103" customWidth="1"/>
    <col min="13880" max="13880" width="8.42578125" style="1103" customWidth="1"/>
    <col min="13881" max="13881" width="9.5703125" style="1103" customWidth="1"/>
    <col min="13882" max="13882" width="9.28515625" style="1103" customWidth="1"/>
    <col min="13883" max="13883" width="8.85546875" style="1103" customWidth="1"/>
    <col min="13884" max="13886" width="8" style="1103" customWidth="1"/>
    <col min="13887" max="13887" width="8.7109375" style="1103" customWidth="1"/>
    <col min="13888" max="13888" width="8.140625" style="1103" customWidth="1"/>
    <col min="13889" max="13889" width="10.5703125" style="1103" customWidth="1"/>
    <col min="13890" max="13890" width="9.85546875" style="1103" customWidth="1"/>
    <col min="13891" max="13891" width="13.140625" style="1103" customWidth="1"/>
    <col min="13892" max="13892" width="25.42578125" style="1103" customWidth="1"/>
    <col min="13893" max="13893" width="30.85546875" style="1103" customWidth="1"/>
    <col min="13894" max="13894" width="27.42578125" style="1103" customWidth="1"/>
    <col min="13895" max="14107" width="11.42578125" style="1103"/>
    <col min="14108" max="14108" width="13" style="1103" bestFit="1" customWidth="1"/>
    <col min="14109" max="14109" width="6.85546875" style="1103" customWidth="1"/>
    <col min="14110" max="14110" width="14.28515625" style="1103" customWidth="1"/>
    <col min="14111" max="14111" width="14" style="1103" customWidth="1"/>
    <col min="14112" max="14112" width="17.85546875" style="1103" customWidth="1"/>
    <col min="14113" max="14113" width="3.5703125" style="1103" customWidth="1"/>
    <col min="14114" max="14114" width="13.28515625" style="1103" customWidth="1"/>
    <col min="14115" max="14115" width="5.85546875" style="1103" customWidth="1"/>
    <col min="14116" max="14116" width="23.28515625" style="1103" customWidth="1"/>
    <col min="14117" max="14117" width="17.140625" style="1103" customWidth="1"/>
    <col min="14118" max="14118" width="50.5703125" style="1103" customWidth="1"/>
    <col min="14119" max="14119" width="28.7109375" style="1103" customWidth="1"/>
    <col min="14120" max="14120" width="25.140625" style="1103" customWidth="1"/>
    <col min="14121" max="14121" width="36.7109375" style="1103" customWidth="1"/>
    <col min="14122" max="14123" width="24.5703125" style="1103" customWidth="1"/>
    <col min="14124" max="14124" width="17.85546875" style="1103" customWidth="1"/>
    <col min="14125" max="14125" width="27.5703125" style="1103" bestFit="1" customWidth="1"/>
    <col min="14126" max="14126" width="37.28515625" style="1103" customWidth="1"/>
    <col min="14127" max="14127" width="48.42578125" style="1103" customWidth="1"/>
    <col min="14128" max="14128" width="32" style="1103" customWidth="1"/>
    <col min="14129" max="14129" width="32.7109375" style="1103" customWidth="1"/>
    <col min="14130" max="14130" width="18.5703125" style="1103" customWidth="1"/>
    <col min="14131" max="14131" width="16.7109375" style="1103" customWidth="1"/>
    <col min="14132" max="14132" width="10.42578125" style="1103" customWidth="1"/>
    <col min="14133" max="14133" width="10.5703125" style="1103" customWidth="1"/>
    <col min="14134" max="14134" width="9.28515625" style="1103" customWidth="1"/>
    <col min="14135" max="14135" width="10.140625" style="1103" customWidth="1"/>
    <col min="14136" max="14136" width="8.42578125" style="1103" customWidth="1"/>
    <col min="14137" max="14137" width="9.5703125" style="1103" customWidth="1"/>
    <col min="14138" max="14138" width="9.28515625" style="1103" customWidth="1"/>
    <col min="14139" max="14139" width="8.85546875" style="1103" customWidth="1"/>
    <col min="14140" max="14142" width="8" style="1103" customWidth="1"/>
    <col min="14143" max="14143" width="8.7109375" style="1103" customWidth="1"/>
    <col min="14144" max="14144" width="8.140625" style="1103" customWidth="1"/>
    <col min="14145" max="14145" width="10.5703125" style="1103" customWidth="1"/>
    <col min="14146" max="14146" width="9.85546875" style="1103" customWidth="1"/>
    <col min="14147" max="14147" width="13.140625" style="1103" customWidth="1"/>
    <col min="14148" max="14148" width="25.42578125" style="1103" customWidth="1"/>
    <col min="14149" max="14149" width="30.85546875" style="1103" customWidth="1"/>
    <col min="14150" max="14150" width="27.42578125" style="1103" customWidth="1"/>
    <col min="14151" max="14363" width="11.42578125" style="1103"/>
    <col min="14364" max="14364" width="13" style="1103" bestFit="1" customWidth="1"/>
    <col min="14365" max="14365" width="6.85546875" style="1103" customWidth="1"/>
    <col min="14366" max="14366" width="14.28515625" style="1103" customWidth="1"/>
    <col min="14367" max="14367" width="14" style="1103" customWidth="1"/>
    <col min="14368" max="14368" width="17.85546875" style="1103" customWidth="1"/>
    <col min="14369" max="14369" width="3.5703125" style="1103" customWidth="1"/>
    <col min="14370" max="14370" width="13.28515625" style="1103" customWidth="1"/>
    <col min="14371" max="14371" width="5.85546875" style="1103" customWidth="1"/>
    <col min="14372" max="14372" width="23.28515625" style="1103" customWidth="1"/>
    <col min="14373" max="14373" width="17.140625" style="1103" customWidth="1"/>
    <col min="14374" max="14374" width="50.5703125" style="1103" customWidth="1"/>
    <col min="14375" max="14375" width="28.7109375" style="1103" customWidth="1"/>
    <col min="14376" max="14376" width="25.140625" style="1103" customWidth="1"/>
    <col min="14377" max="14377" width="36.7109375" style="1103" customWidth="1"/>
    <col min="14378" max="14379" width="24.5703125" style="1103" customWidth="1"/>
    <col min="14380" max="14380" width="17.85546875" style="1103" customWidth="1"/>
    <col min="14381" max="14381" width="27.5703125" style="1103" bestFit="1" customWidth="1"/>
    <col min="14382" max="14382" width="37.28515625" style="1103" customWidth="1"/>
    <col min="14383" max="14383" width="48.42578125" style="1103" customWidth="1"/>
    <col min="14384" max="14384" width="32" style="1103" customWidth="1"/>
    <col min="14385" max="14385" width="32.7109375" style="1103" customWidth="1"/>
    <col min="14386" max="14386" width="18.5703125" style="1103" customWidth="1"/>
    <col min="14387" max="14387" width="16.7109375" style="1103" customWidth="1"/>
    <col min="14388" max="14388" width="10.42578125" style="1103" customWidth="1"/>
    <col min="14389" max="14389" width="10.5703125" style="1103" customWidth="1"/>
    <col min="14390" max="14390" width="9.28515625" style="1103" customWidth="1"/>
    <col min="14391" max="14391" width="10.140625" style="1103" customWidth="1"/>
    <col min="14392" max="14392" width="8.42578125" style="1103" customWidth="1"/>
    <col min="14393" max="14393" width="9.5703125" style="1103" customWidth="1"/>
    <col min="14394" max="14394" width="9.28515625" style="1103" customWidth="1"/>
    <col min="14395" max="14395" width="8.85546875" style="1103" customWidth="1"/>
    <col min="14396" max="14398" width="8" style="1103" customWidth="1"/>
    <col min="14399" max="14399" width="8.7109375" style="1103" customWidth="1"/>
    <col min="14400" max="14400" width="8.140625" style="1103" customWidth="1"/>
    <col min="14401" max="14401" width="10.5703125" style="1103" customWidth="1"/>
    <col min="14402" max="14402" width="9.85546875" style="1103" customWidth="1"/>
    <col min="14403" max="14403" width="13.140625" style="1103" customWidth="1"/>
    <col min="14404" max="14404" width="25.42578125" style="1103" customWidth="1"/>
    <col min="14405" max="14405" width="30.85546875" style="1103" customWidth="1"/>
    <col min="14406" max="14406" width="27.42578125" style="1103" customWidth="1"/>
    <col min="14407" max="14619" width="11.42578125" style="1103"/>
    <col min="14620" max="14620" width="13" style="1103" bestFit="1" customWidth="1"/>
    <col min="14621" max="14621" width="6.85546875" style="1103" customWidth="1"/>
    <col min="14622" max="14622" width="14.28515625" style="1103" customWidth="1"/>
    <col min="14623" max="14623" width="14" style="1103" customWidth="1"/>
    <col min="14624" max="14624" width="17.85546875" style="1103" customWidth="1"/>
    <col min="14625" max="14625" width="3.5703125" style="1103" customWidth="1"/>
    <col min="14626" max="14626" width="13.28515625" style="1103" customWidth="1"/>
    <col min="14627" max="14627" width="5.85546875" style="1103" customWidth="1"/>
    <col min="14628" max="14628" width="23.28515625" style="1103" customWidth="1"/>
    <col min="14629" max="14629" width="17.140625" style="1103" customWidth="1"/>
    <col min="14630" max="14630" width="50.5703125" style="1103" customWidth="1"/>
    <col min="14631" max="14631" width="28.7109375" style="1103" customWidth="1"/>
    <col min="14632" max="14632" width="25.140625" style="1103" customWidth="1"/>
    <col min="14633" max="14633" width="36.7109375" style="1103" customWidth="1"/>
    <col min="14634" max="14635" width="24.5703125" style="1103" customWidth="1"/>
    <col min="14636" max="14636" width="17.85546875" style="1103" customWidth="1"/>
    <col min="14637" max="14637" width="27.5703125" style="1103" bestFit="1" customWidth="1"/>
    <col min="14638" max="14638" width="37.28515625" style="1103" customWidth="1"/>
    <col min="14639" max="14639" width="48.42578125" style="1103" customWidth="1"/>
    <col min="14640" max="14640" width="32" style="1103" customWidth="1"/>
    <col min="14641" max="14641" width="32.7109375" style="1103" customWidth="1"/>
    <col min="14642" max="14642" width="18.5703125" style="1103" customWidth="1"/>
    <col min="14643" max="14643" width="16.7109375" style="1103" customWidth="1"/>
    <col min="14644" max="14644" width="10.42578125" style="1103" customWidth="1"/>
    <col min="14645" max="14645" width="10.5703125" style="1103" customWidth="1"/>
    <col min="14646" max="14646" width="9.28515625" style="1103" customWidth="1"/>
    <col min="14647" max="14647" width="10.140625" style="1103" customWidth="1"/>
    <col min="14648" max="14648" width="8.42578125" style="1103" customWidth="1"/>
    <col min="14649" max="14649" width="9.5703125" style="1103" customWidth="1"/>
    <col min="14650" max="14650" width="9.28515625" style="1103" customWidth="1"/>
    <col min="14651" max="14651" width="8.85546875" style="1103" customWidth="1"/>
    <col min="14652" max="14654" width="8" style="1103" customWidth="1"/>
    <col min="14655" max="14655" width="8.7109375" style="1103" customWidth="1"/>
    <col min="14656" max="14656" width="8.140625" style="1103" customWidth="1"/>
    <col min="14657" max="14657" width="10.5703125" style="1103" customWidth="1"/>
    <col min="14658" max="14658" width="9.85546875" style="1103" customWidth="1"/>
    <col min="14659" max="14659" width="13.140625" style="1103" customWidth="1"/>
    <col min="14660" max="14660" width="25.42578125" style="1103" customWidth="1"/>
    <col min="14661" max="14661" width="30.85546875" style="1103" customWidth="1"/>
    <col min="14662" max="14662" width="27.42578125" style="1103" customWidth="1"/>
    <col min="14663" max="14875" width="11.42578125" style="1103"/>
    <col min="14876" max="14876" width="13" style="1103" bestFit="1" customWidth="1"/>
    <col min="14877" max="14877" width="6.85546875" style="1103" customWidth="1"/>
    <col min="14878" max="14878" width="14.28515625" style="1103" customWidth="1"/>
    <col min="14879" max="14879" width="14" style="1103" customWidth="1"/>
    <col min="14880" max="14880" width="17.85546875" style="1103" customWidth="1"/>
    <col min="14881" max="14881" width="3.5703125" style="1103" customWidth="1"/>
    <col min="14882" max="14882" width="13.28515625" style="1103" customWidth="1"/>
    <col min="14883" max="14883" width="5.85546875" style="1103" customWidth="1"/>
    <col min="14884" max="14884" width="23.28515625" style="1103" customWidth="1"/>
    <col min="14885" max="14885" width="17.140625" style="1103" customWidth="1"/>
    <col min="14886" max="14886" width="50.5703125" style="1103" customWidth="1"/>
    <col min="14887" max="14887" width="28.7109375" style="1103" customWidth="1"/>
    <col min="14888" max="14888" width="25.140625" style="1103" customWidth="1"/>
    <col min="14889" max="14889" width="36.7109375" style="1103" customWidth="1"/>
    <col min="14890" max="14891" width="24.5703125" style="1103" customWidth="1"/>
    <col min="14892" max="14892" width="17.85546875" style="1103" customWidth="1"/>
    <col min="14893" max="14893" width="27.5703125" style="1103" bestFit="1" customWidth="1"/>
    <col min="14894" max="14894" width="37.28515625" style="1103" customWidth="1"/>
    <col min="14895" max="14895" width="48.42578125" style="1103" customWidth="1"/>
    <col min="14896" max="14896" width="32" style="1103" customWidth="1"/>
    <col min="14897" max="14897" width="32.7109375" style="1103" customWidth="1"/>
    <col min="14898" max="14898" width="18.5703125" style="1103" customWidth="1"/>
    <col min="14899" max="14899" width="16.7109375" style="1103" customWidth="1"/>
    <col min="14900" max="14900" width="10.42578125" style="1103" customWidth="1"/>
    <col min="14901" max="14901" width="10.5703125" style="1103" customWidth="1"/>
    <col min="14902" max="14902" width="9.28515625" style="1103" customWidth="1"/>
    <col min="14903" max="14903" width="10.140625" style="1103" customWidth="1"/>
    <col min="14904" max="14904" width="8.42578125" style="1103" customWidth="1"/>
    <col min="14905" max="14905" width="9.5703125" style="1103" customWidth="1"/>
    <col min="14906" max="14906" width="9.28515625" style="1103" customWidth="1"/>
    <col min="14907" max="14907" width="8.85546875" style="1103" customWidth="1"/>
    <col min="14908" max="14910" width="8" style="1103" customWidth="1"/>
    <col min="14911" max="14911" width="8.7109375" style="1103" customWidth="1"/>
    <col min="14912" max="14912" width="8.140625" style="1103" customWidth="1"/>
    <col min="14913" max="14913" width="10.5703125" style="1103" customWidth="1"/>
    <col min="14914" max="14914" width="9.85546875" style="1103" customWidth="1"/>
    <col min="14915" max="14915" width="13.140625" style="1103" customWidth="1"/>
    <col min="14916" max="14916" width="25.42578125" style="1103" customWidth="1"/>
    <col min="14917" max="14917" width="30.85546875" style="1103" customWidth="1"/>
    <col min="14918" max="14918" width="27.42578125" style="1103" customWidth="1"/>
    <col min="14919" max="15131" width="11.42578125" style="1103"/>
    <col min="15132" max="15132" width="13" style="1103" bestFit="1" customWidth="1"/>
    <col min="15133" max="15133" width="6.85546875" style="1103" customWidth="1"/>
    <col min="15134" max="15134" width="14.28515625" style="1103" customWidth="1"/>
    <col min="15135" max="15135" width="14" style="1103" customWidth="1"/>
    <col min="15136" max="15136" width="17.85546875" style="1103" customWidth="1"/>
    <col min="15137" max="15137" width="3.5703125" style="1103" customWidth="1"/>
    <col min="15138" max="15138" width="13.28515625" style="1103" customWidth="1"/>
    <col min="15139" max="15139" width="5.85546875" style="1103" customWidth="1"/>
    <col min="15140" max="15140" width="23.28515625" style="1103" customWidth="1"/>
    <col min="15141" max="15141" width="17.140625" style="1103" customWidth="1"/>
    <col min="15142" max="15142" width="50.5703125" style="1103" customWidth="1"/>
    <col min="15143" max="15143" width="28.7109375" style="1103" customWidth="1"/>
    <col min="15144" max="15144" width="25.140625" style="1103" customWidth="1"/>
    <col min="15145" max="15145" width="36.7109375" style="1103" customWidth="1"/>
    <col min="15146" max="15147" width="24.5703125" style="1103" customWidth="1"/>
    <col min="15148" max="15148" width="17.85546875" style="1103" customWidth="1"/>
    <col min="15149" max="15149" width="27.5703125" style="1103" bestFit="1" customWidth="1"/>
    <col min="15150" max="15150" width="37.28515625" style="1103" customWidth="1"/>
    <col min="15151" max="15151" width="48.42578125" style="1103" customWidth="1"/>
    <col min="15152" max="15152" width="32" style="1103" customWidth="1"/>
    <col min="15153" max="15153" width="32.7109375" style="1103" customWidth="1"/>
    <col min="15154" max="15154" width="18.5703125" style="1103" customWidth="1"/>
    <col min="15155" max="15155" width="16.7109375" style="1103" customWidth="1"/>
    <col min="15156" max="15156" width="10.42578125" style="1103" customWidth="1"/>
    <col min="15157" max="15157" width="10.5703125" style="1103" customWidth="1"/>
    <col min="15158" max="15158" width="9.28515625" style="1103" customWidth="1"/>
    <col min="15159" max="15159" width="10.140625" style="1103" customWidth="1"/>
    <col min="15160" max="15160" width="8.42578125" style="1103" customWidth="1"/>
    <col min="15161" max="15161" width="9.5703125" style="1103" customWidth="1"/>
    <col min="15162" max="15162" width="9.28515625" style="1103" customWidth="1"/>
    <col min="15163" max="15163" width="8.85546875" style="1103" customWidth="1"/>
    <col min="15164" max="15166" width="8" style="1103" customWidth="1"/>
    <col min="15167" max="15167" width="8.7109375" style="1103" customWidth="1"/>
    <col min="15168" max="15168" width="8.140625" style="1103" customWidth="1"/>
    <col min="15169" max="15169" width="10.5703125" style="1103" customWidth="1"/>
    <col min="15170" max="15170" width="9.85546875" style="1103" customWidth="1"/>
    <col min="15171" max="15171" width="13.140625" style="1103" customWidth="1"/>
    <col min="15172" max="15172" width="25.42578125" style="1103" customWidth="1"/>
    <col min="15173" max="15173" width="30.85546875" style="1103" customWidth="1"/>
    <col min="15174" max="15174" width="27.42578125" style="1103" customWidth="1"/>
    <col min="15175" max="15387" width="11.42578125" style="1103"/>
    <col min="15388" max="15388" width="13" style="1103" bestFit="1" customWidth="1"/>
    <col min="15389" max="15389" width="6.85546875" style="1103" customWidth="1"/>
    <col min="15390" max="15390" width="14.28515625" style="1103" customWidth="1"/>
    <col min="15391" max="15391" width="14" style="1103" customWidth="1"/>
    <col min="15392" max="15392" width="17.85546875" style="1103" customWidth="1"/>
    <col min="15393" max="15393" width="3.5703125" style="1103" customWidth="1"/>
    <col min="15394" max="15394" width="13.28515625" style="1103" customWidth="1"/>
    <col min="15395" max="15395" width="5.85546875" style="1103" customWidth="1"/>
    <col min="15396" max="15396" width="23.28515625" style="1103" customWidth="1"/>
    <col min="15397" max="15397" width="17.140625" style="1103" customWidth="1"/>
    <col min="15398" max="15398" width="50.5703125" style="1103" customWidth="1"/>
    <col min="15399" max="15399" width="28.7109375" style="1103" customWidth="1"/>
    <col min="15400" max="15400" width="25.140625" style="1103" customWidth="1"/>
    <col min="15401" max="15401" width="36.7109375" style="1103" customWidth="1"/>
    <col min="15402" max="15403" width="24.5703125" style="1103" customWidth="1"/>
    <col min="15404" max="15404" width="17.85546875" style="1103" customWidth="1"/>
    <col min="15405" max="15405" width="27.5703125" style="1103" bestFit="1" customWidth="1"/>
    <col min="15406" max="15406" width="37.28515625" style="1103" customWidth="1"/>
    <col min="15407" max="15407" width="48.42578125" style="1103" customWidth="1"/>
    <col min="15408" max="15408" width="32" style="1103" customWidth="1"/>
    <col min="15409" max="15409" width="32.7109375" style="1103" customWidth="1"/>
    <col min="15410" max="15410" width="18.5703125" style="1103" customWidth="1"/>
    <col min="15411" max="15411" width="16.7109375" style="1103" customWidth="1"/>
    <col min="15412" max="15412" width="10.42578125" style="1103" customWidth="1"/>
    <col min="15413" max="15413" width="10.5703125" style="1103" customWidth="1"/>
    <col min="15414" max="15414" width="9.28515625" style="1103" customWidth="1"/>
    <col min="15415" max="15415" width="10.140625" style="1103" customWidth="1"/>
    <col min="15416" max="15416" width="8.42578125" style="1103" customWidth="1"/>
    <col min="15417" max="15417" width="9.5703125" style="1103" customWidth="1"/>
    <col min="15418" max="15418" width="9.28515625" style="1103" customWidth="1"/>
    <col min="15419" max="15419" width="8.85546875" style="1103" customWidth="1"/>
    <col min="15420" max="15422" width="8" style="1103" customWidth="1"/>
    <col min="15423" max="15423" width="8.7109375" style="1103" customWidth="1"/>
    <col min="15424" max="15424" width="8.140625" style="1103" customWidth="1"/>
    <col min="15425" max="15425" width="10.5703125" style="1103" customWidth="1"/>
    <col min="15426" max="15426" width="9.85546875" style="1103" customWidth="1"/>
    <col min="15427" max="15427" width="13.140625" style="1103" customWidth="1"/>
    <col min="15428" max="15428" width="25.42578125" style="1103" customWidth="1"/>
    <col min="15429" max="15429" width="30.85546875" style="1103" customWidth="1"/>
    <col min="15430" max="15430" width="27.42578125" style="1103" customWidth="1"/>
    <col min="15431" max="15643" width="11.42578125" style="1103"/>
    <col min="15644" max="15644" width="13" style="1103" bestFit="1" customWidth="1"/>
    <col min="15645" max="15645" width="6.85546875" style="1103" customWidth="1"/>
    <col min="15646" max="15646" width="14.28515625" style="1103" customWidth="1"/>
    <col min="15647" max="15647" width="14" style="1103" customWidth="1"/>
    <col min="15648" max="15648" width="17.85546875" style="1103" customWidth="1"/>
    <col min="15649" max="15649" width="3.5703125" style="1103" customWidth="1"/>
    <col min="15650" max="15650" width="13.28515625" style="1103" customWidth="1"/>
    <col min="15651" max="15651" width="5.85546875" style="1103" customWidth="1"/>
    <col min="15652" max="15652" width="23.28515625" style="1103" customWidth="1"/>
    <col min="15653" max="15653" width="17.140625" style="1103" customWidth="1"/>
    <col min="15654" max="15654" width="50.5703125" style="1103" customWidth="1"/>
    <col min="15655" max="15655" width="28.7109375" style="1103" customWidth="1"/>
    <col min="15656" max="15656" width="25.140625" style="1103" customWidth="1"/>
    <col min="15657" max="15657" width="36.7109375" style="1103" customWidth="1"/>
    <col min="15658" max="15659" width="24.5703125" style="1103" customWidth="1"/>
    <col min="15660" max="15660" width="17.85546875" style="1103" customWidth="1"/>
    <col min="15661" max="15661" width="27.5703125" style="1103" bestFit="1" customWidth="1"/>
    <col min="15662" max="15662" width="37.28515625" style="1103" customWidth="1"/>
    <col min="15663" max="15663" width="48.42578125" style="1103" customWidth="1"/>
    <col min="15664" max="15664" width="32" style="1103" customWidth="1"/>
    <col min="15665" max="15665" width="32.7109375" style="1103" customWidth="1"/>
    <col min="15666" max="15666" width="18.5703125" style="1103" customWidth="1"/>
    <col min="15667" max="15667" width="16.7109375" style="1103" customWidth="1"/>
    <col min="15668" max="15668" width="10.42578125" style="1103" customWidth="1"/>
    <col min="15669" max="15669" width="10.5703125" style="1103" customWidth="1"/>
    <col min="15670" max="15670" width="9.28515625" style="1103" customWidth="1"/>
    <col min="15671" max="15671" width="10.140625" style="1103" customWidth="1"/>
    <col min="15672" max="15672" width="8.42578125" style="1103" customWidth="1"/>
    <col min="15673" max="15673" width="9.5703125" style="1103" customWidth="1"/>
    <col min="15674" max="15674" width="9.28515625" style="1103" customWidth="1"/>
    <col min="15675" max="15675" width="8.85546875" style="1103" customWidth="1"/>
    <col min="15676" max="15678" width="8" style="1103" customWidth="1"/>
    <col min="15679" max="15679" width="8.7109375" style="1103" customWidth="1"/>
    <col min="15680" max="15680" width="8.140625" style="1103" customWidth="1"/>
    <col min="15681" max="15681" width="10.5703125" style="1103" customWidth="1"/>
    <col min="15682" max="15682" width="9.85546875" style="1103" customWidth="1"/>
    <col min="15683" max="15683" width="13.140625" style="1103" customWidth="1"/>
    <col min="15684" max="15684" width="25.42578125" style="1103" customWidth="1"/>
    <col min="15685" max="15685" width="30.85546875" style="1103" customWidth="1"/>
    <col min="15686" max="15686" width="27.42578125" style="1103" customWidth="1"/>
    <col min="15687" max="15899" width="11.42578125" style="1103"/>
    <col min="15900" max="15900" width="13" style="1103" bestFit="1" customWidth="1"/>
    <col min="15901" max="15901" width="6.85546875" style="1103" customWidth="1"/>
    <col min="15902" max="15902" width="14.28515625" style="1103" customWidth="1"/>
    <col min="15903" max="15903" width="14" style="1103" customWidth="1"/>
    <col min="15904" max="15904" width="17.85546875" style="1103" customWidth="1"/>
    <col min="15905" max="15905" width="3.5703125" style="1103" customWidth="1"/>
    <col min="15906" max="15906" width="13.28515625" style="1103" customWidth="1"/>
    <col min="15907" max="15907" width="5.85546875" style="1103" customWidth="1"/>
    <col min="15908" max="15908" width="23.28515625" style="1103" customWidth="1"/>
    <col min="15909" max="15909" width="17.140625" style="1103" customWidth="1"/>
    <col min="15910" max="15910" width="50.5703125" style="1103" customWidth="1"/>
    <col min="15911" max="15911" width="28.7109375" style="1103" customWidth="1"/>
    <col min="15912" max="15912" width="25.140625" style="1103" customWidth="1"/>
    <col min="15913" max="15913" width="36.7109375" style="1103" customWidth="1"/>
    <col min="15914" max="15915" width="24.5703125" style="1103" customWidth="1"/>
    <col min="15916" max="15916" width="17.85546875" style="1103" customWidth="1"/>
    <col min="15917" max="15917" width="27.5703125" style="1103" bestFit="1" customWidth="1"/>
    <col min="15918" max="15918" width="37.28515625" style="1103" customWidth="1"/>
    <col min="15919" max="15919" width="48.42578125" style="1103" customWidth="1"/>
    <col min="15920" max="15920" width="32" style="1103" customWidth="1"/>
    <col min="15921" max="15921" width="32.7109375" style="1103" customWidth="1"/>
    <col min="15922" max="15922" width="18.5703125" style="1103" customWidth="1"/>
    <col min="15923" max="15923" width="16.7109375" style="1103" customWidth="1"/>
    <col min="15924" max="15924" width="10.42578125" style="1103" customWidth="1"/>
    <col min="15925" max="15925" width="10.5703125" style="1103" customWidth="1"/>
    <col min="15926" max="15926" width="9.28515625" style="1103" customWidth="1"/>
    <col min="15927" max="15927" width="10.140625" style="1103" customWidth="1"/>
    <col min="15928" max="15928" width="8.42578125" style="1103" customWidth="1"/>
    <col min="15929" max="15929" width="9.5703125" style="1103" customWidth="1"/>
    <col min="15930" max="15930" width="9.28515625" style="1103" customWidth="1"/>
    <col min="15931" max="15931" width="8.85546875" style="1103" customWidth="1"/>
    <col min="15932" max="15934" width="8" style="1103" customWidth="1"/>
    <col min="15935" max="15935" width="8.7109375" style="1103" customWidth="1"/>
    <col min="15936" max="15936" width="8.140625" style="1103" customWidth="1"/>
    <col min="15937" max="15937" width="10.5703125" style="1103" customWidth="1"/>
    <col min="15938" max="15938" width="9.85546875" style="1103" customWidth="1"/>
    <col min="15939" max="15939" width="13.140625" style="1103" customWidth="1"/>
    <col min="15940" max="15940" width="25.42578125" style="1103" customWidth="1"/>
    <col min="15941" max="15941" width="30.85546875" style="1103" customWidth="1"/>
    <col min="15942" max="15942" width="27.42578125" style="1103" customWidth="1"/>
    <col min="15943" max="16155" width="11.42578125" style="1103"/>
    <col min="16156" max="16156" width="13" style="1103" bestFit="1" customWidth="1"/>
    <col min="16157" max="16157" width="6.85546875" style="1103" customWidth="1"/>
    <col min="16158" max="16158" width="14.28515625" style="1103" customWidth="1"/>
    <col min="16159" max="16159" width="14" style="1103" customWidth="1"/>
    <col min="16160" max="16160" width="17.85546875" style="1103" customWidth="1"/>
    <col min="16161" max="16161" width="3.5703125" style="1103" customWidth="1"/>
    <col min="16162" max="16162" width="13.28515625" style="1103" customWidth="1"/>
    <col min="16163" max="16163" width="5.85546875" style="1103" customWidth="1"/>
    <col min="16164" max="16164" width="23.28515625" style="1103" customWidth="1"/>
    <col min="16165" max="16165" width="17.140625" style="1103" customWidth="1"/>
    <col min="16166" max="16166" width="50.5703125" style="1103" customWidth="1"/>
    <col min="16167" max="16167" width="28.7109375" style="1103" customWidth="1"/>
    <col min="16168" max="16168" width="25.140625" style="1103" customWidth="1"/>
    <col min="16169" max="16169" width="36.7109375" style="1103" customWidth="1"/>
    <col min="16170" max="16171" width="24.5703125" style="1103" customWidth="1"/>
    <col min="16172" max="16172" width="17.85546875" style="1103" customWidth="1"/>
    <col min="16173" max="16173" width="27.5703125" style="1103" bestFit="1" customWidth="1"/>
    <col min="16174" max="16174" width="37.28515625" style="1103" customWidth="1"/>
    <col min="16175" max="16175" width="48.42578125" style="1103" customWidth="1"/>
    <col min="16176" max="16176" width="32" style="1103" customWidth="1"/>
    <col min="16177" max="16177" width="32.7109375" style="1103" customWidth="1"/>
    <col min="16178" max="16178" width="18.5703125" style="1103" customWidth="1"/>
    <col min="16179" max="16179" width="16.7109375" style="1103" customWidth="1"/>
    <col min="16180" max="16180" width="10.42578125" style="1103" customWidth="1"/>
    <col min="16181" max="16181" width="10.5703125" style="1103" customWidth="1"/>
    <col min="16182" max="16182" width="9.28515625" style="1103" customWidth="1"/>
    <col min="16183" max="16183" width="10.140625" style="1103" customWidth="1"/>
    <col min="16184" max="16184" width="8.42578125" style="1103" customWidth="1"/>
    <col min="16185" max="16185" width="9.5703125" style="1103" customWidth="1"/>
    <col min="16186" max="16186" width="9.28515625" style="1103" customWidth="1"/>
    <col min="16187" max="16187" width="8.85546875" style="1103" customWidth="1"/>
    <col min="16188" max="16190" width="8" style="1103" customWidth="1"/>
    <col min="16191" max="16191" width="8.7109375" style="1103" customWidth="1"/>
    <col min="16192" max="16192" width="8.140625" style="1103" customWidth="1"/>
    <col min="16193" max="16193" width="10.5703125" style="1103" customWidth="1"/>
    <col min="16194" max="16194" width="9.85546875" style="1103" customWidth="1"/>
    <col min="16195" max="16195" width="13.140625" style="1103" customWidth="1"/>
    <col min="16196" max="16196" width="25.42578125" style="1103" customWidth="1"/>
    <col min="16197" max="16197" width="30.85546875" style="1103" customWidth="1"/>
    <col min="16198" max="16198" width="27.42578125" style="1103" customWidth="1"/>
    <col min="16199" max="16384" width="11.42578125" style="1103"/>
  </cols>
  <sheetData>
    <row r="1" spans="1:281" ht="18" x14ac:dyDescent="0.25">
      <c r="A1" s="3048" t="s">
        <v>1025</v>
      </c>
      <c r="B1" s="3049"/>
      <c r="C1" s="3049"/>
      <c r="D1" s="3049"/>
      <c r="E1" s="3049"/>
      <c r="F1" s="3049"/>
      <c r="G1" s="3049"/>
      <c r="H1" s="3049"/>
      <c r="I1" s="3049"/>
      <c r="J1" s="3049"/>
      <c r="K1" s="3049"/>
      <c r="L1" s="3049"/>
      <c r="M1" s="3049"/>
      <c r="N1" s="3049"/>
      <c r="O1" s="3049"/>
      <c r="P1" s="3049"/>
      <c r="Q1" s="3049"/>
      <c r="R1" s="3049"/>
      <c r="S1" s="3049"/>
      <c r="T1" s="3049"/>
      <c r="U1" s="3049"/>
      <c r="V1" s="3049"/>
      <c r="W1" s="3049"/>
      <c r="X1" s="3049"/>
      <c r="Y1" s="3049"/>
      <c r="Z1" s="3049"/>
      <c r="AA1" s="3049"/>
      <c r="AB1" s="3049"/>
      <c r="AC1" s="3049"/>
      <c r="AD1" s="3049"/>
      <c r="AE1" s="3049"/>
      <c r="AF1" s="3049"/>
      <c r="AG1" s="3049"/>
      <c r="AH1" s="3049"/>
      <c r="AI1" s="3049"/>
      <c r="AJ1" s="3049"/>
      <c r="AK1" s="3049"/>
      <c r="AL1" s="3049"/>
      <c r="AM1" s="3049"/>
      <c r="AN1" s="3049"/>
      <c r="AO1" s="3049"/>
      <c r="AP1" s="3049"/>
      <c r="AQ1" s="3049"/>
      <c r="AR1" s="3049"/>
      <c r="AS1" s="3049"/>
      <c r="AT1" s="3049"/>
      <c r="AU1" s="3049"/>
      <c r="AV1" s="3049"/>
      <c r="AW1" s="3049"/>
      <c r="AX1" s="3049"/>
      <c r="AY1" s="3049"/>
      <c r="AZ1" s="3049"/>
      <c r="BA1" s="3049"/>
      <c r="BB1" s="3049"/>
      <c r="BC1" s="3049"/>
      <c r="BD1" s="3049"/>
      <c r="BE1" s="3049"/>
      <c r="BF1" s="3049"/>
      <c r="BG1" s="3049"/>
      <c r="BH1" s="3049"/>
      <c r="BI1" s="3049"/>
      <c r="BJ1" s="3049"/>
      <c r="BK1" s="3049"/>
      <c r="BL1" s="3049"/>
      <c r="BM1" s="3049"/>
      <c r="BN1" s="3049"/>
      <c r="BO1" s="1099"/>
      <c r="BQ1" s="1101" t="s">
        <v>1</v>
      </c>
      <c r="BR1" s="1102" t="s">
        <v>2</v>
      </c>
      <c r="BS1" s="579"/>
      <c r="BT1" s="579"/>
      <c r="BW1" s="579"/>
      <c r="BX1" s="579"/>
      <c r="BY1" s="579"/>
      <c r="BZ1" s="579"/>
      <c r="CA1" s="579"/>
      <c r="CB1" s="579"/>
      <c r="CC1" s="579"/>
      <c r="CD1" s="579"/>
      <c r="CE1" s="579"/>
      <c r="CF1" s="579"/>
      <c r="CG1" s="579"/>
      <c r="CH1" s="579"/>
      <c r="CI1" s="579"/>
      <c r="CJ1" s="579"/>
      <c r="CK1" s="579"/>
      <c r="CL1" s="579"/>
    </row>
    <row r="2" spans="1:281" ht="18" x14ac:dyDescent="0.25">
      <c r="A2" s="3050"/>
      <c r="B2" s="3051"/>
      <c r="C2" s="3051"/>
      <c r="D2" s="3051"/>
      <c r="E2" s="3051"/>
      <c r="F2" s="3051"/>
      <c r="G2" s="3051"/>
      <c r="H2" s="3051"/>
      <c r="I2" s="3051"/>
      <c r="J2" s="3051"/>
      <c r="K2" s="3051"/>
      <c r="L2" s="3051"/>
      <c r="M2" s="3051"/>
      <c r="N2" s="3051"/>
      <c r="O2" s="3051"/>
      <c r="P2" s="3051"/>
      <c r="Q2" s="3051"/>
      <c r="R2" s="3051"/>
      <c r="S2" s="3051"/>
      <c r="T2" s="3051"/>
      <c r="U2" s="3051"/>
      <c r="V2" s="3051"/>
      <c r="W2" s="3051"/>
      <c r="X2" s="3051"/>
      <c r="Y2" s="3051"/>
      <c r="Z2" s="3051"/>
      <c r="AA2" s="3051"/>
      <c r="AB2" s="3051"/>
      <c r="AC2" s="3051"/>
      <c r="AD2" s="3051"/>
      <c r="AE2" s="3051"/>
      <c r="AF2" s="3051"/>
      <c r="AG2" s="3051"/>
      <c r="AH2" s="3051"/>
      <c r="AI2" s="3051"/>
      <c r="AJ2" s="3051"/>
      <c r="AK2" s="3051"/>
      <c r="AL2" s="3051"/>
      <c r="AM2" s="3051"/>
      <c r="AN2" s="3051"/>
      <c r="AO2" s="3051"/>
      <c r="AP2" s="3051"/>
      <c r="AQ2" s="3051"/>
      <c r="AR2" s="3051"/>
      <c r="AS2" s="3051"/>
      <c r="AT2" s="3051"/>
      <c r="AU2" s="3051"/>
      <c r="AV2" s="3051"/>
      <c r="AW2" s="3051"/>
      <c r="AX2" s="3051"/>
      <c r="AY2" s="3051"/>
      <c r="AZ2" s="3051"/>
      <c r="BA2" s="3051"/>
      <c r="BB2" s="3051"/>
      <c r="BC2" s="3051"/>
      <c r="BD2" s="3051"/>
      <c r="BE2" s="3051"/>
      <c r="BF2" s="3051"/>
      <c r="BG2" s="3051"/>
      <c r="BH2" s="3051"/>
      <c r="BI2" s="3051"/>
      <c r="BJ2" s="3051"/>
      <c r="BK2" s="3051"/>
      <c r="BL2" s="3051"/>
      <c r="BM2" s="3051"/>
      <c r="BN2" s="3051"/>
      <c r="BO2" s="1104"/>
      <c r="BQ2" s="1105" t="s">
        <v>3</v>
      </c>
      <c r="BR2" s="1106" t="s">
        <v>127</v>
      </c>
      <c r="BS2" s="579"/>
      <c r="BT2" s="579"/>
      <c r="BW2" s="579"/>
      <c r="BX2" s="579"/>
      <c r="BY2" s="579"/>
      <c r="BZ2" s="579"/>
      <c r="CA2" s="579"/>
      <c r="CB2" s="579"/>
      <c r="CC2" s="579"/>
      <c r="CD2" s="579"/>
      <c r="CE2" s="579"/>
      <c r="CF2" s="579"/>
      <c r="CG2" s="579"/>
      <c r="CH2" s="579"/>
      <c r="CI2" s="579"/>
      <c r="CJ2" s="579"/>
      <c r="CK2" s="579"/>
      <c r="CL2" s="579"/>
    </row>
    <row r="3" spans="1:281" ht="18" x14ac:dyDescent="0.25">
      <c r="A3" s="3050"/>
      <c r="B3" s="3051"/>
      <c r="C3" s="3051"/>
      <c r="D3" s="3051"/>
      <c r="E3" s="3051"/>
      <c r="F3" s="3051"/>
      <c r="G3" s="3051"/>
      <c r="H3" s="3051"/>
      <c r="I3" s="3051"/>
      <c r="J3" s="3051"/>
      <c r="K3" s="3051"/>
      <c r="L3" s="3051"/>
      <c r="M3" s="3051"/>
      <c r="N3" s="3051"/>
      <c r="O3" s="3051"/>
      <c r="P3" s="3051"/>
      <c r="Q3" s="3051"/>
      <c r="R3" s="3051"/>
      <c r="S3" s="3051"/>
      <c r="T3" s="3051"/>
      <c r="U3" s="3051"/>
      <c r="V3" s="3051"/>
      <c r="W3" s="3051"/>
      <c r="X3" s="3051"/>
      <c r="Y3" s="3051"/>
      <c r="Z3" s="3051"/>
      <c r="AA3" s="3051"/>
      <c r="AB3" s="3051"/>
      <c r="AC3" s="3051"/>
      <c r="AD3" s="3051"/>
      <c r="AE3" s="3051"/>
      <c r="AF3" s="3051"/>
      <c r="AG3" s="3051"/>
      <c r="AH3" s="3051"/>
      <c r="AI3" s="3051"/>
      <c r="AJ3" s="3051"/>
      <c r="AK3" s="3051"/>
      <c r="AL3" s="3051"/>
      <c r="AM3" s="3051"/>
      <c r="AN3" s="3051"/>
      <c r="AO3" s="3051"/>
      <c r="AP3" s="3051"/>
      <c r="AQ3" s="3051"/>
      <c r="AR3" s="3051"/>
      <c r="AS3" s="3051"/>
      <c r="AT3" s="3051"/>
      <c r="AU3" s="3051"/>
      <c r="AV3" s="3051"/>
      <c r="AW3" s="3051"/>
      <c r="AX3" s="3051"/>
      <c r="AY3" s="3051"/>
      <c r="AZ3" s="3051"/>
      <c r="BA3" s="3051"/>
      <c r="BB3" s="3051"/>
      <c r="BC3" s="3051"/>
      <c r="BD3" s="3051"/>
      <c r="BE3" s="3051"/>
      <c r="BF3" s="3051"/>
      <c r="BG3" s="3051"/>
      <c r="BH3" s="3051"/>
      <c r="BI3" s="3051"/>
      <c r="BJ3" s="3051"/>
      <c r="BK3" s="3051"/>
      <c r="BL3" s="3051"/>
      <c r="BM3" s="3051"/>
      <c r="BN3" s="3051"/>
      <c r="BO3" s="1104"/>
      <c r="BQ3" s="1107" t="s">
        <v>4</v>
      </c>
      <c r="BR3" s="1108" t="s">
        <v>5</v>
      </c>
      <c r="BS3" s="579"/>
      <c r="BT3" s="579"/>
      <c r="BW3" s="579"/>
      <c r="BX3" s="579"/>
      <c r="BY3" s="579"/>
      <c r="BZ3" s="579"/>
      <c r="CA3" s="579"/>
      <c r="CB3" s="579"/>
      <c r="CC3" s="579"/>
      <c r="CD3" s="579"/>
      <c r="CE3" s="579"/>
      <c r="CF3" s="579"/>
      <c r="CG3" s="579"/>
      <c r="CH3" s="579"/>
      <c r="CI3" s="579"/>
      <c r="CJ3" s="579"/>
      <c r="CK3" s="579"/>
      <c r="CL3" s="579"/>
    </row>
    <row r="4" spans="1:281" ht="18" x14ac:dyDescent="0.25">
      <c r="A4" s="3052"/>
      <c r="B4" s="3053"/>
      <c r="C4" s="3053"/>
      <c r="D4" s="3053"/>
      <c r="E4" s="3053"/>
      <c r="F4" s="3053"/>
      <c r="G4" s="3053"/>
      <c r="H4" s="3053"/>
      <c r="I4" s="3053"/>
      <c r="J4" s="3053"/>
      <c r="K4" s="3053"/>
      <c r="L4" s="3053"/>
      <c r="M4" s="3053"/>
      <c r="N4" s="3053"/>
      <c r="O4" s="3053"/>
      <c r="P4" s="3053"/>
      <c r="Q4" s="3053"/>
      <c r="R4" s="3053"/>
      <c r="S4" s="3053"/>
      <c r="T4" s="3053"/>
      <c r="U4" s="3053"/>
      <c r="V4" s="3053"/>
      <c r="W4" s="3053"/>
      <c r="X4" s="3053"/>
      <c r="Y4" s="3053"/>
      <c r="Z4" s="3053"/>
      <c r="AA4" s="3053"/>
      <c r="AB4" s="3053"/>
      <c r="AC4" s="3053"/>
      <c r="AD4" s="3053"/>
      <c r="AE4" s="3053"/>
      <c r="AF4" s="3053"/>
      <c r="AG4" s="3053"/>
      <c r="AH4" s="3053"/>
      <c r="AI4" s="3053"/>
      <c r="AJ4" s="3053"/>
      <c r="AK4" s="3053"/>
      <c r="AL4" s="3053"/>
      <c r="AM4" s="3053"/>
      <c r="AN4" s="3053"/>
      <c r="AO4" s="3053"/>
      <c r="AP4" s="3053"/>
      <c r="AQ4" s="3053"/>
      <c r="AR4" s="3053"/>
      <c r="AS4" s="3053"/>
      <c r="AT4" s="3053"/>
      <c r="AU4" s="3053"/>
      <c r="AV4" s="3053"/>
      <c r="AW4" s="3053"/>
      <c r="AX4" s="3053"/>
      <c r="AY4" s="3053"/>
      <c r="AZ4" s="3053"/>
      <c r="BA4" s="3053"/>
      <c r="BB4" s="3053"/>
      <c r="BC4" s="3053"/>
      <c r="BD4" s="3053"/>
      <c r="BE4" s="3053"/>
      <c r="BF4" s="3053"/>
      <c r="BG4" s="3053"/>
      <c r="BH4" s="3053"/>
      <c r="BI4" s="3053"/>
      <c r="BJ4" s="3053"/>
      <c r="BK4" s="3053"/>
      <c r="BL4" s="3053"/>
      <c r="BM4" s="3053"/>
      <c r="BN4" s="3053"/>
      <c r="BO4" s="1109"/>
      <c r="BQ4" s="1107" t="s">
        <v>6</v>
      </c>
      <c r="BR4" s="1110" t="s">
        <v>128</v>
      </c>
      <c r="BS4" s="579"/>
      <c r="BT4" s="579"/>
      <c r="BW4" s="579"/>
      <c r="BX4" s="579"/>
      <c r="BY4" s="579"/>
      <c r="BZ4" s="579"/>
      <c r="CA4" s="579"/>
      <c r="CB4" s="579"/>
      <c r="CC4" s="579"/>
      <c r="CD4" s="579"/>
      <c r="CE4" s="579"/>
      <c r="CF4" s="579"/>
      <c r="CG4" s="579"/>
      <c r="CH4" s="579"/>
      <c r="CI4" s="579"/>
      <c r="CJ4" s="579"/>
      <c r="CK4" s="579"/>
      <c r="CL4" s="579"/>
    </row>
    <row r="5" spans="1:281" ht="19.5" customHeight="1" x14ac:dyDescent="0.25">
      <c r="A5" s="3054" t="s">
        <v>8</v>
      </c>
      <c r="B5" s="3055"/>
      <c r="C5" s="3055"/>
      <c r="D5" s="3055"/>
      <c r="E5" s="3055"/>
      <c r="F5" s="3055"/>
      <c r="G5" s="3055"/>
      <c r="H5" s="3055"/>
      <c r="I5" s="3055"/>
      <c r="J5" s="3055"/>
      <c r="K5" s="3055"/>
      <c r="L5" s="3055"/>
      <c r="M5" s="3055"/>
      <c r="N5" s="1111"/>
      <c r="O5" s="3058" t="s">
        <v>1026</v>
      </c>
      <c r="P5" s="3058"/>
      <c r="Q5" s="3058"/>
      <c r="R5" s="3058"/>
      <c r="S5" s="3058"/>
      <c r="T5" s="3058"/>
      <c r="U5" s="3058"/>
      <c r="V5" s="3058"/>
      <c r="W5" s="3058"/>
      <c r="X5" s="3058"/>
      <c r="Y5" s="3058"/>
      <c r="Z5" s="3058"/>
      <c r="AA5" s="3058"/>
      <c r="AB5" s="3058"/>
      <c r="AC5" s="3058"/>
      <c r="AD5" s="3058"/>
      <c r="AE5" s="3058"/>
      <c r="AF5" s="3058"/>
      <c r="AG5" s="3058"/>
      <c r="AH5" s="3058"/>
      <c r="AI5" s="3058"/>
      <c r="AJ5" s="3058"/>
      <c r="AK5" s="3058"/>
      <c r="AL5" s="3058"/>
      <c r="AM5" s="3058"/>
      <c r="AN5" s="3058"/>
      <c r="AO5" s="3058"/>
      <c r="AP5" s="3058"/>
      <c r="AQ5" s="3058"/>
      <c r="AR5" s="3058"/>
      <c r="AS5" s="3058"/>
      <c r="AT5" s="3058"/>
      <c r="AU5" s="3058"/>
      <c r="AV5" s="3058"/>
      <c r="AW5" s="3058"/>
      <c r="AX5" s="3058"/>
      <c r="AY5" s="3058"/>
      <c r="AZ5" s="3058"/>
      <c r="BA5" s="3058"/>
      <c r="BB5" s="3058"/>
      <c r="BC5" s="3058"/>
      <c r="BD5" s="3058"/>
      <c r="BE5" s="3058"/>
      <c r="BF5" s="3058"/>
      <c r="BG5" s="3058"/>
      <c r="BH5" s="3058"/>
      <c r="BI5" s="3058"/>
      <c r="BJ5" s="3058"/>
      <c r="BK5" s="3058"/>
      <c r="BL5" s="3058"/>
      <c r="BM5" s="3058"/>
      <c r="BN5" s="3058"/>
      <c r="BO5" s="3058"/>
      <c r="BP5" s="3058"/>
      <c r="BQ5" s="3059"/>
      <c r="BR5" s="3060"/>
      <c r="BS5" s="579"/>
      <c r="BT5" s="579"/>
      <c r="BU5" s="579"/>
      <c r="BV5" s="579"/>
      <c r="BW5" s="579"/>
      <c r="BX5" s="579"/>
      <c r="BY5" s="579"/>
      <c r="BZ5" s="579"/>
      <c r="CA5" s="579"/>
      <c r="CB5" s="579"/>
      <c r="CC5" s="579"/>
      <c r="CD5" s="579"/>
      <c r="CE5" s="579"/>
      <c r="CF5" s="579"/>
      <c r="CG5" s="579"/>
      <c r="CH5" s="579"/>
      <c r="CI5" s="579"/>
      <c r="CJ5" s="579"/>
      <c r="CK5" s="579"/>
      <c r="CL5" s="579"/>
    </row>
    <row r="6" spans="1:281" ht="16.5" thickBot="1" x14ac:dyDescent="0.3">
      <c r="A6" s="3056"/>
      <c r="B6" s="3057"/>
      <c r="C6" s="3057"/>
      <c r="D6" s="3057"/>
      <c r="E6" s="3057"/>
      <c r="F6" s="3057"/>
      <c r="G6" s="3057"/>
      <c r="H6" s="3057"/>
      <c r="I6" s="3057"/>
      <c r="J6" s="3057"/>
      <c r="K6" s="3057"/>
      <c r="L6" s="3057"/>
      <c r="M6" s="3057"/>
      <c r="N6" s="1112"/>
      <c r="O6" s="1113"/>
      <c r="P6" s="1114"/>
      <c r="Q6" s="1114"/>
      <c r="R6" s="1112"/>
      <c r="S6" s="1115"/>
      <c r="T6" s="1114"/>
      <c r="U6" s="1114"/>
      <c r="V6" s="1114"/>
      <c r="W6" s="1116"/>
      <c r="X6" s="1116"/>
      <c r="Y6" s="1116"/>
      <c r="Z6" s="1112"/>
      <c r="AA6" s="1114"/>
      <c r="AB6" s="3061" t="s">
        <v>129</v>
      </c>
      <c r="AC6" s="3057"/>
      <c r="AD6" s="3057"/>
      <c r="AE6" s="3057"/>
      <c r="AF6" s="3057"/>
      <c r="AG6" s="3057"/>
      <c r="AH6" s="3057"/>
      <c r="AI6" s="3057"/>
      <c r="AJ6" s="3057"/>
      <c r="AK6" s="3057"/>
      <c r="AL6" s="3057"/>
      <c r="AM6" s="3057"/>
      <c r="AN6" s="3057"/>
      <c r="AO6" s="3057"/>
      <c r="AP6" s="3057"/>
      <c r="AQ6" s="3057"/>
      <c r="AR6" s="3057"/>
      <c r="AS6" s="3057"/>
      <c r="AT6" s="3057"/>
      <c r="AU6" s="3057"/>
      <c r="AV6" s="3057"/>
      <c r="AW6" s="3057"/>
      <c r="AX6" s="3057"/>
      <c r="AY6" s="3057"/>
      <c r="AZ6" s="3057"/>
      <c r="BA6" s="3057"/>
      <c r="BB6" s="3057"/>
      <c r="BC6" s="3057"/>
      <c r="BD6" s="3062"/>
      <c r="BE6" s="1112"/>
      <c r="BF6" s="1112"/>
      <c r="BG6" s="1117"/>
      <c r="BH6" s="1117"/>
      <c r="BI6" s="1117"/>
      <c r="BJ6" s="1117"/>
      <c r="BK6" s="1117"/>
      <c r="BL6" s="1117"/>
      <c r="BM6" s="1117"/>
      <c r="BN6" s="1118"/>
      <c r="BO6" s="1118"/>
      <c r="BP6" s="1118"/>
      <c r="BQ6" s="1118"/>
      <c r="BR6" s="1119"/>
      <c r="BS6" s="579"/>
      <c r="BT6" s="579"/>
      <c r="BU6" s="579"/>
      <c r="BV6" s="579"/>
      <c r="BW6" s="579"/>
      <c r="BX6" s="579"/>
      <c r="BY6" s="579"/>
      <c r="BZ6" s="579"/>
      <c r="CA6" s="579"/>
      <c r="CB6" s="579"/>
      <c r="CC6" s="579"/>
      <c r="CD6" s="579"/>
      <c r="CE6" s="579"/>
      <c r="CF6" s="579"/>
      <c r="CG6" s="579"/>
      <c r="CH6" s="579"/>
      <c r="CI6" s="579"/>
      <c r="CJ6" s="579"/>
      <c r="CK6" s="579"/>
      <c r="CL6" s="579"/>
    </row>
    <row r="7" spans="1:281" ht="45" customHeight="1" x14ac:dyDescent="0.25">
      <c r="A7" s="3063" t="s">
        <v>10</v>
      </c>
      <c r="B7" s="3064" t="s">
        <v>11</v>
      </c>
      <c r="C7" s="3064"/>
      <c r="D7" s="3064" t="s">
        <v>10</v>
      </c>
      <c r="E7" s="3064" t="s">
        <v>12</v>
      </c>
      <c r="F7" s="3064"/>
      <c r="G7" s="3064" t="s">
        <v>10</v>
      </c>
      <c r="H7" s="3064" t="s">
        <v>13</v>
      </c>
      <c r="I7" s="3064"/>
      <c r="J7" s="3064" t="s">
        <v>10</v>
      </c>
      <c r="K7" s="3064" t="s">
        <v>14</v>
      </c>
      <c r="L7" s="3064" t="s">
        <v>15</v>
      </c>
      <c r="M7" s="3064" t="s">
        <v>16</v>
      </c>
      <c r="N7" s="3064"/>
      <c r="O7" s="3064" t="s">
        <v>17</v>
      </c>
      <c r="P7" s="3064" t="s">
        <v>130</v>
      </c>
      <c r="Q7" s="3064" t="s">
        <v>9</v>
      </c>
      <c r="R7" s="3065" t="s">
        <v>19</v>
      </c>
      <c r="S7" s="3066" t="s">
        <v>20</v>
      </c>
      <c r="T7" s="3064" t="s">
        <v>21</v>
      </c>
      <c r="U7" s="3064" t="s">
        <v>22</v>
      </c>
      <c r="V7" s="3064" t="s">
        <v>23</v>
      </c>
      <c r="W7" s="3071" t="s">
        <v>20</v>
      </c>
      <c r="X7" s="3071"/>
      <c r="Y7" s="3071"/>
      <c r="Z7" s="1120"/>
      <c r="AA7" s="3064" t="s">
        <v>24</v>
      </c>
      <c r="AB7" s="2810" t="s">
        <v>25</v>
      </c>
      <c r="AC7" s="2811"/>
      <c r="AD7" s="2811"/>
      <c r="AE7" s="1121"/>
      <c r="AF7" s="2812" t="s">
        <v>26</v>
      </c>
      <c r="AG7" s="2813"/>
      <c r="AH7" s="2813"/>
      <c r="AI7" s="2813"/>
      <c r="AJ7" s="2813"/>
      <c r="AK7" s="2813"/>
      <c r="AL7" s="2813"/>
      <c r="AM7" s="1122"/>
      <c r="AN7" s="2814" t="s">
        <v>27</v>
      </c>
      <c r="AO7" s="2815"/>
      <c r="AP7" s="2815"/>
      <c r="AQ7" s="2815"/>
      <c r="AR7" s="2815"/>
      <c r="AS7" s="2815"/>
      <c r="AT7" s="2815"/>
      <c r="AU7" s="2815"/>
      <c r="AV7" s="2815"/>
      <c r="AW7" s="2815"/>
      <c r="AX7" s="2815"/>
      <c r="AY7" s="1123"/>
      <c r="AZ7" s="2812" t="s">
        <v>28</v>
      </c>
      <c r="BA7" s="2813"/>
      <c r="BB7" s="2813"/>
      <c r="BC7" s="2813"/>
      <c r="BD7" s="2813"/>
      <c r="BE7" s="1124"/>
      <c r="BF7" s="3072" t="s">
        <v>29</v>
      </c>
      <c r="BG7" s="3073"/>
      <c r="BH7" s="2711" t="s">
        <v>30</v>
      </c>
      <c r="BI7" s="2712"/>
      <c r="BJ7" s="2712"/>
      <c r="BK7" s="2712"/>
      <c r="BL7" s="2712"/>
      <c r="BM7" s="2713"/>
      <c r="BN7" s="3067" t="s">
        <v>31</v>
      </c>
      <c r="BO7" s="3067"/>
      <c r="BP7" s="3067" t="s">
        <v>32</v>
      </c>
      <c r="BQ7" s="3067"/>
      <c r="BR7" s="3068" t="s">
        <v>33</v>
      </c>
      <c r="BS7" s="579"/>
      <c r="BT7" s="579"/>
      <c r="BU7" s="579"/>
      <c r="BV7" s="579"/>
      <c r="BW7" s="579"/>
      <c r="BX7" s="579"/>
      <c r="BY7" s="579"/>
      <c r="BZ7" s="579"/>
      <c r="CA7" s="579"/>
      <c r="CB7" s="579"/>
      <c r="CC7" s="579"/>
      <c r="CD7" s="579"/>
      <c r="CE7" s="579"/>
      <c r="CF7" s="579"/>
      <c r="CG7" s="579"/>
      <c r="CH7" s="579"/>
      <c r="CI7" s="579"/>
      <c r="CJ7" s="579"/>
      <c r="CK7" s="579"/>
      <c r="CL7" s="579"/>
    </row>
    <row r="8" spans="1:281" s="1128" customFormat="1" ht="131.25" customHeight="1" x14ac:dyDescent="0.2">
      <c r="A8" s="3063"/>
      <c r="B8" s="3064"/>
      <c r="C8" s="3064"/>
      <c r="D8" s="3064"/>
      <c r="E8" s="3064"/>
      <c r="F8" s="3064"/>
      <c r="G8" s="3064"/>
      <c r="H8" s="3064"/>
      <c r="I8" s="3064"/>
      <c r="J8" s="3064"/>
      <c r="K8" s="3064"/>
      <c r="L8" s="3064"/>
      <c r="M8" s="580" t="s">
        <v>55</v>
      </c>
      <c r="N8" s="580" t="s">
        <v>56</v>
      </c>
      <c r="O8" s="3064"/>
      <c r="P8" s="3064"/>
      <c r="Q8" s="3064"/>
      <c r="R8" s="3065"/>
      <c r="S8" s="3066"/>
      <c r="T8" s="3064"/>
      <c r="U8" s="3064"/>
      <c r="V8" s="3064"/>
      <c r="W8" s="14" t="s">
        <v>57</v>
      </c>
      <c r="X8" s="14" t="s">
        <v>58</v>
      </c>
      <c r="Y8" s="14" t="s">
        <v>59</v>
      </c>
      <c r="Z8" s="1125" t="s">
        <v>10</v>
      </c>
      <c r="AA8" s="3064"/>
      <c r="AB8" s="3069" t="s">
        <v>34</v>
      </c>
      <c r="AC8" s="3070"/>
      <c r="AD8" s="3069" t="s">
        <v>35</v>
      </c>
      <c r="AE8" s="3070"/>
      <c r="AF8" s="3069" t="s">
        <v>36</v>
      </c>
      <c r="AG8" s="3070"/>
      <c r="AH8" s="3069" t="s">
        <v>37</v>
      </c>
      <c r="AI8" s="3070"/>
      <c r="AJ8" s="3069" t="s">
        <v>131</v>
      </c>
      <c r="AK8" s="3070"/>
      <c r="AL8" s="3069" t="s">
        <v>39</v>
      </c>
      <c r="AM8" s="3070"/>
      <c r="AN8" s="3069" t="s">
        <v>40</v>
      </c>
      <c r="AO8" s="3070"/>
      <c r="AP8" s="3069" t="s">
        <v>41</v>
      </c>
      <c r="AQ8" s="3070"/>
      <c r="AR8" s="3069" t="s">
        <v>42</v>
      </c>
      <c r="AS8" s="3070"/>
      <c r="AT8" s="3069" t="s">
        <v>43</v>
      </c>
      <c r="AU8" s="3070"/>
      <c r="AV8" s="3069" t="s">
        <v>44</v>
      </c>
      <c r="AW8" s="3070"/>
      <c r="AX8" s="3069" t="s">
        <v>45</v>
      </c>
      <c r="AY8" s="3070"/>
      <c r="AZ8" s="3069" t="s">
        <v>46</v>
      </c>
      <c r="BA8" s="3070"/>
      <c r="BB8" s="3069" t="s">
        <v>47</v>
      </c>
      <c r="BC8" s="3070"/>
      <c r="BD8" s="3069" t="s">
        <v>48</v>
      </c>
      <c r="BE8" s="3070"/>
      <c r="BF8" s="3074"/>
      <c r="BG8" s="3075"/>
      <c r="BH8" s="2719" t="s">
        <v>49</v>
      </c>
      <c r="BI8" s="2734" t="s">
        <v>50</v>
      </c>
      <c r="BJ8" s="2719" t="s">
        <v>51</v>
      </c>
      <c r="BK8" s="2735" t="s">
        <v>52</v>
      </c>
      <c r="BL8" s="2719" t="s">
        <v>53</v>
      </c>
      <c r="BM8" s="2720" t="s">
        <v>54</v>
      </c>
      <c r="BN8" s="1126" t="s">
        <v>55</v>
      </c>
      <c r="BO8" s="1126" t="s">
        <v>56</v>
      </c>
      <c r="BP8" s="1126" t="s">
        <v>55</v>
      </c>
      <c r="BQ8" s="1126" t="s">
        <v>56</v>
      </c>
      <c r="BR8" s="3068"/>
      <c r="BS8" s="1127"/>
      <c r="BT8" s="1127"/>
      <c r="BU8" s="1127"/>
      <c r="BV8" s="1127"/>
      <c r="BW8" s="1127"/>
      <c r="BX8" s="1127"/>
      <c r="BY8" s="1127"/>
      <c r="BZ8" s="1127"/>
      <c r="CA8" s="1127"/>
      <c r="CB8" s="1127"/>
      <c r="CC8" s="1127"/>
      <c r="CD8" s="1127"/>
      <c r="CE8" s="1127"/>
      <c r="CF8" s="1127"/>
      <c r="CG8" s="1127"/>
      <c r="CH8" s="1127"/>
      <c r="CI8" s="1127"/>
      <c r="CJ8" s="1127"/>
      <c r="CK8" s="1127"/>
      <c r="CL8" s="1127"/>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IX8" s="16"/>
      <c r="IY8" s="16"/>
      <c r="IZ8" s="16"/>
      <c r="JA8" s="16"/>
      <c r="JB8" s="16"/>
      <c r="JC8" s="16"/>
      <c r="JD8" s="16"/>
      <c r="JE8" s="16"/>
      <c r="JF8" s="16"/>
      <c r="JG8" s="16"/>
      <c r="JH8" s="16"/>
      <c r="JI8" s="16"/>
      <c r="JJ8" s="16"/>
      <c r="JK8" s="16"/>
      <c r="JL8" s="16"/>
      <c r="JM8" s="16"/>
      <c r="JN8" s="16"/>
      <c r="JO8" s="16"/>
      <c r="JP8" s="16"/>
      <c r="JQ8" s="16"/>
      <c r="JR8" s="16"/>
      <c r="JS8" s="16"/>
      <c r="JT8" s="16"/>
      <c r="JU8" s="16"/>
    </row>
    <row r="9" spans="1:281" s="1128" customFormat="1" ht="26.25" customHeight="1" x14ac:dyDescent="0.2">
      <c r="A9" s="1120"/>
      <c r="B9" s="580"/>
      <c r="C9" s="580"/>
      <c r="D9" s="580"/>
      <c r="E9" s="580"/>
      <c r="F9" s="580"/>
      <c r="G9" s="580"/>
      <c r="H9" s="580"/>
      <c r="I9" s="580"/>
      <c r="J9" s="580"/>
      <c r="K9" s="580"/>
      <c r="L9" s="580"/>
      <c r="M9" s="580"/>
      <c r="N9" s="580"/>
      <c r="O9" s="1129"/>
      <c r="P9" s="1129"/>
      <c r="Q9" s="1129"/>
      <c r="R9" s="1130"/>
      <c r="S9" s="1131"/>
      <c r="T9" s="1129"/>
      <c r="U9" s="1129"/>
      <c r="V9" s="1129"/>
      <c r="W9" s="1132"/>
      <c r="X9" s="1132"/>
      <c r="Y9" s="1132"/>
      <c r="Z9" s="1133"/>
      <c r="AA9" s="1129"/>
      <c r="AB9" s="14" t="s">
        <v>55</v>
      </c>
      <c r="AC9" s="14" t="s">
        <v>56</v>
      </c>
      <c r="AD9" s="14" t="s">
        <v>55</v>
      </c>
      <c r="AE9" s="14" t="s">
        <v>56</v>
      </c>
      <c r="AF9" s="14" t="s">
        <v>55</v>
      </c>
      <c r="AG9" s="14" t="s">
        <v>56</v>
      </c>
      <c r="AH9" s="14" t="s">
        <v>55</v>
      </c>
      <c r="AI9" s="14" t="s">
        <v>56</v>
      </c>
      <c r="AJ9" s="14" t="s">
        <v>55</v>
      </c>
      <c r="AK9" s="14" t="s">
        <v>56</v>
      </c>
      <c r="AL9" s="14" t="s">
        <v>55</v>
      </c>
      <c r="AM9" s="14" t="s">
        <v>56</v>
      </c>
      <c r="AN9" s="14" t="s">
        <v>55</v>
      </c>
      <c r="AO9" s="14" t="s">
        <v>56</v>
      </c>
      <c r="AP9" s="14" t="s">
        <v>55</v>
      </c>
      <c r="AQ9" s="14" t="s">
        <v>56</v>
      </c>
      <c r="AR9" s="14" t="s">
        <v>55</v>
      </c>
      <c r="AS9" s="14" t="s">
        <v>56</v>
      </c>
      <c r="AT9" s="14" t="s">
        <v>55</v>
      </c>
      <c r="AU9" s="14" t="s">
        <v>56</v>
      </c>
      <c r="AV9" s="14" t="s">
        <v>55</v>
      </c>
      <c r="AW9" s="14" t="s">
        <v>56</v>
      </c>
      <c r="AX9" s="14" t="s">
        <v>55</v>
      </c>
      <c r="AY9" s="14" t="s">
        <v>56</v>
      </c>
      <c r="AZ9" s="14" t="s">
        <v>55</v>
      </c>
      <c r="BA9" s="14" t="s">
        <v>56</v>
      </c>
      <c r="BB9" s="14" t="s">
        <v>55</v>
      </c>
      <c r="BC9" s="14" t="s">
        <v>56</v>
      </c>
      <c r="BD9" s="14" t="s">
        <v>55</v>
      </c>
      <c r="BE9" s="14" t="s">
        <v>56</v>
      </c>
      <c r="BF9" s="14" t="s">
        <v>55</v>
      </c>
      <c r="BG9" s="14" t="s">
        <v>56</v>
      </c>
      <c r="BH9" s="2719"/>
      <c r="BI9" s="2734"/>
      <c r="BJ9" s="2719"/>
      <c r="BK9" s="2735"/>
      <c r="BL9" s="2719"/>
      <c r="BM9" s="2721"/>
      <c r="BN9" s="1126"/>
      <c r="BO9" s="1126"/>
      <c r="BP9" s="1126"/>
      <c r="BQ9" s="1126"/>
      <c r="BR9" s="1134"/>
      <c r="BS9" s="1127"/>
      <c r="BT9" s="1127"/>
      <c r="BU9" s="1127"/>
      <c r="BV9" s="1127"/>
      <c r="BW9" s="1127"/>
      <c r="BX9" s="1127"/>
      <c r="BY9" s="1127"/>
      <c r="BZ9" s="1127"/>
      <c r="CA9" s="1127"/>
      <c r="CB9" s="1127"/>
      <c r="CC9" s="1127"/>
      <c r="CD9" s="1127"/>
      <c r="CE9" s="1127"/>
      <c r="CF9" s="1127"/>
      <c r="CG9" s="1127"/>
      <c r="CH9" s="1127"/>
      <c r="CI9" s="1127"/>
      <c r="CJ9" s="1127"/>
      <c r="CK9" s="1127"/>
      <c r="CL9" s="1127"/>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IX9" s="16"/>
      <c r="IY9" s="16"/>
      <c r="IZ9" s="16"/>
      <c r="JA9" s="16"/>
      <c r="JB9" s="16"/>
      <c r="JC9" s="16"/>
      <c r="JD9" s="16"/>
      <c r="JE9" s="16"/>
      <c r="JF9" s="16"/>
      <c r="JG9" s="16"/>
      <c r="JH9" s="16"/>
      <c r="JI9" s="16"/>
      <c r="JJ9" s="16"/>
      <c r="JK9" s="16"/>
      <c r="JL9" s="16"/>
      <c r="JM9" s="16"/>
      <c r="JN9" s="16"/>
      <c r="JO9" s="16"/>
      <c r="JP9" s="16"/>
      <c r="JQ9" s="16"/>
      <c r="JR9" s="16"/>
      <c r="JS9" s="16"/>
      <c r="JT9" s="16"/>
      <c r="JU9" s="16"/>
    </row>
    <row r="10" spans="1:281" x14ac:dyDescent="0.25">
      <c r="A10" s="1135">
        <v>5</v>
      </c>
      <c r="B10" s="1136" t="s">
        <v>1027</v>
      </c>
      <c r="C10" s="1136"/>
      <c r="D10" s="1137"/>
      <c r="E10" s="1137"/>
      <c r="F10" s="1136"/>
      <c r="G10" s="1136"/>
      <c r="H10" s="1136"/>
      <c r="I10" s="1136"/>
      <c r="J10" s="1136"/>
      <c r="K10" s="1138"/>
      <c r="L10" s="1138"/>
      <c r="M10" s="1139"/>
      <c r="N10" s="1139"/>
      <c r="O10" s="1138"/>
      <c r="P10" s="1138"/>
      <c r="Q10" s="1138"/>
      <c r="R10" s="1140"/>
      <c r="S10" s="1141"/>
      <c r="T10" s="1138"/>
      <c r="U10" s="1138"/>
      <c r="V10" s="1138"/>
      <c r="W10" s="1142"/>
      <c r="X10" s="1142"/>
      <c r="Y10" s="1142"/>
      <c r="Z10" s="1143"/>
      <c r="AA10" s="1138"/>
      <c r="AB10" s="1136"/>
      <c r="AC10" s="1136"/>
      <c r="AD10" s="1136"/>
      <c r="AE10" s="1136"/>
      <c r="AF10" s="1136"/>
      <c r="AG10" s="1136"/>
      <c r="AH10" s="1136"/>
      <c r="AI10" s="1136"/>
      <c r="AJ10" s="1136"/>
      <c r="AK10" s="1136"/>
      <c r="AL10" s="1136"/>
      <c r="AM10" s="1136"/>
      <c r="AN10" s="1136"/>
      <c r="AO10" s="1136"/>
      <c r="AP10" s="1136"/>
      <c r="AQ10" s="1136"/>
      <c r="AR10" s="1136"/>
      <c r="AS10" s="1136"/>
      <c r="AT10" s="1136"/>
      <c r="AU10" s="1136"/>
      <c r="AV10" s="1136"/>
      <c r="AW10" s="1136"/>
      <c r="AX10" s="1136"/>
      <c r="AY10" s="1136"/>
      <c r="AZ10" s="1136"/>
      <c r="BA10" s="1136"/>
      <c r="BB10" s="1136"/>
      <c r="BC10" s="1136"/>
      <c r="BD10" s="1136"/>
      <c r="BE10" s="1136"/>
      <c r="BF10" s="1136"/>
      <c r="BG10" s="1144"/>
      <c r="BH10" s="1144"/>
      <c r="BI10" s="1144"/>
      <c r="BJ10" s="1144"/>
      <c r="BK10" s="1144"/>
      <c r="BL10" s="1144"/>
      <c r="BM10" s="1144"/>
      <c r="BN10" s="1145"/>
      <c r="BO10" s="1145"/>
      <c r="BP10" s="1145"/>
      <c r="BQ10" s="1145"/>
      <c r="BR10" s="1146"/>
      <c r="BS10" s="579"/>
      <c r="BT10" s="579"/>
      <c r="BU10" s="579"/>
      <c r="BV10" s="579"/>
      <c r="BW10" s="579"/>
      <c r="BX10" s="579"/>
      <c r="BY10" s="579"/>
      <c r="BZ10" s="579"/>
      <c r="CA10" s="579"/>
      <c r="CB10" s="579"/>
      <c r="CC10" s="579"/>
      <c r="CD10" s="579"/>
      <c r="CE10" s="579"/>
      <c r="CF10" s="579"/>
      <c r="CG10" s="579"/>
      <c r="CH10" s="579"/>
      <c r="CI10" s="579"/>
      <c r="CJ10" s="579"/>
      <c r="CK10" s="579"/>
      <c r="CL10" s="579"/>
    </row>
    <row r="11" spans="1:281" x14ac:dyDescent="0.25">
      <c r="A11" s="1147"/>
      <c r="B11" s="1148"/>
      <c r="C11" s="1148"/>
      <c r="D11" s="1149">
        <v>28</v>
      </c>
      <c r="E11" s="1150" t="s">
        <v>1028</v>
      </c>
      <c r="F11" s="1150"/>
      <c r="G11" s="1150"/>
      <c r="H11" s="1150"/>
      <c r="I11" s="1150"/>
      <c r="J11" s="1150"/>
      <c r="K11" s="1151"/>
      <c r="L11" s="1151"/>
      <c r="M11" s="808"/>
      <c r="N11" s="1152"/>
      <c r="O11" s="717"/>
      <c r="P11" s="1151"/>
      <c r="Q11" s="1151"/>
      <c r="R11" s="1153"/>
      <c r="S11" s="1154"/>
      <c r="T11" s="1151"/>
      <c r="U11" s="1151"/>
      <c r="V11" s="1151"/>
      <c r="W11" s="1155"/>
      <c r="X11" s="1155"/>
      <c r="Y11" s="1155"/>
      <c r="Z11" s="807"/>
      <c r="AA11" s="1151"/>
      <c r="AB11" s="1150"/>
      <c r="AC11" s="1150"/>
      <c r="AD11" s="1150"/>
      <c r="AE11" s="1150"/>
      <c r="AF11" s="1150"/>
      <c r="AG11" s="1150"/>
      <c r="AH11" s="1150"/>
      <c r="AI11" s="1150"/>
      <c r="AJ11" s="1150"/>
      <c r="AK11" s="1150"/>
      <c r="AL11" s="1150"/>
      <c r="AM11" s="1150"/>
      <c r="AN11" s="1150"/>
      <c r="AO11" s="1150"/>
      <c r="AP11" s="1150"/>
      <c r="AQ11" s="1150"/>
      <c r="AR11" s="1150"/>
      <c r="AS11" s="1150"/>
      <c r="AT11" s="1150"/>
      <c r="AU11" s="1150"/>
      <c r="AV11" s="1150"/>
      <c r="AW11" s="1150"/>
      <c r="AX11" s="1150"/>
      <c r="AY11" s="1150"/>
      <c r="AZ11" s="1150"/>
      <c r="BA11" s="1150"/>
      <c r="BB11" s="1150"/>
      <c r="BC11" s="1150"/>
      <c r="BD11" s="1150"/>
      <c r="BE11" s="1150"/>
      <c r="BF11" s="1150"/>
      <c r="BG11" s="1150"/>
      <c r="BH11" s="1150"/>
      <c r="BI11" s="1150"/>
      <c r="BJ11" s="1150"/>
      <c r="BK11" s="1150"/>
      <c r="BL11" s="1150"/>
      <c r="BM11" s="1150"/>
      <c r="BN11" s="1156"/>
      <c r="BO11" s="1156"/>
      <c r="BP11" s="1156"/>
      <c r="BQ11" s="1156"/>
      <c r="BR11" s="1157"/>
      <c r="BS11" s="579"/>
      <c r="BT11" s="579"/>
      <c r="BU11" s="579"/>
      <c r="BV11" s="579"/>
      <c r="BW11" s="579"/>
      <c r="BX11" s="579"/>
      <c r="BY11" s="579"/>
      <c r="BZ11" s="579"/>
      <c r="CA11" s="579"/>
      <c r="CB11" s="579"/>
      <c r="CC11" s="579"/>
      <c r="CD11" s="579"/>
      <c r="CE11" s="579"/>
      <c r="CF11" s="579"/>
      <c r="CG11" s="579"/>
      <c r="CH11" s="579"/>
      <c r="CI11" s="579"/>
      <c r="CJ11" s="579"/>
      <c r="CK11" s="579"/>
      <c r="CL11" s="579"/>
      <c r="CM11" s="579"/>
      <c r="CN11" s="579"/>
      <c r="CO11" s="579"/>
      <c r="CP11" s="579"/>
      <c r="CQ11" s="579"/>
      <c r="CR11" s="579"/>
      <c r="CS11" s="579"/>
      <c r="CT11" s="579"/>
      <c r="CU11" s="579"/>
      <c r="CV11" s="579"/>
      <c r="CW11" s="579"/>
      <c r="CX11" s="579"/>
      <c r="CY11" s="579"/>
      <c r="CZ11" s="579"/>
      <c r="DA11" s="579"/>
      <c r="DB11" s="579"/>
      <c r="DC11" s="579"/>
      <c r="DD11" s="579"/>
      <c r="DE11" s="579"/>
      <c r="DF11" s="579"/>
      <c r="DG11" s="579"/>
      <c r="DH11" s="579"/>
      <c r="DI11" s="579"/>
      <c r="DJ11" s="579"/>
      <c r="DK11" s="579"/>
      <c r="DL11" s="579"/>
      <c r="DM11" s="579"/>
      <c r="DN11" s="579"/>
      <c r="DO11" s="579"/>
      <c r="DP11" s="579"/>
      <c r="DQ11" s="579"/>
      <c r="DR11" s="579"/>
      <c r="DS11" s="579"/>
      <c r="DT11" s="579"/>
      <c r="DU11" s="579"/>
      <c r="DV11" s="579"/>
      <c r="DW11" s="579"/>
      <c r="DX11" s="579"/>
      <c r="DY11" s="579"/>
      <c r="DZ11" s="579"/>
      <c r="EA11" s="579"/>
      <c r="EB11" s="579"/>
      <c r="EC11" s="579"/>
      <c r="ED11" s="579"/>
      <c r="EE11" s="579"/>
      <c r="EF11" s="579"/>
      <c r="EG11" s="579"/>
      <c r="EH11" s="579"/>
      <c r="EI11" s="579"/>
      <c r="EJ11" s="579"/>
      <c r="EK11" s="579"/>
      <c r="EL11" s="579"/>
      <c r="EM11" s="579"/>
      <c r="EN11" s="579"/>
      <c r="EO11" s="579"/>
      <c r="EP11" s="579"/>
      <c r="EQ11" s="579"/>
      <c r="ER11" s="579"/>
      <c r="ES11" s="579"/>
      <c r="ET11" s="579"/>
      <c r="EU11" s="579"/>
      <c r="EV11" s="579"/>
      <c r="EW11" s="579"/>
      <c r="EX11" s="579"/>
      <c r="EY11" s="579"/>
      <c r="EZ11" s="579"/>
      <c r="FA11" s="579"/>
      <c r="FB11" s="579"/>
      <c r="FC11" s="579"/>
      <c r="FD11" s="579"/>
      <c r="FE11" s="579"/>
      <c r="FF11" s="579"/>
      <c r="FG11" s="579"/>
      <c r="FH11" s="579"/>
      <c r="FI11" s="579"/>
      <c r="FJ11" s="579"/>
      <c r="FK11" s="579"/>
      <c r="FL11" s="579"/>
      <c r="FM11" s="579"/>
      <c r="FN11" s="579"/>
      <c r="FO11" s="579"/>
      <c r="FP11" s="579"/>
      <c r="FQ11" s="579"/>
      <c r="FR11" s="579"/>
      <c r="FS11" s="579"/>
      <c r="FT11" s="579"/>
      <c r="FU11" s="579"/>
      <c r="FV11" s="579"/>
      <c r="FW11" s="579"/>
      <c r="FX11" s="579"/>
      <c r="FY11" s="579"/>
      <c r="FZ11" s="579"/>
      <c r="GA11" s="579"/>
      <c r="GB11" s="579"/>
      <c r="GC11" s="579"/>
      <c r="GD11" s="579"/>
      <c r="GE11" s="579"/>
      <c r="GF11" s="579"/>
      <c r="GG11" s="579"/>
      <c r="GH11" s="579"/>
      <c r="GI11" s="579"/>
      <c r="GJ11" s="579"/>
      <c r="GK11" s="579"/>
      <c r="GL11" s="579"/>
      <c r="GM11" s="579"/>
      <c r="GN11" s="579"/>
      <c r="GO11" s="579"/>
      <c r="GP11" s="579"/>
      <c r="GQ11" s="579"/>
      <c r="GR11" s="579"/>
      <c r="GS11" s="579"/>
      <c r="GT11" s="579"/>
      <c r="GU11" s="579"/>
      <c r="GV11" s="579"/>
      <c r="GW11" s="579"/>
      <c r="GX11" s="579"/>
      <c r="GY11" s="579"/>
      <c r="GZ11" s="579"/>
      <c r="HA11" s="579"/>
      <c r="HB11" s="579"/>
      <c r="HC11" s="579"/>
      <c r="HD11" s="579"/>
      <c r="HE11" s="579"/>
      <c r="HF11" s="579"/>
      <c r="HG11" s="579"/>
      <c r="HH11" s="579"/>
      <c r="HI11" s="579"/>
      <c r="HJ11" s="579"/>
      <c r="HK11" s="579"/>
      <c r="HL11" s="579"/>
      <c r="HM11" s="579"/>
      <c r="HN11" s="579"/>
      <c r="HO11" s="579"/>
      <c r="HP11" s="579"/>
      <c r="HQ11" s="579"/>
      <c r="HR11" s="579"/>
      <c r="HS11" s="579"/>
      <c r="HT11" s="579"/>
      <c r="HU11" s="579"/>
      <c r="HV11" s="579"/>
      <c r="HW11" s="579"/>
      <c r="HX11" s="579"/>
      <c r="HY11" s="579"/>
      <c r="HZ11" s="579"/>
      <c r="IA11" s="579"/>
      <c r="IB11" s="579"/>
      <c r="IC11" s="579"/>
      <c r="ID11" s="579"/>
      <c r="IE11" s="579"/>
      <c r="IF11" s="579"/>
      <c r="IG11" s="579"/>
      <c r="IH11" s="579"/>
      <c r="II11" s="579"/>
      <c r="IJ11" s="579"/>
      <c r="IK11" s="579"/>
      <c r="IL11" s="579"/>
      <c r="IM11" s="579"/>
      <c r="IN11" s="579"/>
      <c r="IO11" s="579"/>
      <c r="IP11" s="579"/>
      <c r="IQ11" s="579"/>
      <c r="IR11" s="579"/>
      <c r="IS11" s="579"/>
      <c r="IT11" s="579"/>
      <c r="IU11" s="579"/>
      <c r="IV11" s="579"/>
      <c r="IW11" s="579"/>
      <c r="IX11" s="579"/>
      <c r="IY11" s="579"/>
      <c r="IZ11" s="579"/>
      <c r="JA11" s="579"/>
      <c r="JB11" s="579"/>
      <c r="JC11" s="579"/>
      <c r="JD11" s="579"/>
      <c r="JE11" s="579"/>
      <c r="JF11" s="579"/>
      <c r="JG11" s="579"/>
      <c r="JH11" s="579"/>
      <c r="JI11" s="579"/>
      <c r="JJ11" s="579"/>
      <c r="JK11" s="579"/>
      <c r="JL11" s="579"/>
      <c r="JM11" s="579"/>
      <c r="JN11" s="579"/>
      <c r="JO11" s="579"/>
      <c r="JP11" s="579"/>
      <c r="JQ11" s="579"/>
      <c r="JR11" s="579"/>
      <c r="JS11" s="579"/>
      <c r="JT11" s="579"/>
      <c r="JU11" s="579"/>
    </row>
    <row r="12" spans="1:281" x14ac:dyDescent="0.25">
      <c r="A12" s="1147"/>
      <c r="B12" s="1148"/>
      <c r="C12" s="1148"/>
      <c r="D12" s="1158"/>
      <c r="E12" s="1148"/>
      <c r="F12" s="1148"/>
      <c r="G12" s="1159">
        <v>89</v>
      </c>
      <c r="H12" s="653" t="s">
        <v>1029</v>
      </c>
      <c r="I12" s="653"/>
      <c r="J12" s="653"/>
      <c r="K12" s="777"/>
      <c r="L12" s="777"/>
      <c r="M12" s="615"/>
      <c r="N12" s="615"/>
      <c r="O12" s="1160"/>
      <c r="P12" s="777"/>
      <c r="Q12" s="777"/>
      <c r="R12" s="1161"/>
      <c r="S12" s="1162"/>
      <c r="T12" s="777"/>
      <c r="U12" s="777"/>
      <c r="V12" s="777"/>
      <c r="W12" s="1163"/>
      <c r="X12" s="1163"/>
      <c r="Y12" s="1163"/>
      <c r="Z12" s="1164"/>
      <c r="AA12" s="777"/>
      <c r="AB12" s="652"/>
      <c r="AC12" s="652"/>
      <c r="AD12" s="652"/>
      <c r="AE12" s="652"/>
      <c r="AF12" s="652"/>
      <c r="AG12" s="652"/>
      <c r="AH12" s="652"/>
      <c r="AI12" s="652"/>
      <c r="AJ12" s="652"/>
      <c r="AK12" s="652"/>
      <c r="AL12" s="652"/>
      <c r="AM12" s="652"/>
      <c r="AN12" s="652"/>
      <c r="AO12" s="652"/>
      <c r="AP12" s="652"/>
      <c r="AQ12" s="652"/>
      <c r="AR12" s="652"/>
      <c r="AS12" s="652"/>
      <c r="AT12" s="652"/>
      <c r="AU12" s="652"/>
      <c r="AV12" s="652"/>
      <c r="AW12" s="652"/>
      <c r="AX12" s="652"/>
      <c r="AY12" s="652"/>
      <c r="AZ12" s="652"/>
      <c r="BA12" s="652"/>
      <c r="BB12" s="652"/>
      <c r="BC12" s="652"/>
      <c r="BD12" s="652"/>
      <c r="BE12" s="652"/>
      <c r="BF12" s="652"/>
      <c r="BG12" s="652"/>
      <c r="BH12" s="652"/>
      <c r="BI12" s="652"/>
      <c r="BJ12" s="652"/>
      <c r="BK12" s="652"/>
      <c r="BL12" s="652"/>
      <c r="BM12" s="652"/>
      <c r="BN12" s="1165"/>
      <c r="BO12" s="1165"/>
      <c r="BP12" s="1165"/>
      <c r="BQ12" s="1165"/>
      <c r="BR12" s="1166"/>
      <c r="BS12" s="579"/>
      <c r="BT12" s="579"/>
      <c r="BU12" s="579"/>
      <c r="BV12" s="579"/>
      <c r="BW12" s="579"/>
      <c r="BX12" s="579"/>
      <c r="BY12" s="579"/>
      <c r="BZ12" s="579"/>
      <c r="CA12" s="579"/>
      <c r="CB12" s="579"/>
      <c r="CC12" s="579"/>
      <c r="CD12" s="579"/>
      <c r="CE12" s="579"/>
      <c r="CF12" s="579"/>
      <c r="CG12" s="579"/>
      <c r="CH12" s="579"/>
      <c r="CI12" s="579"/>
      <c r="CJ12" s="579"/>
      <c r="CK12" s="579"/>
      <c r="CL12" s="579"/>
      <c r="CM12" s="579"/>
      <c r="CN12" s="579"/>
      <c r="CO12" s="579"/>
      <c r="CP12" s="579"/>
      <c r="CQ12" s="579"/>
      <c r="CR12" s="579"/>
      <c r="CS12" s="579"/>
      <c r="CT12" s="579"/>
      <c r="CU12" s="579"/>
      <c r="CV12" s="579"/>
      <c r="CW12" s="579"/>
      <c r="CX12" s="579"/>
      <c r="CY12" s="579"/>
      <c r="CZ12" s="579"/>
      <c r="DA12" s="579"/>
      <c r="DB12" s="579"/>
      <c r="DC12" s="579"/>
      <c r="DD12" s="579"/>
      <c r="DE12" s="579"/>
      <c r="DF12" s="579"/>
      <c r="DG12" s="579"/>
      <c r="DH12" s="579"/>
      <c r="DI12" s="579"/>
      <c r="DJ12" s="579"/>
      <c r="DK12" s="579"/>
      <c r="DL12" s="579"/>
      <c r="DM12" s="579"/>
      <c r="DN12" s="579"/>
      <c r="DO12" s="579"/>
      <c r="DP12" s="579"/>
      <c r="DQ12" s="579"/>
      <c r="DR12" s="579"/>
      <c r="DS12" s="579"/>
      <c r="DT12" s="579"/>
      <c r="DU12" s="579"/>
      <c r="DV12" s="579"/>
      <c r="DW12" s="579"/>
      <c r="DX12" s="579"/>
      <c r="DY12" s="579"/>
      <c r="DZ12" s="579"/>
      <c r="EA12" s="579"/>
      <c r="EB12" s="579"/>
      <c r="EC12" s="579"/>
      <c r="ED12" s="579"/>
      <c r="EE12" s="579"/>
      <c r="EF12" s="579"/>
      <c r="EG12" s="579"/>
      <c r="EH12" s="579"/>
      <c r="EI12" s="579"/>
      <c r="EJ12" s="579"/>
      <c r="EK12" s="579"/>
      <c r="EL12" s="579"/>
      <c r="EM12" s="579"/>
      <c r="EN12" s="579"/>
      <c r="EO12" s="579"/>
      <c r="EP12" s="579"/>
      <c r="EQ12" s="579"/>
      <c r="ER12" s="579"/>
      <c r="ES12" s="579"/>
      <c r="ET12" s="579"/>
      <c r="EU12" s="579"/>
      <c r="EV12" s="579"/>
      <c r="EW12" s="579"/>
      <c r="EX12" s="579"/>
      <c r="EY12" s="579"/>
      <c r="EZ12" s="579"/>
      <c r="FA12" s="579"/>
      <c r="FB12" s="579"/>
      <c r="FC12" s="579"/>
      <c r="FD12" s="579"/>
      <c r="FE12" s="579"/>
      <c r="FF12" s="579"/>
      <c r="FG12" s="579"/>
      <c r="FH12" s="579"/>
      <c r="FI12" s="579"/>
      <c r="FJ12" s="579"/>
      <c r="FK12" s="579"/>
      <c r="FL12" s="579"/>
      <c r="FM12" s="579"/>
      <c r="FN12" s="579"/>
      <c r="FO12" s="579"/>
      <c r="FP12" s="579"/>
      <c r="FQ12" s="579"/>
      <c r="FR12" s="579"/>
      <c r="FS12" s="579"/>
      <c r="FT12" s="579"/>
      <c r="FU12" s="579"/>
      <c r="FV12" s="579"/>
      <c r="FW12" s="579"/>
      <c r="FX12" s="579"/>
      <c r="FY12" s="579"/>
      <c r="FZ12" s="579"/>
      <c r="GA12" s="579"/>
      <c r="GB12" s="579"/>
      <c r="GC12" s="579"/>
      <c r="GD12" s="579"/>
      <c r="GE12" s="579"/>
      <c r="GF12" s="579"/>
      <c r="GG12" s="579"/>
      <c r="GH12" s="579"/>
      <c r="GI12" s="579"/>
      <c r="GJ12" s="579"/>
      <c r="GK12" s="579"/>
      <c r="GL12" s="579"/>
      <c r="GM12" s="579"/>
      <c r="GN12" s="579"/>
      <c r="GO12" s="579"/>
      <c r="GP12" s="579"/>
      <c r="GQ12" s="579"/>
      <c r="GR12" s="579"/>
      <c r="GS12" s="579"/>
      <c r="GT12" s="579"/>
      <c r="GU12" s="579"/>
      <c r="GV12" s="579"/>
      <c r="GW12" s="579"/>
      <c r="GX12" s="579"/>
      <c r="GY12" s="579"/>
      <c r="GZ12" s="579"/>
      <c r="HA12" s="579"/>
      <c r="HB12" s="579"/>
      <c r="HC12" s="579"/>
      <c r="HD12" s="579"/>
      <c r="HE12" s="579"/>
      <c r="HF12" s="579"/>
      <c r="HG12" s="579"/>
      <c r="HH12" s="579"/>
      <c r="HI12" s="579"/>
      <c r="HJ12" s="579"/>
      <c r="HK12" s="579"/>
      <c r="HL12" s="579"/>
      <c r="HM12" s="579"/>
      <c r="HN12" s="579"/>
      <c r="HO12" s="579"/>
      <c r="HP12" s="579"/>
      <c r="HQ12" s="579"/>
      <c r="HR12" s="579"/>
      <c r="HS12" s="579"/>
      <c r="HT12" s="579"/>
      <c r="HU12" s="579"/>
      <c r="HV12" s="579"/>
      <c r="HW12" s="579"/>
      <c r="HX12" s="579"/>
      <c r="HY12" s="579"/>
      <c r="HZ12" s="579"/>
      <c r="IA12" s="579"/>
      <c r="IB12" s="579"/>
      <c r="IC12" s="579"/>
      <c r="ID12" s="579"/>
      <c r="IE12" s="579"/>
      <c r="IF12" s="579"/>
      <c r="IG12" s="579"/>
      <c r="IH12" s="579"/>
      <c r="II12" s="579"/>
      <c r="IJ12" s="579"/>
      <c r="IK12" s="579"/>
      <c r="IL12" s="579"/>
      <c r="IM12" s="579"/>
      <c r="IN12" s="579"/>
      <c r="IO12" s="579"/>
      <c r="IP12" s="579"/>
      <c r="IQ12" s="579"/>
      <c r="IR12" s="579"/>
      <c r="IS12" s="579"/>
      <c r="IT12" s="579"/>
      <c r="IU12" s="579"/>
      <c r="IV12" s="579"/>
      <c r="IW12" s="579"/>
      <c r="IX12" s="579"/>
      <c r="IY12" s="579"/>
      <c r="IZ12" s="579"/>
      <c r="JA12" s="579"/>
      <c r="JB12" s="579"/>
      <c r="JC12" s="579"/>
      <c r="JD12" s="579"/>
      <c r="JE12" s="579"/>
      <c r="JF12" s="579"/>
      <c r="JG12" s="579"/>
      <c r="JH12" s="579"/>
      <c r="JI12" s="579"/>
      <c r="JJ12" s="579"/>
      <c r="JK12" s="579"/>
      <c r="JL12" s="579"/>
      <c r="JM12" s="579"/>
      <c r="JN12" s="579"/>
      <c r="JO12" s="579"/>
      <c r="JP12" s="579"/>
      <c r="JQ12" s="579"/>
      <c r="JR12" s="579"/>
      <c r="JS12" s="579"/>
      <c r="JT12" s="579"/>
      <c r="JU12" s="579"/>
    </row>
    <row r="13" spans="1:281" ht="95.25" customHeight="1" x14ac:dyDescent="0.25">
      <c r="A13" s="1167"/>
      <c r="B13" s="1168"/>
      <c r="C13" s="1168"/>
      <c r="D13" s="1169"/>
      <c r="E13" s="1168"/>
      <c r="F13" s="1168"/>
      <c r="G13" s="1170"/>
      <c r="H13" s="1168"/>
      <c r="I13" s="1168"/>
      <c r="J13" s="2744">
        <v>275</v>
      </c>
      <c r="K13" s="3080" t="s">
        <v>1030</v>
      </c>
      <c r="L13" s="3080" t="s">
        <v>1031</v>
      </c>
      <c r="M13" s="2744">
        <v>4</v>
      </c>
      <c r="N13" s="2744">
        <v>1.9</v>
      </c>
      <c r="O13" s="2744" t="s">
        <v>1032</v>
      </c>
      <c r="P13" s="3076" t="s">
        <v>1033</v>
      </c>
      <c r="Q13" s="2738" t="s">
        <v>1034</v>
      </c>
      <c r="R13" s="3077">
        <f>+(W13+W14)/S13</f>
        <v>0.68858978648781655</v>
      </c>
      <c r="S13" s="3079">
        <f>SUM(W13:W19)</f>
        <v>1905945991</v>
      </c>
      <c r="T13" s="2738" t="s">
        <v>1035</v>
      </c>
      <c r="U13" s="3080" t="s">
        <v>1036</v>
      </c>
      <c r="V13" s="3086" t="s">
        <v>1037</v>
      </c>
      <c r="W13" s="1171">
        <v>952473039</v>
      </c>
      <c r="X13" s="1171">
        <v>649814895</v>
      </c>
      <c r="Y13" s="1171">
        <v>66032000</v>
      </c>
      <c r="Z13" s="1172">
        <v>20</v>
      </c>
      <c r="AA13" s="781" t="s">
        <v>1038</v>
      </c>
      <c r="AB13" s="3083">
        <v>294321</v>
      </c>
      <c r="AC13" s="3083">
        <f>+AB13*0.43</f>
        <v>126558.03</v>
      </c>
      <c r="AD13" s="3083">
        <v>283947</v>
      </c>
      <c r="AE13" s="3083">
        <f>+AD13*0.43</f>
        <v>122097.20999999999</v>
      </c>
      <c r="AF13" s="3083">
        <v>135754</v>
      </c>
      <c r="AG13" s="3083">
        <f>+AF13*0.43</f>
        <v>58374.22</v>
      </c>
      <c r="AH13" s="3083">
        <v>44640</v>
      </c>
      <c r="AI13" s="3083">
        <f>+AH13*0.43</f>
        <v>19195.2</v>
      </c>
      <c r="AJ13" s="3083">
        <v>308178</v>
      </c>
      <c r="AK13" s="3083">
        <f>+AJ13*0.43</f>
        <v>132516.54</v>
      </c>
      <c r="AL13" s="3083">
        <v>89696</v>
      </c>
      <c r="AM13" s="3083">
        <f>+AL13*0.43</f>
        <v>38569.279999999999</v>
      </c>
      <c r="AN13" s="3083">
        <v>2145</v>
      </c>
      <c r="AO13" s="3083">
        <f>+AN13*0.43</f>
        <v>922.35</v>
      </c>
      <c r="AP13" s="3083">
        <v>12718</v>
      </c>
      <c r="AQ13" s="3083">
        <f>+AP13*0.43</f>
        <v>5468.74</v>
      </c>
      <c r="AR13" s="3083">
        <v>26</v>
      </c>
      <c r="AS13" s="3083">
        <f>+AR13*0.43</f>
        <v>11.18</v>
      </c>
      <c r="AT13" s="3083">
        <v>37</v>
      </c>
      <c r="AU13" s="3083">
        <f>+AT13*0.43</f>
        <v>15.91</v>
      </c>
      <c r="AV13" s="3083">
        <v>0</v>
      </c>
      <c r="AW13" s="3083">
        <v>0</v>
      </c>
      <c r="AX13" s="3083">
        <v>0</v>
      </c>
      <c r="AY13" s="3083">
        <v>0</v>
      </c>
      <c r="AZ13" s="3083">
        <v>54612</v>
      </c>
      <c r="BA13" s="3083">
        <f>+AZ13*0.43</f>
        <v>23483.16</v>
      </c>
      <c r="BB13" s="3083">
        <v>21944</v>
      </c>
      <c r="BC13" s="3083">
        <f>+BB13*0.43</f>
        <v>9435.92</v>
      </c>
      <c r="BD13" s="3083">
        <v>1010</v>
      </c>
      <c r="BE13" s="3083">
        <f>+BD13*0.43</f>
        <v>434.3</v>
      </c>
      <c r="BF13" s="3083">
        <v>575010</v>
      </c>
      <c r="BG13" s="3083">
        <f>+BF13*0.43</f>
        <v>247254.3</v>
      </c>
      <c r="BH13" s="2751">
        <v>31</v>
      </c>
      <c r="BI13" s="2751">
        <v>826346895</v>
      </c>
      <c r="BJ13" s="2751">
        <v>113684000</v>
      </c>
      <c r="BK13" s="3101">
        <f>+BJ13/BI13</f>
        <v>0.13757418426555593</v>
      </c>
      <c r="BL13" s="2751" t="s">
        <v>1039</v>
      </c>
      <c r="BM13" s="3104" t="s">
        <v>1040</v>
      </c>
      <c r="BN13" s="3095">
        <v>43473</v>
      </c>
      <c r="BO13" s="3095">
        <v>43466</v>
      </c>
      <c r="BP13" s="3095">
        <v>43830</v>
      </c>
      <c r="BQ13" s="3095">
        <v>43830</v>
      </c>
      <c r="BR13" s="3098" t="s">
        <v>1041</v>
      </c>
      <c r="BS13" s="579"/>
      <c r="BT13" s="579"/>
      <c r="BU13" s="579"/>
      <c r="BV13" s="579"/>
      <c r="BW13" s="579"/>
      <c r="BX13" s="579"/>
      <c r="BY13" s="579"/>
      <c r="BZ13" s="579"/>
      <c r="CA13" s="579"/>
      <c r="CB13" s="579"/>
      <c r="CC13" s="579"/>
      <c r="CD13" s="579"/>
      <c r="CE13" s="579"/>
      <c r="CF13" s="579"/>
      <c r="CG13" s="579"/>
      <c r="CH13" s="579"/>
      <c r="CI13" s="579"/>
      <c r="CJ13" s="579"/>
      <c r="CK13" s="579"/>
      <c r="CL13" s="579"/>
      <c r="CM13" s="579"/>
      <c r="CN13" s="579"/>
      <c r="CO13" s="579"/>
      <c r="CP13" s="579"/>
      <c r="CQ13" s="579"/>
      <c r="CR13" s="579"/>
      <c r="CS13" s="579"/>
      <c r="CT13" s="579"/>
      <c r="CU13" s="579"/>
      <c r="CV13" s="579"/>
      <c r="CW13" s="579"/>
      <c r="CX13" s="579"/>
      <c r="CY13" s="579"/>
      <c r="CZ13" s="579"/>
      <c r="DA13" s="579"/>
      <c r="DB13" s="579"/>
      <c r="DC13" s="579"/>
      <c r="DD13" s="579"/>
      <c r="DE13" s="579"/>
      <c r="DF13" s="579"/>
      <c r="DG13" s="579"/>
      <c r="DH13" s="579"/>
      <c r="DI13" s="579"/>
      <c r="DJ13" s="579"/>
      <c r="DK13" s="579"/>
      <c r="DL13" s="579"/>
      <c r="DM13" s="579"/>
      <c r="DN13" s="579"/>
      <c r="DO13" s="579"/>
      <c r="DP13" s="579"/>
      <c r="DQ13" s="579"/>
      <c r="DR13" s="579"/>
      <c r="DS13" s="579"/>
      <c r="DT13" s="579"/>
      <c r="DU13" s="579"/>
      <c r="DV13" s="579"/>
      <c r="DW13" s="579"/>
      <c r="DX13" s="579"/>
      <c r="DY13" s="579"/>
      <c r="DZ13" s="579"/>
      <c r="EA13" s="579"/>
      <c r="EB13" s="579"/>
      <c r="EC13" s="579"/>
      <c r="ED13" s="579"/>
      <c r="EE13" s="579"/>
      <c r="EF13" s="579"/>
      <c r="EG13" s="579"/>
      <c r="EH13" s="579"/>
      <c r="EI13" s="579"/>
      <c r="EJ13" s="579"/>
      <c r="EK13" s="579"/>
      <c r="EL13" s="579"/>
      <c r="EM13" s="579"/>
      <c r="EN13" s="579"/>
      <c r="EO13" s="579"/>
      <c r="EP13" s="579"/>
      <c r="EQ13" s="579"/>
      <c r="ER13" s="579"/>
      <c r="ES13" s="579"/>
      <c r="ET13" s="579"/>
      <c r="EU13" s="579"/>
      <c r="EV13" s="579"/>
      <c r="EW13" s="579"/>
      <c r="EX13" s="579"/>
      <c r="EY13" s="579"/>
      <c r="EZ13" s="579"/>
      <c r="FA13" s="579"/>
      <c r="FB13" s="579"/>
      <c r="FC13" s="579"/>
      <c r="FD13" s="579"/>
      <c r="FE13" s="579"/>
      <c r="FF13" s="579"/>
      <c r="FG13" s="579"/>
      <c r="FH13" s="579"/>
      <c r="FI13" s="579"/>
      <c r="FJ13" s="579"/>
      <c r="FK13" s="579"/>
      <c r="FL13" s="579"/>
      <c r="FM13" s="579"/>
      <c r="FN13" s="579"/>
      <c r="FO13" s="579"/>
      <c r="FP13" s="579"/>
      <c r="FQ13" s="579"/>
      <c r="FR13" s="579"/>
      <c r="FS13" s="579"/>
      <c r="FT13" s="579"/>
      <c r="FU13" s="579"/>
      <c r="FV13" s="579"/>
      <c r="FW13" s="579"/>
      <c r="FX13" s="579"/>
      <c r="FY13" s="579"/>
      <c r="FZ13" s="579"/>
      <c r="GA13" s="579"/>
      <c r="GB13" s="579"/>
      <c r="GC13" s="579"/>
      <c r="GD13" s="579"/>
      <c r="GE13" s="579"/>
      <c r="GF13" s="579"/>
      <c r="GG13" s="579"/>
      <c r="GH13" s="579"/>
      <c r="GI13" s="579"/>
      <c r="GJ13" s="579"/>
      <c r="GK13" s="579"/>
      <c r="GL13" s="579"/>
      <c r="GM13" s="579"/>
      <c r="GN13" s="579"/>
      <c r="GO13" s="579"/>
      <c r="GP13" s="579"/>
      <c r="GQ13" s="579"/>
      <c r="GR13" s="579"/>
      <c r="GS13" s="579"/>
      <c r="GT13" s="579"/>
      <c r="GU13" s="579"/>
      <c r="GV13" s="579"/>
      <c r="GW13" s="579"/>
      <c r="GX13" s="579"/>
      <c r="GY13" s="579"/>
      <c r="GZ13" s="579"/>
      <c r="HA13" s="579"/>
      <c r="HB13" s="579"/>
      <c r="HC13" s="579"/>
      <c r="HD13" s="579"/>
      <c r="HE13" s="579"/>
      <c r="HF13" s="579"/>
      <c r="HG13" s="579"/>
      <c r="HH13" s="579"/>
      <c r="HI13" s="579"/>
      <c r="HJ13" s="579"/>
      <c r="HK13" s="579"/>
      <c r="HL13" s="579"/>
      <c r="HM13" s="579"/>
      <c r="HN13" s="579"/>
      <c r="HO13" s="579"/>
      <c r="HP13" s="579"/>
      <c r="HQ13" s="579"/>
      <c r="HR13" s="579"/>
      <c r="HS13" s="579"/>
      <c r="HT13" s="579"/>
      <c r="HU13" s="579"/>
      <c r="HV13" s="579"/>
      <c r="HW13" s="579"/>
      <c r="HX13" s="579"/>
      <c r="HY13" s="579"/>
      <c r="HZ13" s="579"/>
      <c r="IA13" s="579"/>
      <c r="IB13" s="579"/>
      <c r="IC13" s="579"/>
      <c r="ID13" s="579"/>
      <c r="IE13" s="579"/>
      <c r="IF13" s="579"/>
      <c r="IG13" s="579"/>
      <c r="IH13" s="579"/>
      <c r="II13" s="579"/>
      <c r="IJ13" s="579"/>
      <c r="IK13" s="579"/>
      <c r="IL13" s="579"/>
      <c r="IM13" s="579"/>
      <c r="IN13" s="579"/>
      <c r="IO13" s="579"/>
      <c r="IP13" s="579"/>
      <c r="IQ13" s="579"/>
      <c r="IR13" s="579"/>
      <c r="IS13" s="579"/>
      <c r="IT13" s="579"/>
      <c r="IU13" s="579"/>
      <c r="IV13" s="579"/>
      <c r="IW13" s="579"/>
      <c r="IX13" s="579"/>
      <c r="IY13" s="579"/>
      <c r="IZ13" s="579"/>
      <c r="JA13" s="579"/>
      <c r="JB13" s="579"/>
      <c r="JC13" s="579"/>
      <c r="JD13" s="579"/>
      <c r="JE13" s="579"/>
      <c r="JF13" s="579"/>
      <c r="JG13" s="579"/>
      <c r="JH13" s="579"/>
      <c r="JI13" s="579"/>
      <c r="JJ13" s="579"/>
      <c r="JK13" s="579"/>
      <c r="JL13" s="579"/>
      <c r="JM13" s="579"/>
      <c r="JN13" s="579"/>
      <c r="JO13" s="579"/>
      <c r="JP13" s="579"/>
      <c r="JQ13" s="579"/>
      <c r="JR13" s="579"/>
      <c r="JS13" s="579"/>
      <c r="JT13" s="579"/>
      <c r="JU13" s="579"/>
    </row>
    <row r="14" spans="1:281" ht="78" customHeight="1" x14ac:dyDescent="0.25">
      <c r="A14" s="1167"/>
      <c r="B14" s="1168"/>
      <c r="C14" s="1168"/>
      <c r="D14" s="1169"/>
      <c r="E14" s="1168"/>
      <c r="F14" s="1168"/>
      <c r="G14" s="1169"/>
      <c r="H14" s="1168"/>
      <c r="I14" s="1168"/>
      <c r="J14" s="2745"/>
      <c r="K14" s="3081"/>
      <c r="L14" s="3081"/>
      <c r="M14" s="2745"/>
      <c r="N14" s="2745"/>
      <c r="O14" s="3088"/>
      <c r="P14" s="3076"/>
      <c r="Q14" s="2738"/>
      <c r="R14" s="3078"/>
      <c r="S14" s="3079"/>
      <c r="T14" s="2738"/>
      <c r="U14" s="3081"/>
      <c r="V14" s="3087"/>
      <c r="W14" s="1173">
        <f>0+359941904</f>
        <v>359941904</v>
      </c>
      <c r="X14" s="1173">
        <v>0</v>
      </c>
      <c r="Y14" s="1173">
        <v>0</v>
      </c>
      <c r="Z14" s="1172">
        <v>88</v>
      </c>
      <c r="AA14" s="781" t="s">
        <v>369</v>
      </c>
      <c r="AB14" s="3084"/>
      <c r="AC14" s="3084"/>
      <c r="AD14" s="3084"/>
      <c r="AE14" s="3084"/>
      <c r="AF14" s="3084"/>
      <c r="AG14" s="3084"/>
      <c r="AH14" s="3084"/>
      <c r="AI14" s="3084"/>
      <c r="AJ14" s="3084"/>
      <c r="AK14" s="3084"/>
      <c r="AL14" s="3084"/>
      <c r="AM14" s="3084"/>
      <c r="AN14" s="3084"/>
      <c r="AO14" s="3084"/>
      <c r="AP14" s="3084"/>
      <c r="AQ14" s="3084"/>
      <c r="AR14" s="3084"/>
      <c r="AS14" s="3084"/>
      <c r="AT14" s="3084"/>
      <c r="AU14" s="3084"/>
      <c r="AV14" s="3084"/>
      <c r="AW14" s="3084"/>
      <c r="AX14" s="3084"/>
      <c r="AY14" s="3084"/>
      <c r="AZ14" s="3084"/>
      <c r="BA14" s="3084"/>
      <c r="BB14" s="3084"/>
      <c r="BC14" s="3084"/>
      <c r="BD14" s="3084"/>
      <c r="BE14" s="3084"/>
      <c r="BF14" s="3084"/>
      <c r="BG14" s="3084"/>
      <c r="BH14" s="2775"/>
      <c r="BI14" s="2775"/>
      <c r="BJ14" s="2775"/>
      <c r="BK14" s="3102"/>
      <c r="BL14" s="2775"/>
      <c r="BM14" s="3105"/>
      <c r="BN14" s="3096"/>
      <c r="BO14" s="3096"/>
      <c r="BP14" s="3096"/>
      <c r="BQ14" s="3096"/>
      <c r="BR14" s="3098"/>
      <c r="BS14" s="579"/>
      <c r="BT14" s="579"/>
      <c r="BU14" s="579"/>
      <c r="BV14" s="579"/>
      <c r="BW14" s="579"/>
      <c r="BX14" s="579"/>
      <c r="BY14" s="579"/>
      <c r="BZ14" s="579"/>
      <c r="CA14" s="579"/>
      <c r="CB14" s="579"/>
      <c r="CC14" s="579"/>
      <c r="CD14" s="579"/>
      <c r="CE14" s="579"/>
      <c r="CF14" s="579"/>
      <c r="CG14" s="579"/>
      <c r="CH14" s="579"/>
      <c r="CI14" s="579"/>
      <c r="CJ14" s="579"/>
      <c r="CK14" s="579"/>
      <c r="CL14" s="579"/>
      <c r="CM14" s="579"/>
      <c r="CN14" s="579"/>
      <c r="CO14" s="579"/>
      <c r="CP14" s="579"/>
      <c r="CQ14" s="579"/>
      <c r="CR14" s="579"/>
      <c r="CS14" s="579"/>
      <c r="CT14" s="579"/>
      <c r="CU14" s="579"/>
      <c r="CV14" s="579"/>
      <c r="CW14" s="579"/>
      <c r="CX14" s="579"/>
      <c r="CY14" s="579"/>
      <c r="CZ14" s="579"/>
      <c r="DA14" s="579"/>
      <c r="DB14" s="579"/>
      <c r="DC14" s="579"/>
      <c r="DD14" s="579"/>
      <c r="DE14" s="579"/>
      <c r="DF14" s="579"/>
      <c r="DG14" s="579"/>
      <c r="DH14" s="579"/>
      <c r="DI14" s="579"/>
      <c r="DJ14" s="579"/>
      <c r="DK14" s="579"/>
      <c r="DL14" s="579"/>
      <c r="DM14" s="579"/>
      <c r="DN14" s="579"/>
      <c r="DO14" s="579"/>
      <c r="DP14" s="579"/>
      <c r="DQ14" s="579"/>
      <c r="DR14" s="579"/>
      <c r="DS14" s="579"/>
      <c r="DT14" s="579"/>
      <c r="DU14" s="579"/>
      <c r="DV14" s="579"/>
      <c r="DW14" s="579"/>
      <c r="DX14" s="579"/>
      <c r="DY14" s="579"/>
      <c r="DZ14" s="579"/>
      <c r="EA14" s="579"/>
      <c r="EB14" s="579"/>
      <c r="EC14" s="579"/>
      <c r="ED14" s="579"/>
      <c r="EE14" s="579"/>
      <c r="EF14" s="579"/>
      <c r="EG14" s="579"/>
      <c r="EH14" s="579"/>
      <c r="EI14" s="579"/>
      <c r="EJ14" s="579"/>
      <c r="EK14" s="579"/>
      <c r="EL14" s="579"/>
      <c r="EM14" s="579"/>
      <c r="EN14" s="579"/>
      <c r="EO14" s="579"/>
      <c r="EP14" s="579"/>
      <c r="EQ14" s="579"/>
      <c r="ER14" s="579"/>
      <c r="ES14" s="579"/>
      <c r="ET14" s="579"/>
      <c r="EU14" s="579"/>
      <c r="EV14" s="579"/>
      <c r="EW14" s="579"/>
      <c r="EX14" s="579"/>
      <c r="EY14" s="579"/>
      <c r="EZ14" s="579"/>
      <c r="FA14" s="579"/>
      <c r="FB14" s="579"/>
      <c r="FC14" s="579"/>
      <c r="FD14" s="579"/>
      <c r="FE14" s="579"/>
      <c r="FF14" s="579"/>
      <c r="FG14" s="579"/>
      <c r="FH14" s="579"/>
      <c r="FI14" s="579"/>
      <c r="FJ14" s="579"/>
      <c r="FK14" s="579"/>
      <c r="FL14" s="579"/>
      <c r="FM14" s="579"/>
      <c r="FN14" s="579"/>
      <c r="FO14" s="579"/>
      <c r="FP14" s="579"/>
      <c r="FQ14" s="579"/>
      <c r="FR14" s="579"/>
      <c r="FS14" s="579"/>
      <c r="FT14" s="579"/>
      <c r="FU14" s="579"/>
      <c r="FV14" s="579"/>
      <c r="FW14" s="579"/>
      <c r="FX14" s="579"/>
      <c r="FY14" s="579"/>
      <c r="FZ14" s="579"/>
      <c r="GA14" s="579"/>
      <c r="GB14" s="579"/>
      <c r="GC14" s="579"/>
      <c r="GD14" s="579"/>
      <c r="GE14" s="579"/>
      <c r="GF14" s="579"/>
      <c r="GG14" s="579"/>
      <c r="GH14" s="579"/>
      <c r="GI14" s="579"/>
      <c r="GJ14" s="579"/>
      <c r="GK14" s="579"/>
      <c r="GL14" s="579"/>
      <c r="GM14" s="579"/>
      <c r="GN14" s="579"/>
      <c r="GO14" s="579"/>
      <c r="GP14" s="579"/>
      <c r="GQ14" s="579"/>
      <c r="GR14" s="579"/>
      <c r="GS14" s="579"/>
      <c r="GT14" s="579"/>
      <c r="GU14" s="579"/>
      <c r="GV14" s="579"/>
      <c r="GW14" s="579"/>
      <c r="GX14" s="579"/>
      <c r="GY14" s="579"/>
      <c r="GZ14" s="579"/>
      <c r="HA14" s="579"/>
      <c r="HB14" s="579"/>
      <c r="HC14" s="579"/>
      <c r="HD14" s="579"/>
      <c r="HE14" s="579"/>
      <c r="HF14" s="579"/>
      <c r="HG14" s="579"/>
      <c r="HH14" s="579"/>
      <c r="HI14" s="579"/>
      <c r="HJ14" s="579"/>
      <c r="HK14" s="579"/>
      <c r="HL14" s="579"/>
      <c r="HM14" s="579"/>
      <c r="HN14" s="579"/>
      <c r="HO14" s="579"/>
      <c r="HP14" s="579"/>
      <c r="HQ14" s="579"/>
      <c r="HR14" s="579"/>
      <c r="HS14" s="579"/>
      <c r="HT14" s="579"/>
      <c r="HU14" s="579"/>
      <c r="HV14" s="579"/>
      <c r="HW14" s="579"/>
      <c r="HX14" s="579"/>
      <c r="HY14" s="579"/>
      <c r="HZ14" s="579"/>
      <c r="IA14" s="579"/>
      <c r="IB14" s="579"/>
      <c r="IC14" s="579"/>
      <c r="ID14" s="579"/>
      <c r="IE14" s="579"/>
      <c r="IF14" s="579"/>
      <c r="IG14" s="579"/>
      <c r="IH14" s="579"/>
      <c r="II14" s="579"/>
      <c r="IJ14" s="579"/>
      <c r="IK14" s="579"/>
      <c r="IL14" s="579"/>
      <c r="IM14" s="579"/>
      <c r="IN14" s="579"/>
      <c r="IO14" s="579"/>
      <c r="IP14" s="579"/>
      <c r="IQ14" s="579"/>
      <c r="IR14" s="579"/>
      <c r="IS14" s="579"/>
      <c r="IT14" s="579"/>
      <c r="IU14" s="579"/>
      <c r="IV14" s="579"/>
      <c r="IW14" s="579"/>
      <c r="IX14" s="579"/>
      <c r="IY14" s="579"/>
      <c r="IZ14" s="579"/>
      <c r="JA14" s="579"/>
      <c r="JB14" s="579"/>
      <c r="JC14" s="579"/>
      <c r="JD14" s="579"/>
      <c r="JE14" s="579"/>
      <c r="JF14" s="579"/>
      <c r="JG14" s="579"/>
      <c r="JH14" s="579"/>
      <c r="JI14" s="579"/>
      <c r="JJ14" s="579"/>
      <c r="JK14" s="579"/>
      <c r="JL14" s="579"/>
      <c r="JM14" s="579"/>
      <c r="JN14" s="579"/>
      <c r="JO14" s="579"/>
      <c r="JP14" s="579"/>
      <c r="JQ14" s="579"/>
      <c r="JR14" s="579"/>
      <c r="JS14" s="579"/>
      <c r="JT14" s="579"/>
      <c r="JU14" s="579"/>
    </row>
    <row r="15" spans="1:281" ht="78.75" customHeight="1" x14ac:dyDescent="0.25">
      <c r="A15" s="1167"/>
      <c r="B15" s="3099"/>
      <c r="C15" s="3099"/>
      <c r="D15" s="1169"/>
      <c r="E15" s="3099"/>
      <c r="F15" s="3099"/>
      <c r="G15" s="1169"/>
      <c r="H15" s="3099"/>
      <c r="I15" s="3099"/>
      <c r="J15" s="2744">
        <v>276</v>
      </c>
      <c r="K15" s="3100" t="s">
        <v>1042</v>
      </c>
      <c r="L15" s="2738" t="s">
        <v>1043</v>
      </c>
      <c r="M15" s="3089">
        <v>1</v>
      </c>
      <c r="N15" s="2744">
        <v>0.51</v>
      </c>
      <c r="O15" s="3088"/>
      <c r="P15" s="3076"/>
      <c r="Q15" s="2738"/>
      <c r="R15" s="3082">
        <f>+(W15+W16)/S13</f>
        <v>0.18024175376541401</v>
      </c>
      <c r="S15" s="3079"/>
      <c r="T15" s="2738"/>
      <c r="U15" s="2738" t="s">
        <v>1044</v>
      </c>
      <c r="V15" s="2738" t="s">
        <v>1045</v>
      </c>
      <c r="W15" s="1174">
        <v>240000000</v>
      </c>
      <c r="X15" s="1174">
        <v>176532000</v>
      </c>
      <c r="Y15" s="1174">
        <v>47652000</v>
      </c>
      <c r="Z15" s="1172">
        <v>20</v>
      </c>
      <c r="AA15" s="781" t="s">
        <v>1046</v>
      </c>
      <c r="AB15" s="3084"/>
      <c r="AC15" s="3084"/>
      <c r="AD15" s="3084"/>
      <c r="AE15" s="3084"/>
      <c r="AF15" s="3084"/>
      <c r="AG15" s="3084"/>
      <c r="AH15" s="3084"/>
      <c r="AI15" s="3084"/>
      <c r="AJ15" s="3084"/>
      <c r="AK15" s="3084"/>
      <c r="AL15" s="3084"/>
      <c r="AM15" s="3084"/>
      <c r="AN15" s="3084"/>
      <c r="AO15" s="3084"/>
      <c r="AP15" s="3084"/>
      <c r="AQ15" s="3084"/>
      <c r="AR15" s="3084"/>
      <c r="AS15" s="3084"/>
      <c r="AT15" s="3084"/>
      <c r="AU15" s="3084"/>
      <c r="AV15" s="3084"/>
      <c r="AW15" s="3084"/>
      <c r="AX15" s="3084"/>
      <c r="AY15" s="3084"/>
      <c r="AZ15" s="3084"/>
      <c r="BA15" s="3084"/>
      <c r="BB15" s="3084"/>
      <c r="BC15" s="3084"/>
      <c r="BD15" s="3084"/>
      <c r="BE15" s="3084"/>
      <c r="BF15" s="3084"/>
      <c r="BG15" s="3084"/>
      <c r="BH15" s="2775"/>
      <c r="BI15" s="2775"/>
      <c r="BJ15" s="2775"/>
      <c r="BK15" s="3102"/>
      <c r="BL15" s="2775"/>
      <c r="BM15" s="3105"/>
      <c r="BN15" s="3096"/>
      <c r="BO15" s="3096"/>
      <c r="BP15" s="3096"/>
      <c r="BQ15" s="3096"/>
      <c r="BR15" s="3098"/>
      <c r="BS15" s="579"/>
      <c r="BT15" s="579"/>
      <c r="BU15" s="579"/>
      <c r="BV15" s="579"/>
      <c r="BW15" s="579"/>
      <c r="BX15" s="579"/>
      <c r="BY15" s="579"/>
      <c r="BZ15" s="579"/>
      <c r="CA15" s="579"/>
      <c r="CB15" s="579"/>
      <c r="CC15" s="579"/>
      <c r="CD15" s="579"/>
      <c r="CE15" s="579"/>
      <c r="CF15" s="579"/>
      <c r="CG15" s="579"/>
      <c r="CH15" s="579"/>
      <c r="CI15" s="579"/>
      <c r="CJ15" s="579"/>
      <c r="CK15" s="579"/>
      <c r="CL15" s="579"/>
      <c r="CM15" s="579"/>
      <c r="CN15" s="579"/>
      <c r="CO15" s="579"/>
      <c r="CP15" s="579"/>
      <c r="CQ15" s="579"/>
      <c r="CR15" s="579"/>
      <c r="CS15" s="579"/>
      <c r="CT15" s="579"/>
      <c r="CU15" s="579"/>
      <c r="CV15" s="579"/>
      <c r="CW15" s="579"/>
      <c r="CX15" s="579"/>
      <c r="CY15" s="579"/>
      <c r="CZ15" s="579"/>
      <c r="DA15" s="579"/>
      <c r="DB15" s="579"/>
      <c r="DC15" s="579"/>
      <c r="DD15" s="579"/>
      <c r="DE15" s="579"/>
      <c r="DF15" s="579"/>
      <c r="DG15" s="579"/>
      <c r="DH15" s="579"/>
      <c r="DI15" s="579"/>
      <c r="DJ15" s="579"/>
      <c r="DK15" s="579"/>
      <c r="DL15" s="579"/>
      <c r="DM15" s="579"/>
      <c r="DN15" s="579"/>
      <c r="DO15" s="579"/>
      <c r="DP15" s="579"/>
      <c r="DQ15" s="579"/>
      <c r="DR15" s="579"/>
      <c r="DS15" s="579"/>
      <c r="DT15" s="579"/>
      <c r="DU15" s="579"/>
      <c r="DV15" s="579"/>
      <c r="DW15" s="579"/>
      <c r="DX15" s="579"/>
      <c r="DY15" s="579"/>
      <c r="DZ15" s="579"/>
      <c r="EA15" s="579"/>
      <c r="EB15" s="579"/>
      <c r="EC15" s="579"/>
      <c r="ED15" s="579"/>
      <c r="EE15" s="579"/>
      <c r="EF15" s="579"/>
      <c r="EG15" s="579"/>
      <c r="EH15" s="579"/>
      <c r="EI15" s="579"/>
      <c r="EJ15" s="579"/>
      <c r="EK15" s="579"/>
      <c r="EL15" s="579"/>
      <c r="EM15" s="579"/>
      <c r="EN15" s="579"/>
      <c r="EO15" s="579"/>
      <c r="EP15" s="579"/>
      <c r="EQ15" s="579"/>
      <c r="ER15" s="579"/>
      <c r="ES15" s="579"/>
      <c r="ET15" s="579"/>
      <c r="EU15" s="579"/>
      <c r="EV15" s="579"/>
      <c r="EW15" s="579"/>
      <c r="EX15" s="579"/>
      <c r="EY15" s="579"/>
      <c r="EZ15" s="579"/>
      <c r="FA15" s="579"/>
      <c r="FB15" s="579"/>
      <c r="FC15" s="579"/>
      <c r="FD15" s="579"/>
      <c r="FE15" s="579"/>
      <c r="FF15" s="579"/>
      <c r="FG15" s="579"/>
      <c r="FH15" s="579"/>
      <c r="FI15" s="579"/>
      <c r="FJ15" s="579"/>
      <c r="FK15" s="579"/>
      <c r="FL15" s="579"/>
      <c r="FM15" s="579"/>
      <c r="FN15" s="579"/>
      <c r="FO15" s="579"/>
      <c r="FP15" s="579"/>
      <c r="FQ15" s="579"/>
      <c r="FR15" s="579"/>
      <c r="FS15" s="579"/>
      <c r="FT15" s="579"/>
      <c r="FU15" s="579"/>
      <c r="FV15" s="579"/>
      <c r="FW15" s="579"/>
      <c r="FX15" s="579"/>
      <c r="FY15" s="579"/>
      <c r="FZ15" s="579"/>
      <c r="GA15" s="579"/>
      <c r="GB15" s="579"/>
      <c r="GC15" s="579"/>
      <c r="GD15" s="579"/>
      <c r="GE15" s="579"/>
      <c r="GF15" s="579"/>
      <c r="GG15" s="579"/>
      <c r="GH15" s="579"/>
      <c r="GI15" s="579"/>
      <c r="GJ15" s="579"/>
      <c r="GK15" s="579"/>
      <c r="GL15" s="579"/>
      <c r="GM15" s="579"/>
      <c r="GN15" s="579"/>
      <c r="GO15" s="579"/>
      <c r="GP15" s="579"/>
      <c r="GQ15" s="579"/>
      <c r="GR15" s="579"/>
      <c r="GS15" s="579"/>
      <c r="GT15" s="579"/>
      <c r="GU15" s="579"/>
      <c r="GV15" s="579"/>
      <c r="GW15" s="579"/>
      <c r="GX15" s="579"/>
      <c r="GY15" s="579"/>
      <c r="GZ15" s="579"/>
      <c r="HA15" s="579"/>
      <c r="HB15" s="579"/>
      <c r="HC15" s="579"/>
      <c r="HD15" s="579"/>
      <c r="HE15" s="579"/>
      <c r="HF15" s="579"/>
      <c r="HG15" s="579"/>
      <c r="HH15" s="579"/>
      <c r="HI15" s="579"/>
      <c r="HJ15" s="579"/>
      <c r="HK15" s="579"/>
      <c r="HL15" s="579"/>
      <c r="HM15" s="579"/>
      <c r="HN15" s="579"/>
      <c r="HO15" s="579"/>
      <c r="HP15" s="579"/>
      <c r="HQ15" s="579"/>
      <c r="HR15" s="579"/>
      <c r="HS15" s="579"/>
      <c r="HT15" s="579"/>
      <c r="HU15" s="579"/>
      <c r="HV15" s="579"/>
      <c r="HW15" s="579"/>
      <c r="HX15" s="579"/>
      <c r="HY15" s="579"/>
      <c r="HZ15" s="579"/>
      <c r="IA15" s="579"/>
      <c r="IB15" s="579"/>
      <c r="IC15" s="579"/>
      <c r="ID15" s="579"/>
      <c r="IE15" s="579"/>
      <c r="IF15" s="579"/>
      <c r="IG15" s="579"/>
      <c r="IH15" s="579"/>
      <c r="II15" s="579"/>
      <c r="IJ15" s="579"/>
      <c r="IK15" s="579"/>
      <c r="IL15" s="579"/>
      <c r="IM15" s="579"/>
      <c r="IN15" s="579"/>
      <c r="IO15" s="579"/>
      <c r="IP15" s="579"/>
      <c r="IQ15" s="579"/>
      <c r="IR15" s="579"/>
      <c r="IS15" s="579"/>
      <c r="IT15" s="579"/>
      <c r="IU15" s="579"/>
      <c r="IV15" s="579"/>
      <c r="IW15" s="579"/>
      <c r="IX15" s="579"/>
      <c r="IY15" s="579"/>
      <c r="IZ15" s="579"/>
      <c r="JA15" s="579"/>
      <c r="JB15" s="579"/>
      <c r="JC15" s="579"/>
      <c r="JD15" s="579"/>
      <c r="JE15" s="579"/>
      <c r="JF15" s="579"/>
      <c r="JG15" s="579"/>
      <c r="JH15" s="579"/>
      <c r="JI15" s="579"/>
      <c r="JJ15" s="579"/>
      <c r="JK15" s="579"/>
      <c r="JL15" s="579"/>
      <c r="JM15" s="579"/>
      <c r="JN15" s="579"/>
      <c r="JO15" s="579"/>
      <c r="JP15" s="579"/>
      <c r="JQ15" s="579"/>
      <c r="JR15" s="579"/>
      <c r="JS15" s="579"/>
      <c r="JT15" s="579"/>
      <c r="JU15" s="579"/>
    </row>
    <row r="16" spans="1:281" ht="56.25" customHeight="1" x14ac:dyDescent="0.25">
      <c r="A16" s="1167"/>
      <c r="B16" s="1168"/>
      <c r="C16" s="1168"/>
      <c r="D16" s="1169"/>
      <c r="E16" s="1168"/>
      <c r="F16" s="1168"/>
      <c r="G16" s="1169"/>
      <c r="H16" s="1168"/>
      <c r="I16" s="1168"/>
      <c r="J16" s="2745"/>
      <c r="K16" s="3100"/>
      <c r="L16" s="2738"/>
      <c r="M16" s="3089"/>
      <c r="N16" s="2745"/>
      <c r="O16" s="3088"/>
      <c r="P16" s="3076"/>
      <c r="Q16" s="2738"/>
      <c r="R16" s="3082"/>
      <c r="S16" s="3079"/>
      <c r="T16" s="2738"/>
      <c r="U16" s="2738"/>
      <c r="V16" s="2738"/>
      <c r="W16" s="1174">
        <f>0+103531048</f>
        <v>103531048</v>
      </c>
      <c r="X16" s="1174">
        <v>0</v>
      </c>
      <c r="Y16" s="1174">
        <v>0</v>
      </c>
      <c r="Z16" s="1172">
        <v>88</v>
      </c>
      <c r="AA16" s="781" t="s">
        <v>369</v>
      </c>
      <c r="AB16" s="3084"/>
      <c r="AC16" s="3084"/>
      <c r="AD16" s="3084"/>
      <c r="AE16" s="3084"/>
      <c r="AF16" s="3084"/>
      <c r="AG16" s="3084"/>
      <c r="AH16" s="3084"/>
      <c r="AI16" s="3084"/>
      <c r="AJ16" s="3084"/>
      <c r="AK16" s="3084"/>
      <c r="AL16" s="3084"/>
      <c r="AM16" s="3084"/>
      <c r="AN16" s="3084"/>
      <c r="AO16" s="3084"/>
      <c r="AP16" s="3084"/>
      <c r="AQ16" s="3084"/>
      <c r="AR16" s="3084"/>
      <c r="AS16" s="3084"/>
      <c r="AT16" s="3084"/>
      <c r="AU16" s="3084"/>
      <c r="AV16" s="3084"/>
      <c r="AW16" s="3084"/>
      <c r="AX16" s="3084"/>
      <c r="AY16" s="3084"/>
      <c r="AZ16" s="3084"/>
      <c r="BA16" s="3084"/>
      <c r="BB16" s="3084"/>
      <c r="BC16" s="3084"/>
      <c r="BD16" s="3084"/>
      <c r="BE16" s="3084"/>
      <c r="BF16" s="3084"/>
      <c r="BG16" s="3084"/>
      <c r="BH16" s="2775"/>
      <c r="BI16" s="2775"/>
      <c r="BJ16" s="2775"/>
      <c r="BK16" s="3102"/>
      <c r="BL16" s="2775"/>
      <c r="BM16" s="3105"/>
      <c r="BN16" s="3096"/>
      <c r="BO16" s="3096"/>
      <c r="BP16" s="3096"/>
      <c r="BQ16" s="3096"/>
      <c r="BR16" s="3098"/>
      <c r="BS16" s="579"/>
      <c r="BT16" s="579"/>
      <c r="BU16" s="579"/>
      <c r="BV16" s="579"/>
      <c r="BW16" s="579"/>
      <c r="BX16" s="579"/>
      <c r="BY16" s="579"/>
      <c r="BZ16" s="579"/>
      <c r="CA16" s="579"/>
      <c r="CB16" s="579"/>
      <c r="CC16" s="579"/>
      <c r="CD16" s="579"/>
      <c r="CE16" s="579"/>
      <c r="CF16" s="579"/>
      <c r="CG16" s="579"/>
      <c r="CH16" s="579"/>
      <c r="CI16" s="579"/>
      <c r="CJ16" s="579"/>
      <c r="CK16" s="579"/>
      <c r="CL16" s="579"/>
      <c r="CM16" s="579"/>
      <c r="CN16" s="579"/>
      <c r="CO16" s="579"/>
      <c r="CP16" s="579"/>
      <c r="CQ16" s="579"/>
      <c r="CR16" s="579"/>
      <c r="CS16" s="579"/>
      <c r="CT16" s="579"/>
      <c r="CU16" s="579"/>
      <c r="CV16" s="579"/>
      <c r="CW16" s="579"/>
      <c r="CX16" s="579"/>
      <c r="CY16" s="579"/>
      <c r="CZ16" s="579"/>
      <c r="DA16" s="579"/>
      <c r="DB16" s="579"/>
      <c r="DC16" s="579"/>
      <c r="DD16" s="579"/>
      <c r="DE16" s="579"/>
      <c r="DF16" s="579"/>
      <c r="DG16" s="579"/>
      <c r="DH16" s="579"/>
      <c r="DI16" s="579"/>
      <c r="DJ16" s="579"/>
      <c r="DK16" s="579"/>
      <c r="DL16" s="579"/>
      <c r="DM16" s="579"/>
      <c r="DN16" s="579"/>
      <c r="DO16" s="579"/>
      <c r="DP16" s="579"/>
      <c r="DQ16" s="579"/>
      <c r="DR16" s="579"/>
      <c r="DS16" s="579"/>
      <c r="DT16" s="579"/>
      <c r="DU16" s="579"/>
      <c r="DV16" s="579"/>
      <c r="DW16" s="579"/>
      <c r="DX16" s="579"/>
      <c r="DY16" s="579"/>
      <c r="DZ16" s="579"/>
      <c r="EA16" s="579"/>
      <c r="EB16" s="579"/>
      <c r="EC16" s="579"/>
      <c r="ED16" s="579"/>
      <c r="EE16" s="579"/>
      <c r="EF16" s="579"/>
      <c r="EG16" s="579"/>
      <c r="EH16" s="579"/>
      <c r="EI16" s="579"/>
      <c r="EJ16" s="579"/>
      <c r="EK16" s="579"/>
      <c r="EL16" s="579"/>
      <c r="EM16" s="579"/>
      <c r="EN16" s="579"/>
      <c r="EO16" s="579"/>
      <c r="EP16" s="579"/>
      <c r="EQ16" s="579"/>
      <c r="ER16" s="579"/>
      <c r="ES16" s="579"/>
      <c r="ET16" s="579"/>
      <c r="EU16" s="579"/>
      <c r="EV16" s="579"/>
      <c r="EW16" s="579"/>
      <c r="EX16" s="579"/>
      <c r="EY16" s="579"/>
      <c r="EZ16" s="579"/>
      <c r="FA16" s="579"/>
      <c r="FB16" s="579"/>
      <c r="FC16" s="579"/>
      <c r="FD16" s="579"/>
      <c r="FE16" s="579"/>
      <c r="FF16" s="579"/>
      <c r="FG16" s="579"/>
      <c r="FH16" s="579"/>
      <c r="FI16" s="579"/>
      <c r="FJ16" s="579"/>
      <c r="FK16" s="579"/>
      <c r="FL16" s="579"/>
      <c r="FM16" s="579"/>
      <c r="FN16" s="579"/>
      <c r="FO16" s="579"/>
      <c r="FP16" s="579"/>
      <c r="FQ16" s="579"/>
      <c r="FR16" s="579"/>
      <c r="FS16" s="579"/>
      <c r="FT16" s="579"/>
      <c r="FU16" s="579"/>
      <c r="FV16" s="579"/>
      <c r="FW16" s="579"/>
      <c r="FX16" s="579"/>
      <c r="FY16" s="579"/>
      <c r="FZ16" s="579"/>
      <c r="GA16" s="579"/>
      <c r="GB16" s="579"/>
      <c r="GC16" s="579"/>
      <c r="GD16" s="579"/>
      <c r="GE16" s="579"/>
      <c r="GF16" s="579"/>
      <c r="GG16" s="579"/>
      <c r="GH16" s="579"/>
      <c r="GI16" s="579"/>
      <c r="GJ16" s="579"/>
      <c r="GK16" s="579"/>
      <c r="GL16" s="579"/>
      <c r="GM16" s="579"/>
      <c r="GN16" s="579"/>
      <c r="GO16" s="579"/>
      <c r="GP16" s="579"/>
      <c r="GQ16" s="579"/>
      <c r="GR16" s="579"/>
      <c r="GS16" s="579"/>
      <c r="GT16" s="579"/>
      <c r="GU16" s="579"/>
      <c r="GV16" s="579"/>
      <c r="GW16" s="579"/>
      <c r="GX16" s="579"/>
      <c r="GY16" s="579"/>
      <c r="GZ16" s="579"/>
      <c r="HA16" s="579"/>
      <c r="HB16" s="579"/>
      <c r="HC16" s="579"/>
      <c r="HD16" s="579"/>
      <c r="HE16" s="579"/>
      <c r="HF16" s="579"/>
      <c r="HG16" s="579"/>
      <c r="HH16" s="579"/>
      <c r="HI16" s="579"/>
      <c r="HJ16" s="579"/>
      <c r="HK16" s="579"/>
      <c r="HL16" s="579"/>
      <c r="HM16" s="579"/>
      <c r="HN16" s="579"/>
      <c r="HO16" s="579"/>
      <c r="HP16" s="579"/>
      <c r="HQ16" s="579"/>
      <c r="HR16" s="579"/>
      <c r="HS16" s="579"/>
      <c r="HT16" s="579"/>
      <c r="HU16" s="579"/>
      <c r="HV16" s="579"/>
      <c r="HW16" s="579"/>
      <c r="HX16" s="579"/>
      <c r="HY16" s="579"/>
      <c r="HZ16" s="579"/>
      <c r="IA16" s="579"/>
      <c r="IB16" s="579"/>
      <c r="IC16" s="579"/>
      <c r="ID16" s="579"/>
      <c r="IE16" s="579"/>
      <c r="IF16" s="579"/>
      <c r="IG16" s="579"/>
      <c r="IH16" s="579"/>
      <c r="II16" s="579"/>
      <c r="IJ16" s="579"/>
      <c r="IK16" s="579"/>
      <c r="IL16" s="579"/>
      <c r="IM16" s="579"/>
      <c r="IN16" s="579"/>
      <c r="IO16" s="579"/>
      <c r="IP16" s="579"/>
      <c r="IQ16" s="579"/>
      <c r="IR16" s="579"/>
      <c r="IS16" s="579"/>
      <c r="IT16" s="579"/>
      <c r="IU16" s="579"/>
      <c r="IV16" s="579"/>
      <c r="IW16" s="579"/>
      <c r="IX16" s="579"/>
      <c r="IY16" s="579"/>
      <c r="IZ16" s="579"/>
      <c r="JA16" s="579"/>
      <c r="JB16" s="579"/>
      <c r="JC16" s="579"/>
      <c r="JD16" s="579"/>
      <c r="JE16" s="579"/>
      <c r="JF16" s="579"/>
      <c r="JG16" s="579"/>
      <c r="JH16" s="579"/>
      <c r="JI16" s="579"/>
      <c r="JJ16" s="579"/>
      <c r="JK16" s="579"/>
      <c r="JL16" s="579"/>
      <c r="JM16" s="579"/>
      <c r="JN16" s="579"/>
      <c r="JO16" s="579"/>
      <c r="JP16" s="579"/>
      <c r="JQ16" s="579"/>
      <c r="JR16" s="579"/>
      <c r="JS16" s="579"/>
      <c r="JT16" s="579"/>
      <c r="JU16" s="579"/>
    </row>
    <row r="17" spans="1:281" ht="29.25" customHeight="1" x14ac:dyDescent="0.25">
      <c r="A17" s="1167"/>
      <c r="B17" s="1168"/>
      <c r="C17" s="1168"/>
      <c r="D17" s="1169"/>
      <c r="E17" s="1168"/>
      <c r="F17" s="1168"/>
      <c r="G17" s="1169"/>
      <c r="H17" s="1168"/>
      <c r="I17" s="1168"/>
      <c r="J17" s="3088">
        <v>277</v>
      </c>
      <c r="K17" s="2738" t="s">
        <v>1047</v>
      </c>
      <c r="L17" s="2738" t="s">
        <v>1048</v>
      </c>
      <c r="M17" s="3089">
        <v>1</v>
      </c>
      <c r="N17" s="2744">
        <v>0.25</v>
      </c>
      <c r="O17" s="3088"/>
      <c r="P17" s="3076"/>
      <c r="Q17" s="2738"/>
      <c r="R17" s="3082">
        <f>+W17/S13</f>
        <v>0.13116845974676938</v>
      </c>
      <c r="S17" s="3079"/>
      <c r="T17" s="2738"/>
      <c r="U17" s="2738" t="s">
        <v>1049</v>
      </c>
      <c r="V17" s="2738" t="s">
        <v>1050</v>
      </c>
      <c r="W17" s="3094">
        <v>250000000</v>
      </c>
      <c r="X17" s="3090">
        <v>0</v>
      </c>
      <c r="Y17" s="3090">
        <v>0</v>
      </c>
      <c r="Z17" s="3093">
        <v>56</v>
      </c>
      <c r="AA17" s="3088" t="s">
        <v>1051</v>
      </c>
      <c r="AB17" s="3084"/>
      <c r="AC17" s="3084"/>
      <c r="AD17" s="3084"/>
      <c r="AE17" s="3084"/>
      <c r="AF17" s="3084"/>
      <c r="AG17" s="3084"/>
      <c r="AH17" s="3084"/>
      <c r="AI17" s="3084"/>
      <c r="AJ17" s="3084"/>
      <c r="AK17" s="3084"/>
      <c r="AL17" s="3084"/>
      <c r="AM17" s="3084"/>
      <c r="AN17" s="3084"/>
      <c r="AO17" s="3084"/>
      <c r="AP17" s="3084"/>
      <c r="AQ17" s="3084"/>
      <c r="AR17" s="3084"/>
      <c r="AS17" s="3084"/>
      <c r="AT17" s="3084"/>
      <c r="AU17" s="3084"/>
      <c r="AV17" s="3084"/>
      <c r="AW17" s="3084"/>
      <c r="AX17" s="3084"/>
      <c r="AY17" s="3084"/>
      <c r="AZ17" s="3084"/>
      <c r="BA17" s="3084"/>
      <c r="BB17" s="3084"/>
      <c r="BC17" s="3084"/>
      <c r="BD17" s="3084"/>
      <c r="BE17" s="3084"/>
      <c r="BF17" s="3084"/>
      <c r="BG17" s="3084"/>
      <c r="BH17" s="2775"/>
      <c r="BI17" s="2775"/>
      <c r="BJ17" s="2775"/>
      <c r="BK17" s="3102"/>
      <c r="BL17" s="2775"/>
      <c r="BM17" s="3105"/>
      <c r="BN17" s="3096"/>
      <c r="BO17" s="3096"/>
      <c r="BP17" s="3096"/>
      <c r="BQ17" s="3096"/>
      <c r="BR17" s="3098"/>
      <c r="BS17" s="579"/>
      <c r="BT17" s="579"/>
      <c r="BU17" s="579"/>
      <c r="BV17" s="579"/>
      <c r="BW17" s="579"/>
      <c r="BX17" s="579"/>
      <c r="BY17" s="579"/>
      <c r="BZ17" s="579"/>
      <c r="CA17" s="579"/>
      <c r="CB17" s="579"/>
      <c r="CC17" s="579"/>
      <c r="CD17" s="579"/>
      <c r="CE17" s="579"/>
      <c r="CF17" s="579"/>
      <c r="CG17" s="579"/>
      <c r="CH17" s="579"/>
      <c r="CI17" s="579"/>
      <c r="CJ17" s="579"/>
      <c r="CK17" s="579"/>
      <c r="CL17" s="579"/>
      <c r="CM17" s="579"/>
      <c r="CN17" s="579"/>
      <c r="CO17" s="579"/>
      <c r="CP17" s="579"/>
      <c r="CQ17" s="579"/>
      <c r="CR17" s="579"/>
      <c r="CS17" s="579"/>
      <c r="CT17" s="579"/>
      <c r="CU17" s="579"/>
      <c r="CV17" s="579"/>
      <c r="CW17" s="579"/>
      <c r="CX17" s="579"/>
      <c r="CY17" s="579"/>
      <c r="CZ17" s="579"/>
      <c r="DA17" s="579"/>
      <c r="DB17" s="579"/>
      <c r="DC17" s="579"/>
      <c r="DD17" s="579"/>
      <c r="DE17" s="579"/>
      <c r="DF17" s="579"/>
      <c r="DG17" s="579"/>
      <c r="DH17" s="579"/>
      <c r="DI17" s="579"/>
      <c r="DJ17" s="579"/>
      <c r="DK17" s="579"/>
      <c r="DL17" s="579"/>
      <c r="DM17" s="579"/>
      <c r="DN17" s="579"/>
      <c r="DO17" s="579"/>
      <c r="DP17" s="579"/>
      <c r="DQ17" s="579"/>
      <c r="DR17" s="579"/>
      <c r="DS17" s="579"/>
      <c r="DT17" s="579"/>
      <c r="DU17" s="579"/>
      <c r="DV17" s="579"/>
      <c r="DW17" s="579"/>
      <c r="DX17" s="579"/>
      <c r="DY17" s="579"/>
      <c r="DZ17" s="579"/>
      <c r="EA17" s="579"/>
      <c r="EB17" s="579"/>
      <c r="EC17" s="579"/>
      <c r="ED17" s="579"/>
      <c r="EE17" s="579"/>
      <c r="EF17" s="579"/>
      <c r="EG17" s="579"/>
      <c r="EH17" s="579"/>
      <c r="EI17" s="579"/>
      <c r="EJ17" s="579"/>
      <c r="EK17" s="579"/>
      <c r="EL17" s="579"/>
      <c r="EM17" s="579"/>
      <c r="EN17" s="579"/>
      <c r="EO17" s="579"/>
      <c r="EP17" s="579"/>
      <c r="EQ17" s="579"/>
      <c r="ER17" s="579"/>
      <c r="ES17" s="579"/>
      <c r="ET17" s="579"/>
      <c r="EU17" s="579"/>
      <c r="EV17" s="579"/>
      <c r="EW17" s="579"/>
      <c r="EX17" s="579"/>
      <c r="EY17" s="579"/>
      <c r="EZ17" s="579"/>
      <c r="FA17" s="579"/>
      <c r="FB17" s="579"/>
      <c r="FC17" s="579"/>
      <c r="FD17" s="579"/>
      <c r="FE17" s="579"/>
      <c r="FF17" s="579"/>
      <c r="FG17" s="579"/>
      <c r="FH17" s="579"/>
      <c r="FI17" s="579"/>
      <c r="FJ17" s="579"/>
      <c r="FK17" s="579"/>
      <c r="FL17" s="579"/>
      <c r="FM17" s="579"/>
      <c r="FN17" s="579"/>
      <c r="FO17" s="579"/>
      <c r="FP17" s="579"/>
      <c r="FQ17" s="579"/>
      <c r="FR17" s="579"/>
      <c r="FS17" s="579"/>
      <c r="FT17" s="579"/>
      <c r="FU17" s="579"/>
      <c r="FV17" s="579"/>
      <c r="FW17" s="579"/>
      <c r="FX17" s="579"/>
      <c r="FY17" s="579"/>
      <c r="FZ17" s="579"/>
      <c r="GA17" s="579"/>
      <c r="GB17" s="579"/>
      <c r="GC17" s="579"/>
      <c r="GD17" s="579"/>
      <c r="GE17" s="579"/>
      <c r="GF17" s="579"/>
      <c r="GG17" s="579"/>
      <c r="GH17" s="579"/>
      <c r="GI17" s="579"/>
      <c r="GJ17" s="579"/>
      <c r="GK17" s="579"/>
      <c r="GL17" s="579"/>
      <c r="GM17" s="579"/>
      <c r="GN17" s="579"/>
      <c r="GO17" s="579"/>
      <c r="GP17" s="579"/>
      <c r="GQ17" s="579"/>
      <c r="GR17" s="579"/>
      <c r="GS17" s="579"/>
      <c r="GT17" s="579"/>
      <c r="GU17" s="579"/>
      <c r="GV17" s="579"/>
      <c r="GW17" s="579"/>
      <c r="GX17" s="579"/>
      <c r="GY17" s="579"/>
      <c r="GZ17" s="579"/>
      <c r="HA17" s="579"/>
      <c r="HB17" s="579"/>
      <c r="HC17" s="579"/>
      <c r="HD17" s="579"/>
      <c r="HE17" s="579"/>
      <c r="HF17" s="579"/>
      <c r="HG17" s="579"/>
      <c r="HH17" s="579"/>
      <c r="HI17" s="579"/>
      <c r="HJ17" s="579"/>
      <c r="HK17" s="579"/>
      <c r="HL17" s="579"/>
      <c r="HM17" s="579"/>
      <c r="HN17" s="579"/>
      <c r="HO17" s="579"/>
      <c r="HP17" s="579"/>
      <c r="HQ17" s="579"/>
      <c r="HR17" s="579"/>
      <c r="HS17" s="579"/>
      <c r="HT17" s="579"/>
      <c r="HU17" s="579"/>
      <c r="HV17" s="579"/>
      <c r="HW17" s="579"/>
      <c r="HX17" s="579"/>
      <c r="HY17" s="579"/>
      <c r="HZ17" s="579"/>
      <c r="IA17" s="579"/>
      <c r="IB17" s="579"/>
      <c r="IC17" s="579"/>
      <c r="ID17" s="579"/>
      <c r="IE17" s="579"/>
      <c r="IF17" s="579"/>
      <c r="IG17" s="579"/>
      <c r="IH17" s="579"/>
      <c r="II17" s="579"/>
      <c r="IJ17" s="579"/>
      <c r="IK17" s="579"/>
      <c r="IL17" s="579"/>
      <c r="IM17" s="579"/>
      <c r="IN17" s="579"/>
      <c r="IO17" s="579"/>
      <c r="IP17" s="579"/>
      <c r="IQ17" s="579"/>
      <c r="IR17" s="579"/>
      <c r="IS17" s="579"/>
      <c r="IT17" s="579"/>
      <c r="IU17" s="579"/>
      <c r="IV17" s="579"/>
      <c r="IW17" s="579"/>
      <c r="IX17" s="579"/>
      <c r="IY17" s="579"/>
      <c r="IZ17" s="579"/>
      <c r="JA17" s="579"/>
      <c r="JB17" s="579"/>
      <c r="JC17" s="579"/>
      <c r="JD17" s="579"/>
      <c r="JE17" s="579"/>
      <c r="JF17" s="579"/>
      <c r="JG17" s="579"/>
      <c r="JH17" s="579"/>
      <c r="JI17" s="579"/>
      <c r="JJ17" s="579"/>
      <c r="JK17" s="579"/>
      <c r="JL17" s="579"/>
      <c r="JM17" s="579"/>
      <c r="JN17" s="579"/>
      <c r="JO17" s="579"/>
      <c r="JP17" s="579"/>
      <c r="JQ17" s="579"/>
      <c r="JR17" s="579"/>
      <c r="JS17" s="579"/>
      <c r="JT17" s="579"/>
      <c r="JU17" s="579"/>
    </row>
    <row r="18" spans="1:281" ht="23.25" customHeight="1" x14ac:dyDescent="0.25">
      <c r="A18" s="1167"/>
      <c r="B18" s="1168"/>
      <c r="C18" s="1168"/>
      <c r="D18" s="1169"/>
      <c r="E18" s="1168"/>
      <c r="F18" s="1168"/>
      <c r="G18" s="1169"/>
      <c r="H18" s="1168"/>
      <c r="I18" s="1168"/>
      <c r="J18" s="3088"/>
      <c r="K18" s="2738"/>
      <c r="L18" s="2738"/>
      <c r="M18" s="3089"/>
      <c r="N18" s="3088"/>
      <c r="O18" s="3088"/>
      <c r="P18" s="3076"/>
      <c r="Q18" s="2738"/>
      <c r="R18" s="3082"/>
      <c r="S18" s="3079"/>
      <c r="T18" s="2738"/>
      <c r="U18" s="2738"/>
      <c r="V18" s="2738"/>
      <c r="W18" s="3094"/>
      <c r="X18" s="3091"/>
      <c r="Y18" s="3091"/>
      <c r="Z18" s="3093"/>
      <c r="AA18" s="3088"/>
      <c r="AB18" s="3084"/>
      <c r="AC18" s="3084"/>
      <c r="AD18" s="3084"/>
      <c r="AE18" s="3084"/>
      <c r="AF18" s="3084"/>
      <c r="AG18" s="3084"/>
      <c r="AH18" s="3084"/>
      <c r="AI18" s="3084"/>
      <c r="AJ18" s="3084"/>
      <c r="AK18" s="3084"/>
      <c r="AL18" s="3084"/>
      <c r="AM18" s="3084"/>
      <c r="AN18" s="3084"/>
      <c r="AO18" s="3084"/>
      <c r="AP18" s="3084"/>
      <c r="AQ18" s="3084"/>
      <c r="AR18" s="3084"/>
      <c r="AS18" s="3084"/>
      <c r="AT18" s="3084"/>
      <c r="AU18" s="3084"/>
      <c r="AV18" s="3084"/>
      <c r="AW18" s="3084"/>
      <c r="AX18" s="3084"/>
      <c r="AY18" s="3084"/>
      <c r="AZ18" s="3084"/>
      <c r="BA18" s="3084"/>
      <c r="BB18" s="3084"/>
      <c r="BC18" s="3084"/>
      <c r="BD18" s="3084"/>
      <c r="BE18" s="3084"/>
      <c r="BF18" s="3084"/>
      <c r="BG18" s="3084"/>
      <c r="BH18" s="2775"/>
      <c r="BI18" s="2775"/>
      <c r="BJ18" s="2775"/>
      <c r="BK18" s="3102"/>
      <c r="BL18" s="2775"/>
      <c r="BM18" s="3105"/>
      <c r="BN18" s="3096"/>
      <c r="BO18" s="3096"/>
      <c r="BP18" s="3096"/>
      <c r="BQ18" s="3096"/>
      <c r="BR18" s="3098"/>
      <c r="BS18" s="579"/>
      <c r="BT18" s="579"/>
      <c r="BU18" s="579"/>
      <c r="BV18" s="579"/>
      <c r="BW18" s="579"/>
      <c r="BX18" s="579"/>
      <c r="BY18" s="579"/>
      <c r="BZ18" s="579"/>
      <c r="CA18" s="579"/>
      <c r="CB18" s="579"/>
      <c r="CC18" s="579"/>
      <c r="CD18" s="579"/>
      <c r="CE18" s="579"/>
      <c r="CF18" s="579"/>
      <c r="CG18" s="579"/>
      <c r="CH18" s="579"/>
      <c r="CI18" s="579"/>
      <c r="CJ18" s="579"/>
      <c r="CK18" s="579"/>
      <c r="CL18" s="579"/>
      <c r="CM18" s="579"/>
      <c r="CN18" s="579"/>
      <c r="CO18" s="579"/>
      <c r="CP18" s="579"/>
      <c r="CQ18" s="579"/>
      <c r="CR18" s="579"/>
      <c r="CS18" s="579"/>
      <c r="CT18" s="579"/>
      <c r="CU18" s="579"/>
      <c r="CV18" s="579"/>
      <c r="CW18" s="579"/>
      <c r="CX18" s="579"/>
      <c r="CY18" s="579"/>
      <c r="CZ18" s="579"/>
      <c r="DA18" s="579"/>
      <c r="DB18" s="579"/>
      <c r="DC18" s="579"/>
      <c r="DD18" s="579"/>
      <c r="DE18" s="579"/>
      <c r="DF18" s="579"/>
      <c r="DG18" s="579"/>
      <c r="DH18" s="579"/>
      <c r="DI18" s="579"/>
      <c r="DJ18" s="579"/>
      <c r="DK18" s="579"/>
      <c r="DL18" s="579"/>
      <c r="DM18" s="579"/>
      <c r="DN18" s="579"/>
      <c r="DO18" s="579"/>
      <c r="DP18" s="579"/>
      <c r="DQ18" s="579"/>
      <c r="DR18" s="579"/>
      <c r="DS18" s="579"/>
      <c r="DT18" s="579"/>
      <c r="DU18" s="579"/>
      <c r="DV18" s="579"/>
      <c r="DW18" s="579"/>
      <c r="DX18" s="579"/>
      <c r="DY18" s="579"/>
      <c r="DZ18" s="579"/>
      <c r="EA18" s="579"/>
      <c r="EB18" s="579"/>
      <c r="EC18" s="579"/>
      <c r="ED18" s="579"/>
      <c r="EE18" s="579"/>
      <c r="EF18" s="579"/>
      <c r="EG18" s="579"/>
      <c r="EH18" s="579"/>
      <c r="EI18" s="579"/>
      <c r="EJ18" s="579"/>
      <c r="EK18" s="579"/>
      <c r="EL18" s="579"/>
      <c r="EM18" s="579"/>
      <c r="EN18" s="579"/>
      <c r="EO18" s="579"/>
      <c r="EP18" s="579"/>
      <c r="EQ18" s="579"/>
      <c r="ER18" s="579"/>
      <c r="ES18" s="579"/>
      <c r="ET18" s="579"/>
      <c r="EU18" s="579"/>
      <c r="EV18" s="579"/>
      <c r="EW18" s="579"/>
      <c r="EX18" s="579"/>
      <c r="EY18" s="579"/>
      <c r="EZ18" s="579"/>
      <c r="FA18" s="579"/>
      <c r="FB18" s="579"/>
      <c r="FC18" s="579"/>
      <c r="FD18" s="579"/>
      <c r="FE18" s="579"/>
      <c r="FF18" s="579"/>
      <c r="FG18" s="579"/>
      <c r="FH18" s="579"/>
      <c r="FI18" s="579"/>
      <c r="FJ18" s="579"/>
      <c r="FK18" s="579"/>
      <c r="FL18" s="579"/>
      <c r="FM18" s="579"/>
      <c r="FN18" s="579"/>
      <c r="FO18" s="579"/>
      <c r="FP18" s="579"/>
      <c r="FQ18" s="579"/>
      <c r="FR18" s="579"/>
      <c r="FS18" s="579"/>
      <c r="FT18" s="579"/>
      <c r="FU18" s="579"/>
      <c r="FV18" s="579"/>
      <c r="FW18" s="579"/>
      <c r="FX18" s="579"/>
      <c r="FY18" s="579"/>
      <c r="FZ18" s="579"/>
      <c r="GA18" s="579"/>
      <c r="GB18" s="579"/>
      <c r="GC18" s="579"/>
      <c r="GD18" s="579"/>
      <c r="GE18" s="579"/>
      <c r="GF18" s="579"/>
      <c r="GG18" s="579"/>
      <c r="GH18" s="579"/>
      <c r="GI18" s="579"/>
      <c r="GJ18" s="579"/>
      <c r="GK18" s="579"/>
      <c r="GL18" s="579"/>
      <c r="GM18" s="579"/>
      <c r="GN18" s="579"/>
      <c r="GO18" s="579"/>
      <c r="GP18" s="579"/>
      <c r="GQ18" s="579"/>
      <c r="GR18" s="579"/>
      <c r="GS18" s="579"/>
      <c r="GT18" s="579"/>
      <c r="GU18" s="579"/>
      <c r="GV18" s="579"/>
      <c r="GW18" s="579"/>
      <c r="GX18" s="579"/>
      <c r="GY18" s="579"/>
      <c r="GZ18" s="579"/>
      <c r="HA18" s="579"/>
      <c r="HB18" s="579"/>
      <c r="HC18" s="579"/>
      <c r="HD18" s="579"/>
      <c r="HE18" s="579"/>
      <c r="HF18" s="579"/>
      <c r="HG18" s="579"/>
      <c r="HH18" s="579"/>
      <c r="HI18" s="579"/>
      <c r="HJ18" s="579"/>
      <c r="HK18" s="579"/>
      <c r="HL18" s="579"/>
      <c r="HM18" s="579"/>
      <c r="HN18" s="579"/>
      <c r="HO18" s="579"/>
      <c r="HP18" s="579"/>
      <c r="HQ18" s="579"/>
      <c r="HR18" s="579"/>
      <c r="HS18" s="579"/>
      <c r="HT18" s="579"/>
      <c r="HU18" s="579"/>
      <c r="HV18" s="579"/>
      <c r="HW18" s="579"/>
      <c r="HX18" s="579"/>
      <c r="HY18" s="579"/>
      <c r="HZ18" s="579"/>
      <c r="IA18" s="579"/>
      <c r="IB18" s="579"/>
      <c r="IC18" s="579"/>
      <c r="ID18" s="579"/>
      <c r="IE18" s="579"/>
      <c r="IF18" s="579"/>
      <c r="IG18" s="579"/>
      <c r="IH18" s="579"/>
      <c r="II18" s="579"/>
      <c r="IJ18" s="579"/>
      <c r="IK18" s="579"/>
      <c r="IL18" s="579"/>
      <c r="IM18" s="579"/>
      <c r="IN18" s="579"/>
      <c r="IO18" s="579"/>
      <c r="IP18" s="579"/>
      <c r="IQ18" s="579"/>
      <c r="IR18" s="579"/>
      <c r="IS18" s="579"/>
      <c r="IT18" s="579"/>
      <c r="IU18" s="579"/>
      <c r="IV18" s="579"/>
      <c r="IW18" s="579"/>
      <c r="IX18" s="579"/>
      <c r="IY18" s="579"/>
      <c r="IZ18" s="579"/>
      <c r="JA18" s="579"/>
      <c r="JB18" s="579"/>
      <c r="JC18" s="579"/>
      <c r="JD18" s="579"/>
      <c r="JE18" s="579"/>
      <c r="JF18" s="579"/>
      <c r="JG18" s="579"/>
      <c r="JH18" s="579"/>
      <c r="JI18" s="579"/>
      <c r="JJ18" s="579"/>
      <c r="JK18" s="579"/>
      <c r="JL18" s="579"/>
      <c r="JM18" s="579"/>
      <c r="JN18" s="579"/>
      <c r="JO18" s="579"/>
      <c r="JP18" s="579"/>
      <c r="JQ18" s="579"/>
      <c r="JR18" s="579"/>
      <c r="JS18" s="579"/>
      <c r="JT18" s="579"/>
      <c r="JU18" s="579"/>
    </row>
    <row r="19" spans="1:281" ht="36" customHeight="1" x14ac:dyDescent="0.25">
      <c r="A19" s="1167"/>
      <c r="B19" s="1168"/>
      <c r="C19" s="1168"/>
      <c r="D19" s="1169"/>
      <c r="E19" s="1168"/>
      <c r="F19" s="1168"/>
      <c r="G19" s="1169"/>
      <c r="H19" s="1168"/>
      <c r="I19" s="1168"/>
      <c r="J19" s="3088"/>
      <c r="K19" s="2738"/>
      <c r="L19" s="2738"/>
      <c r="M19" s="3089"/>
      <c r="N19" s="2745"/>
      <c r="O19" s="2745"/>
      <c r="P19" s="3076"/>
      <c r="Q19" s="2738"/>
      <c r="R19" s="3082"/>
      <c r="S19" s="3079"/>
      <c r="T19" s="2738"/>
      <c r="U19" s="2738"/>
      <c r="V19" s="2738"/>
      <c r="W19" s="3094"/>
      <c r="X19" s="3092"/>
      <c r="Y19" s="3092"/>
      <c r="Z19" s="3093"/>
      <c r="AA19" s="3088"/>
      <c r="AB19" s="3085"/>
      <c r="AC19" s="3085"/>
      <c r="AD19" s="3085"/>
      <c r="AE19" s="3085"/>
      <c r="AF19" s="3085"/>
      <c r="AG19" s="3085"/>
      <c r="AH19" s="3085"/>
      <c r="AI19" s="3085"/>
      <c r="AJ19" s="3085"/>
      <c r="AK19" s="3085"/>
      <c r="AL19" s="3085"/>
      <c r="AM19" s="3085"/>
      <c r="AN19" s="3085"/>
      <c r="AO19" s="3085"/>
      <c r="AP19" s="3085"/>
      <c r="AQ19" s="3085"/>
      <c r="AR19" s="3085"/>
      <c r="AS19" s="3085"/>
      <c r="AT19" s="3085"/>
      <c r="AU19" s="3085"/>
      <c r="AV19" s="3085"/>
      <c r="AW19" s="3085"/>
      <c r="AX19" s="3085"/>
      <c r="AY19" s="3085"/>
      <c r="AZ19" s="3085"/>
      <c r="BA19" s="3085"/>
      <c r="BB19" s="3085"/>
      <c r="BC19" s="3085"/>
      <c r="BD19" s="3085"/>
      <c r="BE19" s="3085"/>
      <c r="BF19" s="3085"/>
      <c r="BG19" s="3085"/>
      <c r="BH19" s="2752"/>
      <c r="BI19" s="2752"/>
      <c r="BJ19" s="2752"/>
      <c r="BK19" s="3103"/>
      <c r="BL19" s="2752"/>
      <c r="BM19" s="3106"/>
      <c r="BN19" s="3097"/>
      <c r="BO19" s="3097"/>
      <c r="BP19" s="3097"/>
      <c r="BQ19" s="3097"/>
      <c r="BR19" s="3098"/>
      <c r="BS19" s="579"/>
      <c r="BT19" s="579"/>
      <c r="BU19" s="579"/>
      <c r="BV19" s="579"/>
      <c r="BW19" s="579"/>
      <c r="BX19" s="579"/>
      <c r="BY19" s="579"/>
      <c r="BZ19" s="579"/>
      <c r="CA19" s="579"/>
      <c r="CB19" s="579"/>
      <c r="CC19" s="579"/>
      <c r="CD19" s="579"/>
      <c r="CE19" s="579"/>
      <c r="CF19" s="579"/>
      <c r="CG19" s="579"/>
      <c r="CH19" s="579"/>
      <c r="CI19" s="579"/>
      <c r="CJ19" s="579"/>
      <c r="CK19" s="579"/>
      <c r="CL19" s="579"/>
      <c r="CM19" s="579"/>
      <c r="CN19" s="579"/>
      <c r="CO19" s="579"/>
      <c r="CP19" s="579"/>
      <c r="CQ19" s="579"/>
      <c r="CR19" s="579"/>
      <c r="CS19" s="579"/>
      <c r="CT19" s="579"/>
      <c r="CU19" s="579"/>
      <c r="CV19" s="579"/>
      <c r="CW19" s="579"/>
      <c r="CX19" s="579"/>
      <c r="CY19" s="579"/>
      <c r="CZ19" s="579"/>
      <c r="DA19" s="579"/>
      <c r="DB19" s="579"/>
      <c r="DC19" s="579"/>
      <c r="DD19" s="579"/>
      <c r="DE19" s="579"/>
      <c r="DF19" s="579"/>
      <c r="DG19" s="579"/>
      <c r="DH19" s="579"/>
      <c r="DI19" s="579"/>
      <c r="DJ19" s="579"/>
      <c r="DK19" s="579"/>
      <c r="DL19" s="579"/>
      <c r="DM19" s="579"/>
      <c r="DN19" s="579"/>
      <c r="DO19" s="579"/>
      <c r="DP19" s="579"/>
      <c r="DQ19" s="579"/>
      <c r="DR19" s="579"/>
      <c r="DS19" s="579"/>
      <c r="DT19" s="579"/>
      <c r="DU19" s="579"/>
      <c r="DV19" s="579"/>
      <c r="DW19" s="579"/>
      <c r="DX19" s="579"/>
      <c r="DY19" s="579"/>
      <c r="DZ19" s="579"/>
      <c r="EA19" s="579"/>
      <c r="EB19" s="579"/>
      <c r="EC19" s="579"/>
      <c r="ED19" s="579"/>
      <c r="EE19" s="579"/>
      <c r="EF19" s="579"/>
      <c r="EG19" s="579"/>
      <c r="EH19" s="579"/>
      <c r="EI19" s="579"/>
      <c r="EJ19" s="579"/>
      <c r="EK19" s="579"/>
      <c r="EL19" s="579"/>
      <c r="EM19" s="579"/>
      <c r="EN19" s="579"/>
      <c r="EO19" s="579"/>
      <c r="EP19" s="579"/>
      <c r="EQ19" s="579"/>
      <c r="ER19" s="579"/>
      <c r="ES19" s="579"/>
      <c r="ET19" s="579"/>
      <c r="EU19" s="579"/>
      <c r="EV19" s="579"/>
      <c r="EW19" s="579"/>
      <c r="EX19" s="579"/>
      <c r="EY19" s="579"/>
      <c r="EZ19" s="579"/>
      <c r="FA19" s="579"/>
      <c r="FB19" s="579"/>
      <c r="FC19" s="579"/>
      <c r="FD19" s="579"/>
      <c r="FE19" s="579"/>
      <c r="FF19" s="579"/>
      <c r="FG19" s="579"/>
      <c r="FH19" s="579"/>
      <c r="FI19" s="579"/>
      <c r="FJ19" s="579"/>
      <c r="FK19" s="579"/>
      <c r="FL19" s="579"/>
      <c r="FM19" s="579"/>
      <c r="FN19" s="579"/>
      <c r="FO19" s="579"/>
      <c r="FP19" s="579"/>
      <c r="FQ19" s="579"/>
      <c r="FR19" s="579"/>
      <c r="FS19" s="579"/>
      <c r="FT19" s="579"/>
      <c r="FU19" s="579"/>
      <c r="FV19" s="579"/>
      <c r="FW19" s="579"/>
      <c r="FX19" s="579"/>
      <c r="FY19" s="579"/>
      <c r="FZ19" s="579"/>
      <c r="GA19" s="579"/>
      <c r="GB19" s="579"/>
      <c r="GC19" s="579"/>
      <c r="GD19" s="579"/>
      <c r="GE19" s="579"/>
      <c r="GF19" s="579"/>
      <c r="GG19" s="579"/>
      <c r="GH19" s="579"/>
      <c r="GI19" s="579"/>
      <c r="GJ19" s="579"/>
      <c r="GK19" s="579"/>
      <c r="GL19" s="579"/>
      <c r="GM19" s="579"/>
      <c r="GN19" s="579"/>
      <c r="GO19" s="579"/>
      <c r="GP19" s="579"/>
      <c r="GQ19" s="579"/>
      <c r="GR19" s="579"/>
      <c r="GS19" s="579"/>
      <c r="GT19" s="579"/>
      <c r="GU19" s="579"/>
      <c r="GV19" s="579"/>
      <c r="GW19" s="579"/>
      <c r="GX19" s="579"/>
      <c r="GY19" s="579"/>
      <c r="GZ19" s="579"/>
      <c r="HA19" s="579"/>
      <c r="HB19" s="579"/>
      <c r="HC19" s="579"/>
      <c r="HD19" s="579"/>
      <c r="HE19" s="579"/>
      <c r="HF19" s="579"/>
      <c r="HG19" s="579"/>
      <c r="HH19" s="579"/>
      <c r="HI19" s="579"/>
      <c r="HJ19" s="579"/>
      <c r="HK19" s="579"/>
      <c r="HL19" s="579"/>
      <c r="HM19" s="579"/>
      <c r="HN19" s="579"/>
      <c r="HO19" s="579"/>
      <c r="HP19" s="579"/>
      <c r="HQ19" s="579"/>
      <c r="HR19" s="579"/>
      <c r="HS19" s="579"/>
      <c r="HT19" s="579"/>
      <c r="HU19" s="579"/>
      <c r="HV19" s="579"/>
      <c r="HW19" s="579"/>
      <c r="HX19" s="579"/>
      <c r="HY19" s="579"/>
      <c r="HZ19" s="579"/>
      <c r="IA19" s="579"/>
      <c r="IB19" s="579"/>
      <c r="IC19" s="579"/>
      <c r="ID19" s="579"/>
      <c r="IE19" s="579"/>
      <c r="IF19" s="579"/>
      <c r="IG19" s="579"/>
      <c r="IH19" s="579"/>
      <c r="II19" s="579"/>
      <c r="IJ19" s="579"/>
      <c r="IK19" s="579"/>
      <c r="IL19" s="579"/>
      <c r="IM19" s="579"/>
      <c r="IN19" s="579"/>
      <c r="IO19" s="579"/>
      <c r="IP19" s="579"/>
      <c r="IQ19" s="579"/>
      <c r="IR19" s="579"/>
      <c r="IS19" s="579"/>
      <c r="IT19" s="579"/>
      <c r="IU19" s="579"/>
      <c r="IV19" s="579"/>
      <c r="IW19" s="579"/>
      <c r="IX19" s="579"/>
      <c r="IY19" s="579"/>
      <c r="IZ19" s="579"/>
      <c r="JA19" s="579"/>
      <c r="JB19" s="579"/>
      <c r="JC19" s="579"/>
      <c r="JD19" s="579"/>
      <c r="JE19" s="579"/>
      <c r="JF19" s="579"/>
      <c r="JG19" s="579"/>
      <c r="JH19" s="579"/>
      <c r="JI19" s="579"/>
      <c r="JJ19" s="579"/>
      <c r="JK19" s="579"/>
      <c r="JL19" s="579"/>
      <c r="JM19" s="579"/>
      <c r="JN19" s="579"/>
      <c r="JO19" s="579"/>
      <c r="JP19" s="579"/>
      <c r="JQ19" s="579"/>
      <c r="JR19" s="579"/>
      <c r="JS19" s="579"/>
      <c r="JT19" s="579"/>
      <c r="JU19" s="579"/>
    </row>
    <row r="20" spans="1:281" ht="108.75" customHeight="1" x14ac:dyDescent="0.25">
      <c r="A20" s="1167"/>
      <c r="B20" s="3099"/>
      <c r="C20" s="3099"/>
      <c r="D20" s="1169"/>
      <c r="E20" s="3099"/>
      <c r="F20" s="3099"/>
      <c r="G20" s="1169"/>
      <c r="H20" s="3099"/>
      <c r="I20" s="3099"/>
      <c r="J20" s="30">
        <v>278</v>
      </c>
      <c r="K20" s="26" t="s">
        <v>1052</v>
      </c>
      <c r="L20" s="26" t="s">
        <v>1053</v>
      </c>
      <c r="M20" s="1175">
        <v>1</v>
      </c>
      <c r="N20" s="30">
        <v>0.25</v>
      </c>
      <c r="O20" s="2744" t="s">
        <v>1054</v>
      </c>
      <c r="P20" s="3076" t="s">
        <v>1055</v>
      </c>
      <c r="Q20" s="2738" t="s">
        <v>1056</v>
      </c>
      <c r="R20" s="1176">
        <f>+W20/S20</f>
        <v>2.259748877542057E-2</v>
      </c>
      <c r="S20" s="3079">
        <f>SUM(W20:W22)</f>
        <v>442527048</v>
      </c>
      <c r="T20" s="2738" t="s">
        <v>1057</v>
      </c>
      <c r="U20" s="26" t="s">
        <v>1058</v>
      </c>
      <c r="V20" s="26" t="s">
        <v>1059</v>
      </c>
      <c r="W20" s="1173">
        <v>10000000</v>
      </c>
      <c r="X20" s="1173">
        <v>0</v>
      </c>
      <c r="Y20" s="1173">
        <v>0</v>
      </c>
      <c r="Z20" s="1172">
        <v>20</v>
      </c>
      <c r="AA20" s="638" t="s">
        <v>71</v>
      </c>
      <c r="AB20" s="3107">
        <v>294321</v>
      </c>
      <c r="AC20" s="3107">
        <f>+AB20*0.32</f>
        <v>94182.720000000001</v>
      </c>
      <c r="AD20" s="3107">
        <v>283947</v>
      </c>
      <c r="AE20" s="3107">
        <f>+AD20*0.32</f>
        <v>90863.040000000008</v>
      </c>
      <c r="AF20" s="3107">
        <v>135754</v>
      </c>
      <c r="AG20" s="3107">
        <f>+AF20*0.32</f>
        <v>43441.279999999999</v>
      </c>
      <c r="AH20" s="3107">
        <v>44640</v>
      </c>
      <c r="AI20" s="3107">
        <f>+AH20*0.32</f>
        <v>14284.800000000001</v>
      </c>
      <c r="AJ20" s="3107">
        <v>308178</v>
      </c>
      <c r="AK20" s="3107">
        <f>+AJ20*0.32</f>
        <v>98616.960000000006</v>
      </c>
      <c r="AL20" s="3107">
        <v>89696</v>
      </c>
      <c r="AM20" s="3107">
        <f>+AL20*0.32</f>
        <v>28702.720000000001</v>
      </c>
      <c r="AN20" s="3107">
        <v>2145</v>
      </c>
      <c r="AO20" s="3107">
        <f>+AN20*0.32</f>
        <v>686.4</v>
      </c>
      <c r="AP20" s="3107">
        <v>12718</v>
      </c>
      <c r="AQ20" s="3107">
        <f>+AP20*0.32</f>
        <v>4069.76</v>
      </c>
      <c r="AR20" s="3107">
        <v>26</v>
      </c>
      <c r="AS20" s="3107">
        <f>+AR20*0.32</f>
        <v>8.32</v>
      </c>
      <c r="AT20" s="3107">
        <v>37</v>
      </c>
      <c r="AU20" s="3107">
        <f>+AT20*0.32</f>
        <v>11.84</v>
      </c>
      <c r="AV20" s="3107">
        <v>0</v>
      </c>
      <c r="AW20" s="3107">
        <v>0</v>
      </c>
      <c r="AX20" s="3107">
        <v>0</v>
      </c>
      <c r="AY20" s="3107">
        <v>0</v>
      </c>
      <c r="AZ20" s="3107">
        <v>54612</v>
      </c>
      <c r="BA20" s="3107">
        <f>+AZ20*0.32</f>
        <v>17475.84</v>
      </c>
      <c r="BB20" s="3107">
        <v>21944</v>
      </c>
      <c r="BC20" s="3107">
        <f>+BB20*0.32</f>
        <v>7022.08</v>
      </c>
      <c r="BD20" s="3107">
        <v>1010</v>
      </c>
      <c r="BE20" s="3107">
        <f>+BD20*0.32</f>
        <v>323.2</v>
      </c>
      <c r="BF20" s="3107">
        <v>575010</v>
      </c>
      <c r="BG20" s="3107">
        <f>+BF20*0.32</f>
        <v>184003.20000000001</v>
      </c>
      <c r="BH20" s="3110">
        <v>14</v>
      </c>
      <c r="BI20" s="3110">
        <v>220416000</v>
      </c>
      <c r="BJ20" s="3110">
        <v>66158000</v>
      </c>
      <c r="BK20" s="3121">
        <f>+BJ20/BI20</f>
        <v>0.30015062427409989</v>
      </c>
      <c r="BL20" s="3110" t="s">
        <v>1060</v>
      </c>
      <c r="BM20" s="3110" t="s">
        <v>1061</v>
      </c>
      <c r="BN20" s="3117">
        <v>43473</v>
      </c>
      <c r="BO20" s="3095">
        <v>43116</v>
      </c>
      <c r="BP20" s="3117">
        <v>43830</v>
      </c>
      <c r="BQ20" s="3095">
        <v>43465</v>
      </c>
      <c r="BR20" s="3098" t="s">
        <v>1062</v>
      </c>
      <c r="BS20" s="579"/>
      <c r="BT20" s="579"/>
      <c r="BU20" s="579"/>
      <c r="BV20" s="579"/>
      <c r="BW20" s="579"/>
      <c r="BX20" s="579"/>
      <c r="BY20" s="579"/>
      <c r="BZ20" s="579"/>
      <c r="CA20" s="579"/>
      <c r="CB20" s="579"/>
      <c r="CC20" s="579"/>
      <c r="CD20" s="579"/>
      <c r="CE20" s="579"/>
      <c r="CF20" s="579"/>
      <c r="CG20" s="579"/>
      <c r="CH20" s="579"/>
      <c r="CI20" s="579"/>
      <c r="CJ20" s="579"/>
      <c r="CK20" s="579"/>
      <c r="CL20" s="579"/>
      <c r="CM20" s="579"/>
      <c r="CN20" s="579"/>
      <c r="CO20" s="579"/>
      <c r="CP20" s="579"/>
      <c r="CQ20" s="579"/>
      <c r="CR20" s="579"/>
      <c r="CS20" s="579"/>
      <c r="CT20" s="579"/>
      <c r="CU20" s="579"/>
      <c r="CV20" s="579"/>
      <c r="CW20" s="579"/>
      <c r="CX20" s="579"/>
      <c r="CY20" s="579"/>
      <c r="CZ20" s="579"/>
      <c r="DA20" s="579"/>
      <c r="DB20" s="579"/>
      <c r="DC20" s="579"/>
      <c r="DD20" s="579"/>
      <c r="DE20" s="579"/>
      <c r="DF20" s="579"/>
      <c r="DG20" s="579"/>
      <c r="DH20" s="579"/>
      <c r="DI20" s="579"/>
      <c r="DJ20" s="579"/>
      <c r="DK20" s="579"/>
      <c r="DL20" s="579"/>
      <c r="DM20" s="579"/>
      <c r="DN20" s="579"/>
      <c r="DO20" s="579"/>
      <c r="DP20" s="579"/>
      <c r="DQ20" s="579"/>
      <c r="DR20" s="579"/>
      <c r="DS20" s="579"/>
      <c r="DT20" s="579"/>
      <c r="DU20" s="579"/>
      <c r="DV20" s="579"/>
      <c r="DW20" s="579"/>
      <c r="DX20" s="579"/>
      <c r="DY20" s="579"/>
      <c r="DZ20" s="579"/>
      <c r="EA20" s="579"/>
      <c r="EB20" s="579"/>
      <c r="EC20" s="579"/>
      <c r="ED20" s="579"/>
      <c r="EE20" s="579"/>
      <c r="EF20" s="579"/>
      <c r="EG20" s="579"/>
      <c r="EH20" s="579"/>
      <c r="EI20" s="579"/>
      <c r="EJ20" s="579"/>
      <c r="EK20" s="579"/>
      <c r="EL20" s="579"/>
      <c r="EM20" s="579"/>
      <c r="EN20" s="579"/>
      <c r="EO20" s="579"/>
      <c r="EP20" s="579"/>
      <c r="EQ20" s="579"/>
      <c r="ER20" s="579"/>
      <c r="ES20" s="579"/>
      <c r="ET20" s="579"/>
      <c r="EU20" s="579"/>
      <c r="EV20" s="579"/>
      <c r="EW20" s="579"/>
      <c r="EX20" s="579"/>
      <c r="EY20" s="579"/>
      <c r="EZ20" s="579"/>
      <c r="FA20" s="579"/>
      <c r="FB20" s="579"/>
      <c r="FC20" s="579"/>
      <c r="FD20" s="579"/>
      <c r="FE20" s="579"/>
      <c r="FF20" s="579"/>
      <c r="FG20" s="579"/>
      <c r="FH20" s="579"/>
      <c r="FI20" s="579"/>
      <c r="FJ20" s="579"/>
      <c r="FK20" s="579"/>
      <c r="FL20" s="579"/>
      <c r="FM20" s="579"/>
      <c r="FN20" s="579"/>
      <c r="FO20" s="579"/>
      <c r="FP20" s="579"/>
      <c r="FQ20" s="579"/>
      <c r="FR20" s="579"/>
      <c r="FS20" s="579"/>
      <c r="FT20" s="579"/>
      <c r="FU20" s="579"/>
      <c r="FV20" s="579"/>
      <c r="FW20" s="579"/>
      <c r="FX20" s="579"/>
      <c r="FY20" s="579"/>
      <c r="FZ20" s="579"/>
      <c r="GA20" s="579"/>
      <c r="GB20" s="579"/>
      <c r="GC20" s="579"/>
      <c r="GD20" s="579"/>
      <c r="GE20" s="579"/>
      <c r="GF20" s="579"/>
      <c r="GG20" s="579"/>
      <c r="GH20" s="579"/>
      <c r="GI20" s="579"/>
      <c r="GJ20" s="579"/>
      <c r="GK20" s="579"/>
      <c r="GL20" s="579"/>
      <c r="GM20" s="579"/>
      <c r="GN20" s="579"/>
      <c r="GO20" s="579"/>
      <c r="GP20" s="579"/>
      <c r="GQ20" s="579"/>
      <c r="GR20" s="579"/>
      <c r="GS20" s="579"/>
      <c r="GT20" s="579"/>
      <c r="GU20" s="579"/>
      <c r="GV20" s="579"/>
      <c r="GW20" s="579"/>
      <c r="GX20" s="579"/>
      <c r="GY20" s="579"/>
      <c r="GZ20" s="579"/>
      <c r="HA20" s="579"/>
      <c r="HB20" s="579"/>
      <c r="HC20" s="579"/>
      <c r="HD20" s="579"/>
      <c r="HE20" s="579"/>
      <c r="HF20" s="579"/>
      <c r="HG20" s="579"/>
      <c r="HH20" s="579"/>
      <c r="HI20" s="579"/>
      <c r="HJ20" s="579"/>
      <c r="HK20" s="579"/>
      <c r="HL20" s="579"/>
      <c r="HM20" s="579"/>
      <c r="HN20" s="579"/>
      <c r="HO20" s="579"/>
      <c r="HP20" s="579"/>
      <c r="HQ20" s="579"/>
      <c r="HR20" s="579"/>
      <c r="HS20" s="579"/>
      <c r="HT20" s="579"/>
      <c r="HU20" s="579"/>
      <c r="HV20" s="579"/>
      <c r="HW20" s="579"/>
      <c r="HX20" s="579"/>
      <c r="HY20" s="579"/>
      <c r="HZ20" s="579"/>
      <c r="IA20" s="579"/>
      <c r="IB20" s="579"/>
      <c r="IC20" s="579"/>
      <c r="ID20" s="579"/>
      <c r="IE20" s="579"/>
      <c r="IF20" s="579"/>
      <c r="IG20" s="579"/>
      <c r="IH20" s="579"/>
      <c r="II20" s="579"/>
      <c r="IJ20" s="579"/>
      <c r="IK20" s="579"/>
      <c r="IL20" s="579"/>
      <c r="IM20" s="579"/>
      <c r="IN20" s="579"/>
      <c r="IO20" s="579"/>
      <c r="IP20" s="579"/>
      <c r="IQ20" s="579"/>
      <c r="IR20" s="579"/>
      <c r="IS20" s="579"/>
      <c r="IT20" s="579"/>
      <c r="IU20" s="579"/>
      <c r="IV20" s="579"/>
      <c r="IW20" s="579"/>
      <c r="IX20" s="579"/>
      <c r="IY20" s="579"/>
      <c r="IZ20" s="579"/>
      <c r="JA20" s="579"/>
      <c r="JB20" s="579"/>
      <c r="JC20" s="579"/>
      <c r="JD20" s="579"/>
      <c r="JE20" s="579"/>
      <c r="JF20" s="579"/>
      <c r="JG20" s="579"/>
      <c r="JH20" s="579"/>
      <c r="JI20" s="579"/>
      <c r="JJ20" s="579"/>
      <c r="JK20" s="579"/>
      <c r="JL20" s="579"/>
      <c r="JM20" s="579"/>
      <c r="JN20" s="579"/>
      <c r="JO20" s="579"/>
      <c r="JP20" s="579"/>
      <c r="JQ20" s="579"/>
      <c r="JR20" s="579"/>
      <c r="JS20" s="579"/>
      <c r="JT20" s="579"/>
      <c r="JU20" s="579"/>
    </row>
    <row r="21" spans="1:281" ht="60" customHeight="1" x14ac:dyDescent="0.25">
      <c r="A21" s="1167"/>
      <c r="B21" s="1168"/>
      <c r="C21" s="1168"/>
      <c r="D21" s="1169"/>
      <c r="E21" s="1168"/>
      <c r="F21" s="1168"/>
      <c r="G21" s="1169"/>
      <c r="H21" s="1168"/>
      <c r="I21" s="1168"/>
      <c r="J21" s="2744">
        <v>279</v>
      </c>
      <c r="K21" s="3080" t="s">
        <v>1063</v>
      </c>
      <c r="L21" s="2744" t="s">
        <v>1064</v>
      </c>
      <c r="M21" s="2744">
        <v>1</v>
      </c>
      <c r="N21" s="2744">
        <v>0.5</v>
      </c>
      <c r="O21" s="3088"/>
      <c r="P21" s="3076"/>
      <c r="Q21" s="2738"/>
      <c r="R21" s="3077">
        <f>+(W22+W21)/S20</f>
        <v>0.97740251122457944</v>
      </c>
      <c r="S21" s="3079"/>
      <c r="T21" s="2738"/>
      <c r="U21" s="3080" t="s">
        <v>1065</v>
      </c>
      <c r="V21" s="3080" t="s">
        <v>1066</v>
      </c>
      <c r="W21" s="1173">
        <v>306000000</v>
      </c>
      <c r="X21" s="1173">
        <v>220416000</v>
      </c>
      <c r="Y21" s="1173">
        <v>66158000</v>
      </c>
      <c r="Z21" s="1172">
        <v>20</v>
      </c>
      <c r="AA21" s="638" t="s">
        <v>368</v>
      </c>
      <c r="AB21" s="3108"/>
      <c r="AC21" s="3108"/>
      <c r="AD21" s="3108"/>
      <c r="AE21" s="3108"/>
      <c r="AF21" s="3108"/>
      <c r="AG21" s="3108"/>
      <c r="AH21" s="3108"/>
      <c r="AI21" s="3108"/>
      <c r="AJ21" s="3108"/>
      <c r="AK21" s="3108"/>
      <c r="AL21" s="3108"/>
      <c r="AM21" s="3108"/>
      <c r="AN21" s="3108"/>
      <c r="AO21" s="3108"/>
      <c r="AP21" s="3108"/>
      <c r="AQ21" s="3108"/>
      <c r="AR21" s="3108"/>
      <c r="AS21" s="3108"/>
      <c r="AT21" s="3108"/>
      <c r="AU21" s="3108"/>
      <c r="AV21" s="3108"/>
      <c r="AW21" s="3108"/>
      <c r="AX21" s="3108"/>
      <c r="AY21" s="3108"/>
      <c r="AZ21" s="3108"/>
      <c r="BA21" s="3108"/>
      <c r="BB21" s="3108"/>
      <c r="BC21" s="3108"/>
      <c r="BD21" s="3108"/>
      <c r="BE21" s="3108"/>
      <c r="BF21" s="3108"/>
      <c r="BG21" s="3108"/>
      <c r="BH21" s="3111"/>
      <c r="BI21" s="3111"/>
      <c r="BJ21" s="3111"/>
      <c r="BK21" s="3122"/>
      <c r="BL21" s="3111"/>
      <c r="BM21" s="3111"/>
      <c r="BN21" s="3117"/>
      <c r="BO21" s="3096"/>
      <c r="BP21" s="3117"/>
      <c r="BQ21" s="3096"/>
      <c r="BR21" s="3098"/>
      <c r="BS21" s="579"/>
      <c r="BT21" s="579"/>
      <c r="BU21" s="579"/>
      <c r="BV21" s="579"/>
      <c r="BW21" s="579"/>
      <c r="BX21" s="579"/>
      <c r="BY21" s="579"/>
      <c r="BZ21" s="579"/>
      <c r="CA21" s="579"/>
      <c r="CB21" s="579"/>
      <c r="CC21" s="579"/>
      <c r="CD21" s="579"/>
      <c r="CE21" s="579"/>
      <c r="CF21" s="579"/>
      <c r="CG21" s="579"/>
      <c r="CH21" s="579"/>
      <c r="CI21" s="579"/>
      <c r="CJ21" s="579"/>
      <c r="CK21" s="579"/>
      <c r="CL21" s="579"/>
      <c r="CM21" s="579"/>
      <c r="CN21" s="579"/>
      <c r="CO21" s="579"/>
      <c r="CP21" s="579"/>
      <c r="CQ21" s="579"/>
      <c r="CR21" s="579"/>
      <c r="CS21" s="579"/>
      <c r="CT21" s="579"/>
      <c r="CU21" s="579"/>
      <c r="CV21" s="579"/>
      <c r="CW21" s="579"/>
      <c r="CX21" s="579"/>
      <c r="CY21" s="579"/>
      <c r="CZ21" s="579"/>
      <c r="DA21" s="579"/>
      <c r="DB21" s="579"/>
      <c r="DC21" s="579"/>
      <c r="DD21" s="579"/>
      <c r="DE21" s="579"/>
      <c r="DF21" s="579"/>
      <c r="DG21" s="579"/>
      <c r="DH21" s="579"/>
      <c r="DI21" s="579"/>
      <c r="DJ21" s="579"/>
      <c r="DK21" s="579"/>
      <c r="DL21" s="579"/>
      <c r="DM21" s="579"/>
      <c r="DN21" s="579"/>
      <c r="DO21" s="579"/>
      <c r="DP21" s="579"/>
      <c r="DQ21" s="579"/>
      <c r="DR21" s="579"/>
      <c r="DS21" s="579"/>
      <c r="DT21" s="579"/>
      <c r="DU21" s="579"/>
      <c r="DV21" s="579"/>
      <c r="DW21" s="579"/>
      <c r="DX21" s="579"/>
      <c r="DY21" s="579"/>
      <c r="DZ21" s="579"/>
      <c r="EA21" s="579"/>
      <c r="EB21" s="579"/>
      <c r="EC21" s="579"/>
      <c r="ED21" s="579"/>
      <c r="EE21" s="579"/>
      <c r="EF21" s="579"/>
      <c r="EG21" s="579"/>
      <c r="EH21" s="579"/>
      <c r="EI21" s="579"/>
      <c r="EJ21" s="579"/>
      <c r="EK21" s="579"/>
      <c r="EL21" s="579"/>
      <c r="EM21" s="579"/>
      <c r="EN21" s="579"/>
      <c r="EO21" s="579"/>
      <c r="EP21" s="579"/>
      <c r="EQ21" s="579"/>
      <c r="ER21" s="579"/>
      <c r="ES21" s="579"/>
      <c r="ET21" s="579"/>
      <c r="EU21" s="579"/>
      <c r="EV21" s="579"/>
      <c r="EW21" s="579"/>
      <c r="EX21" s="579"/>
      <c r="EY21" s="579"/>
      <c r="EZ21" s="579"/>
      <c r="FA21" s="579"/>
      <c r="FB21" s="579"/>
      <c r="FC21" s="579"/>
      <c r="FD21" s="579"/>
      <c r="FE21" s="579"/>
      <c r="FF21" s="579"/>
      <c r="FG21" s="579"/>
      <c r="FH21" s="579"/>
      <c r="FI21" s="579"/>
      <c r="FJ21" s="579"/>
      <c r="FK21" s="579"/>
      <c r="FL21" s="579"/>
      <c r="FM21" s="579"/>
      <c r="FN21" s="579"/>
      <c r="FO21" s="579"/>
      <c r="FP21" s="579"/>
      <c r="FQ21" s="579"/>
      <c r="FR21" s="579"/>
      <c r="FS21" s="579"/>
      <c r="FT21" s="579"/>
      <c r="FU21" s="579"/>
      <c r="FV21" s="579"/>
      <c r="FW21" s="579"/>
      <c r="FX21" s="579"/>
      <c r="FY21" s="579"/>
      <c r="FZ21" s="579"/>
      <c r="GA21" s="579"/>
      <c r="GB21" s="579"/>
      <c r="GC21" s="579"/>
      <c r="GD21" s="579"/>
      <c r="GE21" s="579"/>
      <c r="GF21" s="579"/>
      <c r="GG21" s="579"/>
      <c r="GH21" s="579"/>
      <c r="GI21" s="579"/>
      <c r="GJ21" s="579"/>
      <c r="GK21" s="579"/>
      <c r="GL21" s="579"/>
      <c r="GM21" s="579"/>
      <c r="GN21" s="579"/>
      <c r="GO21" s="579"/>
      <c r="GP21" s="579"/>
      <c r="GQ21" s="579"/>
      <c r="GR21" s="579"/>
      <c r="GS21" s="579"/>
      <c r="GT21" s="579"/>
      <c r="GU21" s="579"/>
      <c r="GV21" s="579"/>
      <c r="GW21" s="579"/>
      <c r="GX21" s="579"/>
      <c r="GY21" s="579"/>
      <c r="GZ21" s="579"/>
      <c r="HA21" s="579"/>
      <c r="HB21" s="579"/>
      <c r="HC21" s="579"/>
      <c r="HD21" s="579"/>
      <c r="HE21" s="579"/>
      <c r="HF21" s="579"/>
      <c r="HG21" s="579"/>
      <c r="HH21" s="579"/>
      <c r="HI21" s="579"/>
      <c r="HJ21" s="579"/>
      <c r="HK21" s="579"/>
      <c r="HL21" s="579"/>
      <c r="HM21" s="579"/>
      <c r="HN21" s="579"/>
      <c r="HO21" s="579"/>
      <c r="HP21" s="579"/>
      <c r="HQ21" s="579"/>
      <c r="HR21" s="579"/>
      <c r="HS21" s="579"/>
      <c r="HT21" s="579"/>
      <c r="HU21" s="579"/>
      <c r="HV21" s="579"/>
      <c r="HW21" s="579"/>
      <c r="HX21" s="579"/>
      <c r="HY21" s="579"/>
      <c r="HZ21" s="579"/>
      <c r="IA21" s="579"/>
      <c r="IB21" s="579"/>
      <c r="IC21" s="579"/>
      <c r="ID21" s="579"/>
      <c r="IE21" s="579"/>
      <c r="IF21" s="579"/>
      <c r="IG21" s="579"/>
      <c r="IH21" s="579"/>
      <c r="II21" s="579"/>
      <c r="IJ21" s="579"/>
      <c r="IK21" s="579"/>
      <c r="IL21" s="579"/>
      <c r="IM21" s="579"/>
      <c r="IN21" s="579"/>
      <c r="IO21" s="579"/>
      <c r="IP21" s="579"/>
      <c r="IQ21" s="579"/>
      <c r="IR21" s="579"/>
      <c r="IS21" s="579"/>
      <c r="IT21" s="579"/>
      <c r="IU21" s="579"/>
      <c r="IV21" s="579"/>
      <c r="IW21" s="579"/>
      <c r="IX21" s="579"/>
      <c r="IY21" s="579"/>
      <c r="IZ21" s="579"/>
      <c r="JA21" s="579"/>
      <c r="JB21" s="579"/>
      <c r="JC21" s="579"/>
      <c r="JD21" s="579"/>
      <c r="JE21" s="579"/>
      <c r="JF21" s="579"/>
      <c r="JG21" s="579"/>
      <c r="JH21" s="579"/>
      <c r="JI21" s="579"/>
      <c r="JJ21" s="579"/>
      <c r="JK21" s="579"/>
      <c r="JL21" s="579"/>
      <c r="JM21" s="579"/>
      <c r="JN21" s="579"/>
      <c r="JO21" s="579"/>
      <c r="JP21" s="579"/>
      <c r="JQ21" s="579"/>
      <c r="JR21" s="579"/>
      <c r="JS21" s="579"/>
      <c r="JT21" s="579"/>
      <c r="JU21" s="579"/>
    </row>
    <row r="22" spans="1:281" ht="75.75" customHeight="1" thickBot="1" x14ac:dyDescent="0.3">
      <c r="A22" s="1167"/>
      <c r="B22" s="1168"/>
      <c r="C22" s="1168"/>
      <c r="D22" s="1169"/>
      <c r="E22" s="1168"/>
      <c r="F22" s="1168"/>
      <c r="G22" s="1169"/>
      <c r="H22" s="1168"/>
      <c r="I22" s="1168"/>
      <c r="J22" s="3119"/>
      <c r="K22" s="3109"/>
      <c r="L22" s="3119"/>
      <c r="M22" s="3119"/>
      <c r="N22" s="3119"/>
      <c r="O22" s="3088"/>
      <c r="P22" s="2748"/>
      <c r="Q22" s="2738"/>
      <c r="R22" s="3120"/>
      <c r="S22" s="3079"/>
      <c r="T22" s="2738"/>
      <c r="U22" s="3109"/>
      <c r="V22" s="3109"/>
      <c r="W22" s="1177">
        <f>0+126527048</f>
        <v>126527048</v>
      </c>
      <c r="X22" s="1177">
        <v>0</v>
      </c>
      <c r="Y22" s="1177">
        <v>0</v>
      </c>
      <c r="Z22" s="1178">
        <v>88</v>
      </c>
      <c r="AA22" s="1179" t="s">
        <v>369</v>
      </c>
      <c r="AB22" s="3108"/>
      <c r="AC22" s="3108"/>
      <c r="AD22" s="3108"/>
      <c r="AE22" s="3108"/>
      <c r="AF22" s="3108"/>
      <c r="AG22" s="3108"/>
      <c r="AH22" s="3108"/>
      <c r="AI22" s="3108"/>
      <c r="AJ22" s="3108"/>
      <c r="AK22" s="3108"/>
      <c r="AL22" s="3108"/>
      <c r="AM22" s="3108"/>
      <c r="AN22" s="3108"/>
      <c r="AO22" s="3108"/>
      <c r="AP22" s="3108"/>
      <c r="AQ22" s="3108"/>
      <c r="AR22" s="3108"/>
      <c r="AS22" s="3108"/>
      <c r="AT22" s="3108"/>
      <c r="AU22" s="3108"/>
      <c r="AV22" s="3108"/>
      <c r="AW22" s="3108"/>
      <c r="AX22" s="3108"/>
      <c r="AY22" s="3108"/>
      <c r="AZ22" s="3108"/>
      <c r="BA22" s="3108"/>
      <c r="BB22" s="3108"/>
      <c r="BC22" s="3108"/>
      <c r="BD22" s="3108"/>
      <c r="BE22" s="3108"/>
      <c r="BF22" s="3108"/>
      <c r="BG22" s="3108"/>
      <c r="BH22" s="3111"/>
      <c r="BI22" s="3112"/>
      <c r="BJ22" s="3112"/>
      <c r="BK22" s="3123"/>
      <c r="BL22" s="3112"/>
      <c r="BM22" s="3112"/>
      <c r="BN22" s="3117"/>
      <c r="BO22" s="3118"/>
      <c r="BP22" s="3117"/>
      <c r="BQ22" s="3118"/>
      <c r="BR22" s="3098"/>
      <c r="BS22" s="579"/>
      <c r="BT22" s="579"/>
      <c r="BU22" s="579"/>
      <c r="BV22" s="579"/>
      <c r="BW22" s="579"/>
      <c r="BX22" s="579"/>
      <c r="BY22" s="579"/>
      <c r="BZ22" s="579"/>
      <c r="CA22" s="579"/>
      <c r="CB22" s="579"/>
      <c r="CC22" s="579"/>
      <c r="CD22" s="579"/>
      <c r="CE22" s="579"/>
      <c r="CF22" s="579"/>
      <c r="CG22" s="579"/>
      <c r="CH22" s="579"/>
      <c r="CI22" s="579"/>
      <c r="CJ22" s="579"/>
      <c r="CK22" s="579"/>
      <c r="CL22" s="579"/>
      <c r="CM22" s="579"/>
      <c r="CN22" s="579"/>
      <c r="CO22" s="579"/>
      <c r="CP22" s="579"/>
      <c r="CQ22" s="579"/>
      <c r="CR22" s="579"/>
      <c r="CS22" s="579"/>
      <c r="CT22" s="579"/>
      <c r="CU22" s="579"/>
      <c r="CV22" s="579"/>
      <c r="CW22" s="579"/>
      <c r="CX22" s="579"/>
      <c r="CY22" s="579"/>
      <c r="CZ22" s="579"/>
      <c r="DA22" s="579"/>
      <c r="DB22" s="579"/>
      <c r="DC22" s="579"/>
      <c r="DD22" s="579"/>
      <c r="DE22" s="579"/>
      <c r="DF22" s="579"/>
      <c r="DG22" s="579"/>
      <c r="DH22" s="579"/>
      <c r="DI22" s="579"/>
      <c r="DJ22" s="579"/>
      <c r="DK22" s="579"/>
      <c r="DL22" s="579"/>
      <c r="DM22" s="579"/>
      <c r="DN22" s="579"/>
      <c r="DO22" s="579"/>
      <c r="DP22" s="579"/>
      <c r="DQ22" s="579"/>
      <c r="DR22" s="579"/>
      <c r="DS22" s="579"/>
      <c r="DT22" s="579"/>
      <c r="DU22" s="579"/>
      <c r="DV22" s="579"/>
      <c r="DW22" s="579"/>
      <c r="DX22" s="579"/>
      <c r="DY22" s="579"/>
      <c r="DZ22" s="579"/>
      <c r="EA22" s="579"/>
      <c r="EB22" s="579"/>
      <c r="EC22" s="579"/>
      <c r="ED22" s="579"/>
      <c r="EE22" s="579"/>
      <c r="EF22" s="579"/>
      <c r="EG22" s="579"/>
      <c r="EH22" s="579"/>
      <c r="EI22" s="579"/>
      <c r="EJ22" s="579"/>
      <c r="EK22" s="579"/>
      <c r="EL22" s="579"/>
      <c r="EM22" s="579"/>
      <c r="EN22" s="579"/>
      <c r="EO22" s="579"/>
      <c r="EP22" s="579"/>
      <c r="EQ22" s="579"/>
      <c r="ER22" s="579"/>
      <c r="ES22" s="579"/>
      <c r="ET22" s="579"/>
      <c r="EU22" s="579"/>
      <c r="EV22" s="579"/>
      <c r="EW22" s="579"/>
      <c r="EX22" s="579"/>
      <c r="EY22" s="579"/>
      <c r="EZ22" s="579"/>
      <c r="FA22" s="579"/>
      <c r="FB22" s="579"/>
      <c r="FC22" s="579"/>
      <c r="FD22" s="579"/>
      <c r="FE22" s="579"/>
      <c r="FF22" s="579"/>
      <c r="FG22" s="579"/>
      <c r="FH22" s="579"/>
      <c r="FI22" s="579"/>
      <c r="FJ22" s="579"/>
      <c r="FK22" s="579"/>
      <c r="FL22" s="579"/>
      <c r="FM22" s="579"/>
      <c r="FN22" s="579"/>
      <c r="FO22" s="579"/>
      <c r="FP22" s="579"/>
      <c r="FQ22" s="579"/>
      <c r="FR22" s="579"/>
      <c r="FS22" s="579"/>
      <c r="FT22" s="579"/>
      <c r="FU22" s="579"/>
      <c r="FV22" s="579"/>
      <c r="FW22" s="579"/>
      <c r="FX22" s="579"/>
      <c r="FY22" s="579"/>
      <c r="FZ22" s="579"/>
      <c r="GA22" s="579"/>
      <c r="GB22" s="579"/>
      <c r="GC22" s="579"/>
      <c r="GD22" s="579"/>
      <c r="GE22" s="579"/>
      <c r="GF22" s="579"/>
      <c r="GG22" s="579"/>
      <c r="GH22" s="579"/>
      <c r="GI22" s="579"/>
      <c r="GJ22" s="579"/>
      <c r="GK22" s="579"/>
      <c r="GL22" s="579"/>
      <c r="GM22" s="579"/>
      <c r="GN22" s="579"/>
      <c r="GO22" s="579"/>
      <c r="GP22" s="579"/>
      <c r="GQ22" s="579"/>
      <c r="GR22" s="579"/>
      <c r="GS22" s="579"/>
      <c r="GT22" s="579"/>
      <c r="GU22" s="579"/>
      <c r="GV22" s="579"/>
      <c r="GW22" s="579"/>
      <c r="GX22" s="579"/>
      <c r="GY22" s="579"/>
      <c r="GZ22" s="579"/>
      <c r="HA22" s="579"/>
      <c r="HB22" s="579"/>
      <c r="HC22" s="579"/>
      <c r="HD22" s="579"/>
      <c r="HE22" s="579"/>
      <c r="HF22" s="579"/>
      <c r="HG22" s="579"/>
      <c r="HH22" s="579"/>
      <c r="HI22" s="579"/>
      <c r="HJ22" s="579"/>
      <c r="HK22" s="579"/>
      <c r="HL22" s="579"/>
      <c r="HM22" s="579"/>
      <c r="HN22" s="579"/>
      <c r="HO22" s="579"/>
      <c r="HP22" s="579"/>
      <c r="HQ22" s="579"/>
      <c r="HR22" s="579"/>
      <c r="HS22" s="579"/>
      <c r="HT22" s="579"/>
      <c r="HU22" s="579"/>
      <c r="HV22" s="579"/>
      <c r="HW22" s="579"/>
      <c r="HX22" s="579"/>
      <c r="HY22" s="579"/>
      <c r="HZ22" s="579"/>
      <c r="IA22" s="579"/>
      <c r="IB22" s="579"/>
      <c r="IC22" s="579"/>
      <c r="ID22" s="579"/>
      <c r="IE22" s="579"/>
      <c r="IF22" s="579"/>
      <c r="IG22" s="579"/>
      <c r="IH22" s="579"/>
      <c r="II22" s="579"/>
      <c r="IJ22" s="579"/>
      <c r="IK22" s="579"/>
      <c r="IL22" s="579"/>
      <c r="IM22" s="579"/>
      <c r="IN22" s="579"/>
      <c r="IO22" s="579"/>
      <c r="IP22" s="579"/>
      <c r="IQ22" s="579"/>
      <c r="IR22" s="579"/>
      <c r="IS22" s="579"/>
      <c r="IT22" s="579"/>
      <c r="IU22" s="579"/>
      <c r="IV22" s="579"/>
      <c r="IW22" s="579"/>
      <c r="IX22" s="579"/>
      <c r="IY22" s="579"/>
      <c r="IZ22" s="579"/>
      <c r="JA22" s="579"/>
      <c r="JB22" s="579"/>
      <c r="JC22" s="579"/>
      <c r="JD22" s="579"/>
      <c r="JE22" s="579"/>
      <c r="JF22" s="579"/>
      <c r="JG22" s="579"/>
      <c r="JH22" s="579"/>
      <c r="JI22" s="579"/>
      <c r="JJ22" s="579"/>
      <c r="JK22" s="579"/>
      <c r="JL22" s="579"/>
      <c r="JM22" s="579"/>
      <c r="JN22" s="579"/>
      <c r="JO22" s="579"/>
      <c r="JP22" s="579"/>
      <c r="JQ22" s="579"/>
      <c r="JR22" s="579"/>
      <c r="JS22" s="579"/>
      <c r="JT22" s="579"/>
      <c r="JU22" s="579"/>
    </row>
    <row r="23" spans="1:281" ht="33" customHeight="1" thickBot="1" x14ac:dyDescent="0.3">
      <c r="A23" s="1180"/>
      <c r="B23" s="1181"/>
      <c r="C23" s="1181"/>
      <c r="D23" s="1181"/>
      <c r="E23" s="1181"/>
      <c r="F23" s="1181"/>
      <c r="G23" s="1181"/>
      <c r="H23" s="1181"/>
      <c r="I23" s="1181"/>
      <c r="J23" s="1182"/>
      <c r="K23" s="1183"/>
      <c r="L23" s="1183"/>
      <c r="M23" s="1184"/>
      <c r="N23" s="1184"/>
      <c r="O23" s="1183"/>
      <c r="P23" s="1183"/>
      <c r="Q23" s="1183"/>
      <c r="R23" s="1185"/>
      <c r="S23" s="1186">
        <f>SUM(S13:S22)</f>
        <v>2348473039</v>
      </c>
      <c r="T23" s="1187"/>
      <c r="U23" s="1183"/>
      <c r="V23" s="1188"/>
      <c r="W23" s="1189">
        <f>SUM(W13:W22)</f>
        <v>2348473039</v>
      </c>
      <c r="X23" s="1189">
        <f>SUM(X13:X22)</f>
        <v>1046762895</v>
      </c>
      <c r="Y23" s="1189">
        <f>SUM(Y13:Y22)</f>
        <v>179842000</v>
      </c>
      <c r="Z23" s="1190"/>
      <c r="AA23" s="1191"/>
      <c r="AB23" s="1181"/>
      <c r="AC23" s="1181"/>
      <c r="AD23" s="1181"/>
      <c r="AE23" s="1181"/>
      <c r="AF23" s="1181"/>
      <c r="AG23" s="1181"/>
      <c r="AH23" s="1181"/>
      <c r="AI23" s="1181"/>
      <c r="AJ23" s="1181"/>
      <c r="AK23" s="1181"/>
      <c r="AL23" s="1181"/>
      <c r="AM23" s="1181"/>
      <c r="AN23" s="1181"/>
      <c r="AO23" s="1181"/>
      <c r="AP23" s="1181"/>
      <c r="AQ23" s="1181"/>
      <c r="AR23" s="1181"/>
      <c r="AS23" s="1181"/>
      <c r="AT23" s="1181"/>
      <c r="AU23" s="1181"/>
      <c r="AV23" s="1181"/>
      <c r="AW23" s="1181"/>
      <c r="AX23" s="1181"/>
      <c r="AY23" s="1181"/>
      <c r="AZ23" s="1181"/>
      <c r="BA23" s="1181"/>
      <c r="BB23" s="1181"/>
      <c r="BC23" s="1181"/>
      <c r="BD23" s="1181"/>
      <c r="BE23" s="1181"/>
      <c r="BF23" s="1181"/>
      <c r="BG23" s="1181"/>
      <c r="BH23" s="1192"/>
      <c r="BI23" s="1193">
        <f>SUM(BI13:BI22)</f>
        <v>1046762895</v>
      </c>
      <c r="BJ23" s="1194">
        <f>SUM(BJ13:BJ22)</f>
        <v>179842000</v>
      </c>
      <c r="BK23" s="1195">
        <f>BJ23/BI23</f>
        <v>0.17180777123361829</v>
      </c>
      <c r="BL23" s="1181"/>
      <c r="BM23" s="1181"/>
      <c r="BN23" s="1196"/>
      <c r="BO23" s="1196"/>
      <c r="BP23" s="1197"/>
      <c r="BQ23" s="1197"/>
      <c r="BR23" s="1188"/>
      <c r="BS23" s="1198"/>
      <c r="BT23" s="1198"/>
      <c r="BU23" s="1198"/>
      <c r="BV23" s="1198"/>
      <c r="BW23" s="1198"/>
      <c r="BX23" s="1198"/>
      <c r="BY23" s="1198"/>
      <c r="BZ23" s="1198"/>
      <c r="CA23" s="1198"/>
      <c r="CB23" s="1198"/>
      <c r="CC23" s="1198"/>
      <c r="CD23" s="1198"/>
      <c r="CE23" s="1198"/>
      <c r="CF23" s="1198"/>
      <c r="CG23" s="1198"/>
      <c r="CH23" s="1198"/>
      <c r="CI23" s="1198"/>
      <c r="CJ23" s="1198"/>
      <c r="CK23" s="1198"/>
      <c r="CL23" s="1198"/>
      <c r="CM23" s="1198"/>
      <c r="CN23" s="1198"/>
      <c r="CO23" s="1198"/>
      <c r="CP23" s="1198"/>
      <c r="CQ23" s="1198"/>
      <c r="CR23" s="1198"/>
      <c r="CS23" s="1198"/>
      <c r="CT23" s="1198"/>
      <c r="CU23" s="1198"/>
      <c r="CV23" s="1198"/>
      <c r="CW23" s="1198"/>
      <c r="CX23" s="1198"/>
      <c r="CY23" s="1198"/>
      <c r="CZ23" s="1198"/>
      <c r="DA23" s="1198"/>
      <c r="DB23" s="1198"/>
      <c r="DC23" s="1198"/>
      <c r="DD23" s="1198"/>
      <c r="DE23" s="1198"/>
      <c r="DF23" s="1198"/>
      <c r="DG23" s="1198"/>
      <c r="DH23" s="1198"/>
      <c r="DI23" s="1198"/>
      <c r="DJ23" s="1198"/>
      <c r="DK23" s="1198"/>
      <c r="DL23" s="1198"/>
      <c r="DM23" s="1198"/>
      <c r="DN23" s="1198"/>
      <c r="DO23" s="1198"/>
      <c r="DP23" s="1198"/>
      <c r="DQ23" s="1198"/>
      <c r="DR23" s="1198"/>
      <c r="DS23" s="1198"/>
      <c r="DT23" s="1198"/>
      <c r="DU23" s="1198"/>
      <c r="DV23" s="1198"/>
      <c r="DW23" s="1198"/>
      <c r="DX23" s="1198"/>
      <c r="DY23" s="1198"/>
      <c r="DZ23" s="1198"/>
      <c r="EA23" s="1198"/>
      <c r="EB23" s="1198"/>
      <c r="EC23" s="1198"/>
      <c r="ED23" s="1198"/>
      <c r="EE23" s="1198"/>
      <c r="EF23" s="1198"/>
      <c r="EG23" s="1198"/>
      <c r="EH23" s="1198"/>
      <c r="EI23" s="1198"/>
      <c r="EJ23" s="1198"/>
      <c r="EK23" s="1198"/>
      <c r="EL23" s="1198"/>
      <c r="EM23" s="1198"/>
      <c r="EN23" s="1198"/>
      <c r="EO23" s="1198"/>
      <c r="EP23" s="1198"/>
      <c r="EQ23" s="1198"/>
      <c r="ER23" s="1198"/>
      <c r="ES23" s="1198"/>
      <c r="ET23" s="1198"/>
      <c r="EU23" s="1198"/>
      <c r="EV23" s="1198"/>
      <c r="EW23" s="1198"/>
      <c r="EX23" s="1198"/>
      <c r="EY23" s="1198"/>
      <c r="EZ23" s="1198"/>
      <c r="FA23" s="1198"/>
      <c r="FB23" s="1198"/>
      <c r="FC23" s="1198"/>
      <c r="FD23" s="1198"/>
      <c r="FE23" s="1198"/>
      <c r="FF23" s="1198"/>
      <c r="FG23" s="1198"/>
      <c r="FH23" s="1198"/>
      <c r="FI23" s="1198"/>
      <c r="FJ23" s="1198"/>
      <c r="FK23" s="1198"/>
      <c r="FL23" s="1198"/>
      <c r="FM23" s="1198"/>
      <c r="FN23" s="1198"/>
      <c r="FO23" s="1198"/>
      <c r="FP23" s="1198"/>
      <c r="FQ23" s="1198"/>
      <c r="FR23" s="1198"/>
      <c r="FS23" s="1198"/>
      <c r="FT23" s="1198"/>
      <c r="FU23" s="1198"/>
      <c r="FV23" s="1198"/>
      <c r="FW23" s="1198"/>
      <c r="FX23" s="1198"/>
      <c r="FY23" s="1198"/>
      <c r="FZ23" s="1198"/>
      <c r="GA23" s="1198"/>
      <c r="GB23" s="1198"/>
      <c r="GC23" s="1198"/>
      <c r="GD23" s="1198"/>
      <c r="GE23" s="1198"/>
      <c r="GF23" s="1198"/>
      <c r="GG23" s="1198"/>
      <c r="GH23" s="1198"/>
      <c r="GI23" s="1198"/>
      <c r="GJ23" s="1198"/>
      <c r="GK23" s="1198"/>
      <c r="GL23" s="1198"/>
      <c r="GM23" s="1198"/>
      <c r="GN23" s="1198"/>
      <c r="GO23" s="1198"/>
      <c r="GP23" s="1198"/>
      <c r="GQ23" s="1198"/>
      <c r="GR23" s="1198"/>
      <c r="GS23" s="1198"/>
      <c r="GT23" s="1198"/>
      <c r="GU23" s="1198"/>
      <c r="GV23" s="1198"/>
      <c r="GW23" s="1198"/>
      <c r="GX23" s="1198"/>
      <c r="GY23" s="1198"/>
      <c r="GZ23" s="1198"/>
      <c r="HA23" s="1198"/>
      <c r="HB23" s="1198"/>
      <c r="HC23" s="1198"/>
      <c r="HD23" s="1198"/>
      <c r="HE23" s="1198"/>
      <c r="HF23" s="1198"/>
      <c r="HG23" s="1198"/>
      <c r="HH23" s="1198"/>
      <c r="HI23" s="1198"/>
      <c r="HJ23" s="1198"/>
      <c r="HK23" s="1198"/>
      <c r="HL23" s="1198"/>
      <c r="HM23" s="1198"/>
      <c r="HN23" s="1198"/>
      <c r="HO23" s="1198"/>
      <c r="HP23" s="1198"/>
      <c r="HQ23" s="1198"/>
      <c r="HR23" s="1198"/>
      <c r="HS23" s="1198"/>
      <c r="HT23" s="1198"/>
      <c r="HU23" s="1198"/>
      <c r="HV23" s="1198"/>
      <c r="HW23" s="1198"/>
      <c r="HX23" s="1198"/>
      <c r="HY23" s="1198"/>
      <c r="HZ23" s="1198"/>
      <c r="IA23" s="1198"/>
      <c r="IB23" s="1198"/>
      <c r="IC23" s="1198"/>
      <c r="ID23" s="1198"/>
      <c r="IE23" s="1198"/>
      <c r="IF23" s="1198"/>
      <c r="IG23" s="1198"/>
      <c r="IH23" s="1198"/>
      <c r="II23" s="1198"/>
      <c r="IJ23" s="1198"/>
      <c r="IK23" s="1198"/>
      <c r="IL23" s="1198"/>
      <c r="IM23" s="1198"/>
      <c r="IN23" s="1198"/>
      <c r="IO23" s="1198"/>
      <c r="IP23" s="1198"/>
      <c r="IQ23" s="1198"/>
      <c r="IR23" s="1198"/>
      <c r="IS23" s="1198"/>
      <c r="IT23" s="1198"/>
      <c r="IU23" s="1198"/>
      <c r="IV23" s="1198"/>
      <c r="IW23" s="1198"/>
      <c r="IX23" s="1198"/>
      <c r="IY23" s="1198"/>
      <c r="IZ23" s="1198"/>
      <c r="JA23" s="1198"/>
      <c r="JB23" s="1198"/>
      <c r="JC23" s="1198"/>
      <c r="JD23" s="1198"/>
      <c r="JE23" s="1198"/>
      <c r="JF23" s="1198"/>
      <c r="JG23" s="1198"/>
      <c r="JH23" s="1198"/>
      <c r="JI23" s="1198"/>
      <c r="JJ23" s="1198"/>
      <c r="JK23" s="1198"/>
      <c r="JL23" s="1198"/>
      <c r="JM23" s="1198"/>
      <c r="JN23" s="1198"/>
      <c r="JO23" s="1198"/>
      <c r="JP23" s="1198"/>
      <c r="JQ23" s="1198"/>
      <c r="JR23" s="1198"/>
      <c r="JS23" s="1198"/>
      <c r="JT23" s="1198"/>
      <c r="JU23" s="1198"/>
    </row>
    <row r="24" spans="1:281" x14ac:dyDescent="0.25">
      <c r="A24" s="3113"/>
      <c r="B24" s="3113"/>
      <c r="C24" s="3113"/>
      <c r="D24" s="3113"/>
      <c r="E24" s="3113"/>
      <c r="F24" s="3113"/>
      <c r="G24" s="3113"/>
      <c r="H24" s="3113"/>
      <c r="I24" s="3113"/>
      <c r="J24" s="3113"/>
      <c r="K24" s="3113"/>
      <c r="L24" s="3113"/>
      <c r="M24" s="3113"/>
      <c r="N24" s="3113"/>
      <c r="O24" s="3113"/>
      <c r="P24" s="3113"/>
      <c r="Q24" s="3113"/>
      <c r="R24" s="3113"/>
      <c r="S24" s="1199" t="s">
        <v>1067</v>
      </c>
      <c r="T24" s="3114"/>
      <c r="U24" s="3114"/>
      <c r="V24" s="3114"/>
      <c r="W24" s="1200"/>
      <c r="X24" s="1200"/>
      <c r="Y24" s="1200"/>
      <c r="Z24" s="1201"/>
      <c r="AA24" s="735"/>
      <c r="AB24" s="579"/>
      <c r="AC24" s="579"/>
      <c r="AD24" s="1202"/>
      <c r="AE24" s="1202"/>
      <c r="AF24" s="1202"/>
      <c r="AG24" s="1202"/>
      <c r="AH24" s="1202"/>
      <c r="AI24" s="1202"/>
      <c r="AJ24" s="1203"/>
      <c r="AK24" s="1203"/>
      <c r="AL24" s="1203"/>
      <c r="AM24" s="1203"/>
      <c r="AN24" s="1203"/>
      <c r="AO24" s="1203"/>
      <c r="AP24" s="1203"/>
      <c r="AQ24" s="1203"/>
      <c r="AR24" s="1203"/>
      <c r="AS24" s="1203"/>
      <c r="AT24" s="1203"/>
      <c r="AU24" s="1203"/>
      <c r="AV24" s="1203"/>
      <c r="AW24" s="1203"/>
      <c r="AX24" s="1203"/>
      <c r="AY24" s="1203"/>
      <c r="AZ24" s="1203"/>
      <c r="BA24" s="1203"/>
      <c r="BB24" s="1203"/>
      <c r="BC24" s="1203"/>
      <c r="BD24" s="1203"/>
      <c r="BE24" s="1203"/>
      <c r="BF24" s="1203"/>
      <c r="BG24" s="1203"/>
      <c r="BH24" s="1203"/>
      <c r="BI24" s="1203"/>
      <c r="BJ24" s="1203"/>
      <c r="BK24" s="1203"/>
      <c r="BL24" s="1203"/>
      <c r="BM24" s="1203"/>
      <c r="BN24" s="1203"/>
      <c r="BO24" s="1203"/>
      <c r="BP24" s="1203"/>
      <c r="BQ24" s="1203"/>
      <c r="BR24" s="1203"/>
      <c r="BS24" s="1203"/>
      <c r="BT24" s="1203"/>
      <c r="BU24" s="1203"/>
      <c r="BV24" s="1203"/>
      <c r="BW24" s="1203"/>
      <c r="BX24" s="1203"/>
      <c r="BY24" s="1203"/>
      <c r="BZ24" s="1203"/>
      <c r="CA24" s="1203"/>
      <c r="CB24" s="1203"/>
      <c r="CC24" s="1203"/>
      <c r="CD24" s="1203"/>
      <c r="CE24" s="1202"/>
      <c r="CF24" s="1202"/>
      <c r="CG24" s="1203"/>
      <c r="CH24" s="1203"/>
      <c r="CI24" s="1203"/>
      <c r="CJ24" s="1203"/>
      <c r="CK24" s="1203"/>
      <c r="CL24" s="1203"/>
      <c r="CM24" s="1203"/>
      <c r="CN24" s="1203"/>
    </row>
    <row r="25" spans="1:281" x14ac:dyDescent="0.25">
      <c r="A25" s="1204"/>
      <c r="B25" s="1204"/>
      <c r="C25" s="1204"/>
      <c r="D25" s="1204"/>
      <c r="E25" s="1204"/>
      <c r="F25" s="1204"/>
      <c r="G25" s="1204"/>
      <c r="H25" s="1204"/>
      <c r="I25" s="1204"/>
      <c r="J25" s="1204"/>
      <c r="K25" s="1204"/>
      <c r="L25" s="1204"/>
      <c r="M25" s="1204"/>
      <c r="N25" s="1204"/>
      <c r="O25" s="1204"/>
      <c r="P25" s="1204"/>
      <c r="Q25" s="1204"/>
      <c r="R25" s="1204"/>
      <c r="S25" s="1199"/>
      <c r="T25" s="1205"/>
      <c r="U25" s="1205"/>
      <c r="V25" s="1205"/>
      <c r="W25" s="1200"/>
      <c r="X25" s="1200"/>
      <c r="Y25" s="1200"/>
      <c r="Z25" s="1201"/>
      <c r="AA25" s="735"/>
      <c r="AB25" s="1206"/>
      <c r="AC25" s="1206"/>
      <c r="AD25" s="1206"/>
      <c r="AE25" s="1206"/>
      <c r="AF25" s="1206"/>
      <c r="AG25" s="1206"/>
      <c r="AH25" s="1206"/>
      <c r="AI25" s="1206"/>
      <c r="AJ25" s="1206"/>
      <c r="AK25" s="1206"/>
      <c r="AL25" s="1206"/>
      <c r="AM25" s="1206"/>
      <c r="AN25" s="1206"/>
      <c r="AO25" s="1206"/>
      <c r="AP25" s="1206"/>
      <c r="AQ25" s="1206"/>
      <c r="AR25" s="1206"/>
      <c r="AS25" s="1206"/>
      <c r="AT25" s="1206"/>
      <c r="AU25" s="1206"/>
      <c r="AV25" s="1206"/>
      <c r="AW25" s="1206"/>
      <c r="AX25" s="1206"/>
      <c r="AY25" s="1206"/>
      <c r="AZ25" s="1206"/>
      <c r="BA25" s="1206"/>
      <c r="BB25" s="1206"/>
      <c r="BC25" s="1206"/>
      <c r="BD25" s="1206"/>
      <c r="BE25" s="1206"/>
      <c r="BF25" s="1206"/>
      <c r="BG25" s="1206"/>
      <c r="BH25" s="1206"/>
      <c r="BI25" s="1206"/>
      <c r="BJ25" s="1206"/>
      <c r="BK25" s="1206"/>
      <c r="BL25" s="1206"/>
      <c r="BM25" s="1206"/>
      <c r="BN25" s="1203"/>
      <c r="BO25" s="1203"/>
      <c r="BP25" s="1203"/>
      <c r="BQ25" s="1203"/>
      <c r="BR25" s="1203"/>
      <c r="BS25" s="1203"/>
      <c r="BT25" s="1203"/>
      <c r="BU25" s="1203"/>
      <c r="BV25" s="1203"/>
      <c r="BW25" s="1203"/>
      <c r="BX25" s="1203"/>
      <c r="BY25" s="1203"/>
      <c r="BZ25" s="1203"/>
      <c r="CA25" s="1203"/>
      <c r="CB25" s="1203"/>
      <c r="CC25" s="1203"/>
      <c r="CD25" s="1203"/>
      <c r="CE25" s="1202"/>
      <c r="CF25" s="1202"/>
      <c r="CG25" s="1203"/>
      <c r="CH25" s="1203"/>
      <c r="CI25" s="1203"/>
      <c r="CJ25" s="1203"/>
      <c r="CK25" s="1203"/>
      <c r="CL25" s="1203"/>
      <c r="CM25" s="1203"/>
      <c r="CN25" s="1203"/>
    </row>
    <row r="26" spans="1:281" x14ac:dyDescent="0.25">
      <c r="A26" s="1204"/>
      <c r="B26" s="1204"/>
      <c r="C26" s="1204"/>
      <c r="D26" s="1204"/>
      <c r="E26" s="1204"/>
      <c r="F26" s="1204"/>
      <c r="G26" s="1204"/>
      <c r="H26" s="1204"/>
      <c r="I26" s="1204"/>
      <c r="J26" s="1204"/>
      <c r="K26" s="1204"/>
      <c r="L26" s="1204"/>
      <c r="M26" s="1204"/>
      <c r="N26" s="1204"/>
      <c r="O26" s="1204"/>
      <c r="P26" s="1204"/>
      <c r="Q26" s="1204"/>
      <c r="R26" s="1204"/>
      <c r="S26" s="1199"/>
      <c r="T26" s="1205"/>
      <c r="U26" s="1205"/>
      <c r="V26" s="1205"/>
      <c r="W26" s="1200"/>
      <c r="X26" s="1200"/>
      <c r="Y26" s="1200"/>
      <c r="Z26" s="1201"/>
      <c r="AA26" s="735"/>
      <c r="AB26" s="579"/>
      <c r="AC26" s="579"/>
      <c r="AD26" s="1202"/>
      <c r="AE26" s="1202"/>
      <c r="AF26" s="1202"/>
      <c r="AG26" s="1202"/>
      <c r="AH26" s="1202"/>
      <c r="AI26" s="1202"/>
      <c r="AJ26" s="1203"/>
      <c r="AK26" s="1203"/>
      <c r="AL26" s="1203"/>
      <c r="AM26" s="1203"/>
      <c r="AN26" s="1203"/>
      <c r="AO26" s="1203"/>
      <c r="AP26" s="1203"/>
      <c r="AQ26" s="1203"/>
      <c r="AR26" s="1203"/>
      <c r="AS26" s="1203"/>
      <c r="AT26" s="1203"/>
      <c r="AU26" s="1203"/>
      <c r="AV26" s="1203"/>
      <c r="AW26" s="1203"/>
      <c r="AX26" s="1203"/>
      <c r="AY26" s="1203"/>
      <c r="AZ26" s="1203"/>
      <c r="BA26" s="1203"/>
      <c r="BB26" s="1203"/>
      <c r="BC26" s="1203"/>
      <c r="BD26" s="1203"/>
      <c r="BE26" s="1203"/>
      <c r="BF26" s="1203"/>
      <c r="BG26" s="1203"/>
      <c r="BH26" s="1203"/>
      <c r="BI26" s="1203"/>
      <c r="BJ26" s="1203"/>
      <c r="BK26" s="1203"/>
      <c r="BL26" s="1203"/>
      <c r="BM26" s="1203"/>
      <c r="BN26" s="1203"/>
      <c r="BO26" s="1203"/>
      <c r="BP26" s="1203"/>
      <c r="BQ26" s="1203"/>
      <c r="BR26" s="1203"/>
      <c r="BS26" s="1203"/>
      <c r="BT26" s="1203"/>
      <c r="BU26" s="1203"/>
      <c r="BV26" s="1203"/>
      <c r="BW26" s="1203"/>
      <c r="BX26" s="1203"/>
      <c r="BY26" s="1203"/>
      <c r="BZ26" s="1203"/>
      <c r="CA26" s="1203"/>
      <c r="CB26" s="1203"/>
      <c r="CC26" s="1203"/>
      <c r="CD26" s="1203"/>
      <c r="CE26" s="1202"/>
      <c r="CF26" s="1202"/>
      <c r="CG26" s="1203"/>
      <c r="CH26" s="1203"/>
      <c r="CI26" s="1203"/>
      <c r="CJ26" s="1203"/>
      <c r="CK26" s="1203"/>
      <c r="CL26" s="1203"/>
      <c r="CM26" s="1203"/>
      <c r="CN26" s="1203"/>
    </row>
    <row r="27" spans="1:281" x14ac:dyDescent="0.25">
      <c r="A27" s="1204"/>
      <c r="B27" s="1204"/>
      <c r="C27" s="1204"/>
      <c r="D27" s="1204"/>
      <c r="E27" s="1204"/>
      <c r="F27" s="1204"/>
      <c r="G27" s="1204"/>
      <c r="H27" s="1204"/>
      <c r="I27" s="1204"/>
      <c r="J27" s="1204"/>
      <c r="K27" s="1204"/>
      <c r="L27" s="1204"/>
      <c r="M27" s="1204"/>
      <c r="N27" s="1204"/>
      <c r="O27" s="1204"/>
      <c r="P27" s="1204"/>
      <c r="Q27" s="1204"/>
      <c r="R27" s="1204"/>
      <c r="S27" s="1199"/>
      <c r="T27" s="1205"/>
      <c r="U27" s="1205"/>
      <c r="V27" s="1205"/>
      <c r="W27" s="1200"/>
      <c r="X27" s="1200"/>
      <c r="Y27" s="1200"/>
      <c r="Z27" s="1201"/>
      <c r="AA27" s="735"/>
      <c r="AB27" s="1206"/>
      <c r="AC27" s="1206"/>
      <c r="AD27" s="1206"/>
      <c r="AE27" s="1206"/>
      <c r="AF27" s="1206"/>
      <c r="AG27" s="1206"/>
      <c r="AH27" s="1206"/>
      <c r="AI27" s="1206"/>
      <c r="AJ27" s="1206"/>
      <c r="AK27" s="1206"/>
      <c r="AL27" s="1206"/>
      <c r="AM27" s="1206"/>
      <c r="AN27" s="1206"/>
      <c r="AO27" s="1206"/>
      <c r="AP27" s="1206"/>
      <c r="AQ27" s="1206"/>
      <c r="AR27" s="1206"/>
      <c r="AS27" s="1206"/>
      <c r="AT27" s="1206"/>
      <c r="AU27" s="1206"/>
      <c r="AV27" s="1206"/>
      <c r="AW27" s="1206"/>
      <c r="AX27" s="1206"/>
      <c r="AY27" s="1206"/>
      <c r="AZ27" s="1206"/>
      <c r="BA27" s="1206"/>
      <c r="BB27" s="1206"/>
      <c r="BC27" s="1206"/>
      <c r="BD27" s="1206"/>
      <c r="BE27" s="1206"/>
      <c r="BF27" s="1206"/>
      <c r="BG27" s="1206"/>
      <c r="BH27" s="1206"/>
      <c r="BI27" s="1206"/>
      <c r="BJ27" s="1206"/>
      <c r="BK27" s="1206"/>
      <c r="BL27" s="1206"/>
      <c r="BM27" s="1206"/>
      <c r="BN27" s="1206"/>
      <c r="BO27" s="1206"/>
      <c r="BP27" s="1203"/>
      <c r="BQ27" s="1203"/>
      <c r="BR27" s="1203"/>
      <c r="BS27" s="1203"/>
      <c r="BT27" s="1203"/>
      <c r="BU27" s="1203"/>
      <c r="BV27" s="1203"/>
      <c r="BW27" s="1203"/>
      <c r="BX27" s="1203"/>
      <c r="BY27" s="1203"/>
      <c r="BZ27" s="1203"/>
      <c r="CA27" s="1203"/>
      <c r="CB27" s="1203"/>
      <c r="CC27" s="1203"/>
      <c r="CD27" s="1203"/>
      <c r="CE27" s="1202"/>
      <c r="CF27" s="1202"/>
      <c r="CG27" s="1203"/>
      <c r="CH27" s="1203"/>
      <c r="CI27" s="1203"/>
      <c r="CJ27" s="1203"/>
      <c r="CK27" s="1203"/>
      <c r="CL27" s="1203"/>
      <c r="CM27" s="1203"/>
      <c r="CN27" s="1203"/>
    </row>
    <row r="28" spans="1:281" x14ac:dyDescent="0.25">
      <c r="J28" s="1207"/>
      <c r="K28" s="909"/>
      <c r="L28" s="910"/>
      <c r="M28" s="911"/>
      <c r="N28" s="911"/>
      <c r="O28" s="910"/>
      <c r="P28" s="910"/>
      <c r="Q28" s="910"/>
      <c r="R28" s="911"/>
      <c r="S28" s="1208"/>
      <c r="T28" s="910"/>
      <c r="U28" s="909"/>
      <c r="V28" s="909"/>
      <c r="W28" s="1209"/>
      <c r="X28" s="1209"/>
      <c r="Y28" s="1209"/>
    </row>
    <row r="29" spans="1:281" x14ac:dyDescent="0.25">
      <c r="J29" s="1207"/>
      <c r="K29" s="909"/>
      <c r="L29" s="910"/>
      <c r="M29" s="3115" t="s">
        <v>1068</v>
      </c>
      <c r="N29" s="3115"/>
      <c r="O29" s="3115"/>
      <c r="P29" s="3115"/>
      <c r="Q29" s="3115"/>
      <c r="R29" s="3115"/>
      <c r="S29" s="3115"/>
      <c r="T29" s="3115"/>
      <c r="U29" s="909"/>
      <c r="V29" s="909"/>
      <c r="W29" s="1209"/>
      <c r="X29" s="1209"/>
      <c r="Y29" s="1209"/>
    </row>
    <row r="30" spans="1:281" x14ac:dyDescent="0.25">
      <c r="J30" s="1207"/>
      <c r="K30" s="909"/>
      <c r="L30" s="910"/>
      <c r="M30" s="3116" t="s">
        <v>1069</v>
      </c>
      <c r="N30" s="3116"/>
      <c r="O30" s="3116"/>
      <c r="P30" s="3116"/>
      <c r="Q30" s="3116"/>
      <c r="R30" s="3116"/>
      <c r="S30" s="3116"/>
      <c r="T30" s="3116"/>
      <c r="U30" s="909"/>
      <c r="V30" s="909"/>
      <c r="W30" s="1209"/>
      <c r="X30" s="1209"/>
      <c r="Y30" s="1209"/>
    </row>
  </sheetData>
  <sheetProtection password="F3F4" sheet="1" objects="1" scenarios="1"/>
  <mergeCells count="197">
    <mergeCell ref="A24:R24"/>
    <mergeCell ref="T24:V24"/>
    <mergeCell ref="M29:T29"/>
    <mergeCell ref="M30:T30"/>
    <mergeCell ref="BP20:BP22"/>
    <mergeCell ref="BQ20:BQ22"/>
    <mergeCell ref="BR20:BR22"/>
    <mergeCell ref="J21:J22"/>
    <mergeCell ref="K21:K22"/>
    <mergeCell ref="L21:L22"/>
    <mergeCell ref="M21:M22"/>
    <mergeCell ref="N21:N22"/>
    <mergeCell ref="R21:R22"/>
    <mergeCell ref="U21:U22"/>
    <mergeCell ref="BJ20:BJ22"/>
    <mergeCell ref="BK20:BK22"/>
    <mergeCell ref="BL20:BL22"/>
    <mergeCell ref="BM20:BM22"/>
    <mergeCell ref="BN20:BN22"/>
    <mergeCell ref="BO20:BO22"/>
    <mergeCell ref="BD20:BD22"/>
    <mergeCell ref="BE20:BE22"/>
    <mergeCell ref="BF20:BF22"/>
    <mergeCell ref="BG20:BG22"/>
    <mergeCell ref="BH20:BH22"/>
    <mergeCell ref="BI20:BI22"/>
    <mergeCell ref="AX20:AX22"/>
    <mergeCell ref="AY20:AY22"/>
    <mergeCell ref="AZ20:AZ22"/>
    <mergeCell ref="BA20:BA22"/>
    <mergeCell ref="BB20:BB22"/>
    <mergeCell ref="BC20:BC22"/>
    <mergeCell ref="AR20:AR22"/>
    <mergeCell ref="AS20:AS22"/>
    <mergeCell ref="AT20:AT22"/>
    <mergeCell ref="AU20:AU22"/>
    <mergeCell ref="AV20:AV22"/>
    <mergeCell ref="AW20:AW22"/>
    <mergeCell ref="AL20:AL22"/>
    <mergeCell ref="AM20:AM22"/>
    <mergeCell ref="AN20:AN22"/>
    <mergeCell ref="AO20:AO22"/>
    <mergeCell ref="AP20:AP22"/>
    <mergeCell ref="AQ20:AQ22"/>
    <mergeCell ref="AF20:AF22"/>
    <mergeCell ref="AG20:AG22"/>
    <mergeCell ref="AH20:AH22"/>
    <mergeCell ref="AI20:AI22"/>
    <mergeCell ref="AJ20:AJ22"/>
    <mergeCell ref="AK20:AK22"/>
    <mergeCell ref="S20:S22"/>
    <mergeCell ref="T20:T22"/>
    <mergeCell ref="AB20:AB22"/>
    <mergeCell ref="AC20:AC22"/>
    <mergeCell ref="AD20:AD22"/>
    <mergeCell ref="AE20:AE22"/>
    <mergeCell ref="V21:V22"/>
    <mergeCell ref="B20:C20"/>
    <mergeCell ref="E20:F20"/>
    <mergeCell ref="H20:I20"/>
    <mergeCell ref="O20:O22"/>
    <mergeCell ref="P20:P22"/>
    <mergeCell ref="Q20:Q22"/>
    <mergeCell ref="R17:R19"/>
    <mergeCell ref="U17:U19"/>
    <mergeCell ref="V17:V19"/>
    <mergeCell ref="W17:W19"/>
    <mergeCell ref="X17:X19"/>
    <mergeCell ref="BQ13:BQ19"/>
    <mergeCell ref="BR13:BR19"/>
    <mergeCell ref="B15:C15"/>
    <mergeCell ref="E15:F15"/>
    <mergeCell ref="H15:I15"/>
    <mergeCell ref="J15:J16"/>
    <mergeCell ref="K15:K16"/>
    <mergeCell ref="L15:L16"/>
    <mergeCell ref="M15:M16"/>
    <mergeCell ref="N15:N16"/>
    <mergeCell ref="BK13:BK19"/>
    <mergeCell ref="BL13:BL19"/>
    <mergeCell ref="BM13:BM19"/>
    <mergeCell ref="BN13:BN19"/>
    <mergeCell ref="BO13:BO19"/>
    <mergeCell ref="BP13:BP19"/>
    <mergeCell ref="BE13:BE19"/>
    <mergeCell ref="BF13:BF19"/>
    <mergeCell ref="BG13:BG19"/>
    <mergeCell ref="BH13:BH19"/>
    <mergeCell ref="BI13:BI19"/>
    <mergeCell ref="BJ13:BJ19"/>
    <mergeCell ref="AY13:AY19"/>
    <mergeCell ref="AZ13:AZ19"/>
    <mergeCell ref="BA13:BA19"/>
    <mergeCell ref="BB13:BB19"/>
    <mergeCell ref="BC13:BC19"/>
    <mergeCell ref="BD13:BD19"/>
    <mergeCell ref="AV13:AV19"/>
    <mergeCell ref="AW13:AW19"/>
    <mergeCell ref="AX13:AX19"/>
    <mergeCell ref="AM13:AM19"/>
    <mergeCell ref="AN13:AN19"/>
    <mergeCell ref="AO13:AO19"/>
    <mergeCell ref="AP13:AP19"/>
    <mergeCell ref="AQ13:AQ19"/>
    <mergeCell ref="AR13:AR19"/>
    <mergeCell ref="AE13:AE19"/>
    <mergeCell ref="AF13:AF19"/>
    <mergeCell ref="V15:V16"/>
    <mergeCell ref="Y17:Y19"/>
    <mergeCell ref="Z17:Z19"/>
    <mergeCell ref="AA17:AA19"/>
    <mergeCell ref="AS13:AS19"/>
    <mergeCell ref="AT13:AT19"/>
    <mergeCell ref="AU13:AU19"/>
    <mergeCell ref="J13:J14"/>
    <mergeCell ref="K13:K14"/>
    <mergeCell ref="L13:L14"/>
    <mergeCell ref="M13:M14"/>
    <mergeCell ref="N13:N14"/>
    <mergeCell ref="O13:O19"/>
    <mergeCell ref="J17:J19"/>
    <mergeCell ref="K17:K19"/>
    <mergeCell ref="L17:L19"/>
    <mergeCell ref="M17:M19"/>
    <mergeCell ref="N17:N19"/>
    <mergeCell ref="AX8:AY8"/>
    <mergeCell ref="AZ8:BA8"/>
    <mergeCell ref="BB8:BC8"/>
    <mergeCell ref="BD8:BE8"/>
    <mergeCell ref="BF7:BG8"/>
    <mergeCell ref="BH7:BM7"/>
    <mergeCell ref="P13:P19"/>
    <mergeCell ref="Q13:Q19"/>
    <mergeCell ref="R13:R14"/>
    <mergeCell ref="S13:S19"/>
    <mergeCell ref="T13:T19"/>
    <mergeCell ref="U13:U14"/>
    <mergeCell ref="R15:R16"/>
    <mergeCell ref="U15:U16"/>
    <mergeCell ref="AG13:AG19"/>
    <mergeCell ref="AH13:AH19"/>
    <mergeCell ref="AI13:AI19"/>
    <mergeCell ref="AJ13:AJ19"/>
    <mergeCell ref="AK13:AK19"/>
    <mergeCell ref="AL13:AL19"/>
    <mergeCell ref="V13:V14"/>
    <mergeCell ref="AB13:AB19"/>
    <mergeCell ref="AC13:AC19"/>
    <mergeCell ref="AD13:AD19"/>
    <mergeCell ref="BR7:BR8"/>
    <mergeCell ref="AB8:AC8"/>
    <mergeCell ref="AD8:AE8"/>
    <mergeCell ref="AF8:AG8"/>
    <mergeCell ref="AH8:AI8"/>
    <mergeCell ref="AJ8:AK8"/>
    <mergeCell ref="W7:Y7"/>
    <mergeCell ref="AA7:AA8"/>
    <mergeCell ref="AB7:AD7"/>
    <mergeCell ref="AF7:AL7"/>
    <mergeCell ref="AN7:AX7"/>
    <mergeCell ref="AZ7:BD7"/>
    <mergeCell ref="AL8:AM8"/>
    <mergeCell ref="AN8:AO8"/>
    <mergeCell ref="AP8:AQ8"/>
    <mergeCell ref="AR8:AS8"/>
    <mergeCell ref="BH8:BH9"/>
    <mergeCell ref="BI8:BI9"/>
    <mergeCell ref="BJ8:BJ9"/>
    <mergeCell ref="BK8:BK9"/>
    <mergeCell ref="BL8:BL9"/>
    <mergeCell ref="BM8:BM9"/>
    <mergeCell ref="AT8:AU8"/>
    <mergeCell ref="AV8:AW8"/>
    <mergeCell ref="A1:BN4"/>
    <mergeCell ref="A5:M6"/>
    <mergeCell ref="O5:BR5"/>
    <mergeCell ref="AB6:BD6"/>
    <mergeCell ref="A7:A8"/>
    <mergeCell ref="B7:C8"/>
    <mergeCell ref="D7:D8"/>
    <mergeCell ref="E7:F8"/>
    <mergeCell ref="G7:G8"/>
    <mergeCell ref="H7:I8"/>
    <mergeCell ref="Q7:Q8"/>
    <mergeCell ref="R7:R8"/>
    <mergeCell ref="S7:S8"/>
    <mergeCell ref="T7:T8"/>
    <mergeCell ref="U7:U8"/>
    <mergeCell ref="V7:V8"/>
    <mergeCell ref="J7:J8"/>
    <mergeCell ref="K7:K8"/>
    <mergeCell ref="L7:L8"/>
    <mergeCell ref="M7:N7"/>
    <mergeCell ref="O7:O8"/>
    <mergeCell ref="P7:P8"/>
    <mergeCell ref="BN7:BO7"/>
    <mergeCell ref="BP7:BQ7"/>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67"/>
  <sheetViews>
    <sheetView showGridLines="0" zoomScale="70" zoomScaleNormal="70" workbookViewId="0">
      <selection activeCell="L13" sqref="L13:L16"/>
    </sheetView>
  </sheetViews>
  <sheetFormatPr baseColWidth="10" defaultColWidth="11.42578125" defaultRowHeight="14.25" x14ac:dyDescent="0.2"/>
  <cols>
    <col min="1" max="1" width="13.140625" style="571" customWidth="1"/>
    <col min="2" max="2" width="12.140625" style="571" customWidth="1"/>
    <col min="3" max="3" width="9.28515625" style="571" customWidth="1"/>
    <col min="4" max="4" width="19.42578125" style="571" customWidth="1"/>
    <col min="5" max="5" width="12.28515625" style="571" customWidth="1"/>
    <col min="6" max="6" width="14.42578125" style="571" customWidth="1"/>
    <col min="7" max="7" width="14.5703125" style="571" customWidth="1"/>
    <col min="8" max="8" width="2.28515625" style="571" customWidth="1"/>
    <col min="9" max="9" width="15.5703125" style="571" customWidth="1"/>
    <col min="10" max="10" width="11.7109375" style="571" customWidth="1"/>
    <col min="11" max="11" width="33.85546875" style="571" customWidth="1"/>
    <col min="12" max="12" width="33.28515625" style="571" customWidth="1"/>
    <col min="13" max="13" width="9.42578125" style="571" customWidth="1"/>
    <col min="14" max="14" width="11.140625" style="571" customWidth="1"/>
    <col min="15" max="15" width="37.85546875" style="572" customWidth="1"/>
    <col min="16" max="16" width="21.140625" style="571" bestFit="1" customWidth="1"/>
    <col min="17" max="17" width="30" style="571" customWidth="1"/>
    <col min="18" max="18" width="14.7109375" style="571" customWidth="1"/>
    <col min="19" max="19" width="28.7109375" style="571" customWidth="1"/>
    <col min="20" max="20" width="28.28515625" style="571" customWidth="1"/>
    <col min="21" max="21" width="90.7109375" style="571" customWidth="1"/>
    <col min="22" max="22" width="40.85546875" style="571" customWidth="1"/>
    <col min="23" max="23" width="31.5703125" style="571" customWidth="1"/>
    <col min="24" max="24" width="31.28515625" style="571" customWidth="1"/>
    <col min="25" max="25" width="30.7109375" style="571" customWidth="1"/>
    <col min="26" max="26" width="10.7109375" style="571" customWidth="1"/>
    <col min="27" max="27" width="34" style="571" bestFit="1" customWidth="1"/>
    <col min="28" max="28" width="11.28515625" style="571" customWidth="1"/>
    <col min="29" max="29" width="13.140625" style="571" customWidth="1"/>
    <col min="30" max="30" width="10.7109375" style="571" bestFit="1" customWidth="1"/>
    <col min="31" max="31" width="11.140625" style="571" customWidth="1"/>
    <col min="32" max="32" width="10.85546875" style="571" customWidth="1"/>
    <col min="33" max="33" width="9.42578125" style="571" customWidth="1"/>
    <col min="34" max="34" width="9.5703125" style="571" bestFit="1" customWidth="1"/>
    <col min="35" max="35" width="8.85546875" style="571" customWidth="1"/>
    <col min="36" max="36" width="10.140625" style="571" bestFit="1" customWidth="1"/>
    <col min="37" max="37" width="7.140625" style="571" customWidth="1"/>
    <col min="38" max="38" width="8" style="571" bestFit="1" customWidth="1"/>
    <col min="39" max="39" width="7.140625" style="571" customWidth="1"/>
    <col min="40" max="40" width="11" style="571" customWidth="1"/>
    <col min="41" max="41" width="10.85546875" style="571" customWidth="1"/>
    <col min="42" max="42" width="7.7109375" style="571" bestFit="1" customWidth="1"/>
    <col min="43" max="43" width="10.28515625" style="571" customWidth="1"/>
    <col min="44" max="44" width="8.28515625" style="571" customWidth="1"/>
    <col min="45" max="45" width="9.7109375" style="571" customWidth="1"/>
    <col min="46" max="57" width="8.7109375" style="571" customWidth="1"/>
    <col min="58" max="58" width="11.28515625" style="571" customWidth="1"/>
    <col min="59" max="59" width="8.7109375" style="571" customWidth="1"/>
    <col min="60" max="60" width="13.7109375" style="1569" customWidth="1"/>
    <col min="61" max="61" width="21.85546875" style="571" customWidth="1"/>
    <col min="62" max="62" width="21.140625" style="571" customWidth="1"/>
    <col min="63" max="63" width="14" style="571" customWidth="1"/>
    <col min="64" max="64" width="16.140625" style="571" customWidth="1"/>
    <col min="65" max="65" width="18.7109375" style="571" customWidth="1"/>
    <col min="66" max="66" width="12.28515625" style="571" customWidth="1"/>
    <col min="67" max="67" width="14.7109375" style="571" customWidth="1"/>
    <col min="68" max="68" width="14.7109375" style="571" bestFit="1" customWidth="1"/>
    <col min="69" max="69" width="17.7109375" style="571" customWidth="1"/>
    <col min="70" max="70" width="19.85546875" style="571" customWidth="1"/>
    <col min="71" max="83" width="14.85546875" style="571" customWidth="1"/>
    <col min="84" max="16384" width="11.42578125" style="571"/>
  </cols>
  <sheetData>
    <row r="1" spans="1:70" ht="53.25" customHeight="1" x14ac:dyDescent="0.25">
      <c r="A1" s="3124" t="s">
        <v>1198</v>
      </c>
      <c r="B1" s="3125"/>
      <c r="C1" s="3125"/>
      <c r="D1" s="3125"/>
      <c r="E1" s="3125"/>
      <c r="F1" s="3125"/>
      <c r="G1" s="3125"/>
      <c r="H1" s="3125"/>
      <c r="I1" s="3125"/>
      <c r="J1" s="3125"/>
      <c r="K1" s="3125"/>
      <c r="L1" s="3125"/>
      <c r="M1" s="3125"/>
      <c r="N1" s="3125"/>
      <c r="O1" s="3125"/>
      <c r="P1" s="3125"/>
      <c r="Q1" s="3125"/>
      <c r="R1" s="3125"/>
      <c r="S1" s="3125"/>
      <c r="T1" s="3125"/>
      <c r="U1" s="3125"/>
      <c r="V1" s="3125"/>
      <c r="W1" s="3125"/>
      <c r="X1" s="3125"/>
      <c r="Y1" s="3125"/>
      <c r="Z1" s="3125"/>
      <c r="AA1" s="3125"/>
      <c r="AB1" s="3125"/>
      <c r="AC1" s="3125"/>
      <c r="AD1" s="3125"/>
      <c r="AE1" s="3125"/>
      <c r="AF1" s="3125"/>
      <c r="AG1" s="3125"/>
      <c r="AH1" s="3125"/>
      <c r="AI1" s="3125"/>
      <c r="AJ1" s="3125"/>
      <c r="AK1" s="3125"/>
      <c r="AL1" s="3125"/>
      <c r="AM1" s="3125"/>
      <c r="AN1" s="3125"/>
      <c r="AO1" s="3125"/>
      <c r="AP1" s="3125"/>
      <c r="AQ1" s="3125"/>
      <c r="AR1" s="3125"/>
      <c r="AS1" s="3125"/>
      <c r="AT1" s="3125"/>
      <c r="AU1" s="3125"/>
      <c r="AV1" s="3125"/>
      <c r="AW1" s="3125"/>
      <c r="AX1" s="3125"/>
      <c r="AY1" s="3125"/>
      <c r="AZ1" s="3125"/>
      <c r="BA1" s="3125"/>
      <c r="BB1" s="3125"/>
      <c r="BC1" s="3125"/>
      <c r="BD1" s="3125"/>
      <c r="BE1" s="3125"/>
      <c r="BF1" s="3125"/>
      <c r="BG1" s="3125"/>
      <c r="BH1" s="3125"/>
      <c r="BI1" s="3125"/>
      <c r="BJ1" s="3125"/>
      <c r="BK1" s="3125"/>
      <c r="BL1" s="3125"/>
      <c r="BM1" s="3125"/>
      <c r="BN1" s="3125"/>
      <c r="BO1" s="3125"/>
      <c r="BP1" s="3126"/>
      <c r="BQ1" s="923" t="s">
        <v>1</v>
      </c>
      <c r="BR1" s="923" t="s">
        <v>2</v>
      </c>
    </row>
    <row r="2" spans="1:70" ht="15" x14ac:dyDescent="0.25">
      <c r="A2" s="3127" t="s">
        <v>8</v>
      </c>
      <c r="B2" s="3128"/>
      <c r="C2" s="3128"/>
      <c r="D2" s="3128"/>
      <c r="E2" s="3128"/>
      <c r="F2" s="3128"/>
      <c r="G2" s="3128"/>
      <c r="H2" s="3128"/>
      <c r="I2" s="3128"/>
      <c r="J2" s="3128"/>
      <c r="K2" s="3128"/>
      <c r="L2" s="3128"/>
      <c r="M2" s="3128"/>
      <c r="N2" s="3128"/>
      <c r="O2" s="3128"/>
      <c r="P2" s="3128"/>
      <c r="Q2" s="3128"/>
      <c r="R2" s="3128"/>
      <c r="S2" s="3128"/>
      <c r="T2" s="3128"/>
      <c r="U2" s="3128"/>
      <c r="V2" s="3128"/>
      <c r="W2" s="3128"/>
      <c r="X2" s="3128"/>
      <c r="Y2" s="3128"/>
      <c r="Z2" s="3128"/>
      <c r="AA2" s="3128"/>
      <c r="AB2" s="3128"/>
      <c r="AC2" s="3128"/>
      <c r="AD2" s="3128"/>
      <c r="AE2" s="3128"/>
      <c r="AF2" s="3128"/>
      <c r="AG2" s="3128"/>
      <c r="AH2" s="3128"/>
      <c r="AI2" s="3128"/>
      <c r="AJ2" s="3128"/>
      <c r="AK2" s="3128"/>
      <c r="AL2" s="3128"/>
      <c r="AM2" s="3128"/>
      <c r="AN2" s="3128"/>
      <c r="AO2" s="3128"/>
      <c r="AP2" s="3128"/>
      <c r="AQ2" s="3128"/>
      <c r="AR2" s="3128"/>
      <c r="AS2" s="3128"/>
      <c r="AT2" s="3128"/>
      <c r="AU2" s="3128"/>
      <c r="AV2" s="3128"/>
      <c r="AW2" s="3128"/>
      <c r="AX2" s="3128"/>
      <c r="AY2" s="3128"/>
      <c r="AZ2" s="3128"/>
      <c r="BA2" s="3128"/>
      <c r="BB2" s="3128"/>
      <c r="BC2" s="3128"/>
      <c r="BD2" s="3128"/>
      <c r="BE2" s="3128"/>
      <c r="BF2" s="3128"/>
      <c r="BG2" s="3128"/>
      <c r="BH2" s="3128"/>
      <c r="BI2" s="3128"/>
      <c r="BJ2" s="3128"/>
      <c r="BK2" s="3128"/>
      <c r="BL2" s="3128"/>
      <c r="BM2" s="3128"/>
      <c r="BN2" s="3128"/>
      <c r="BO2" s="3128"/>
      <c r="BP2" s="3129"/>
      <c r="BQ2" s="1388" t="s">
        <v>3</v>
      </c>
      <c r="BR2" s="926">
        <v>6</v>
      </c>
    </row>
    <row r="3" spans="1:70" ht="15" x14ac:dyDescent="0.25">
      <c r="A3" s="3130"/>
      <c r="B3" s="3131"/>
      <c r="C3" s="3131"/>
      <c r="D3" s="3131"/>
      <c r="E3" s="3131"/>
      <c r="F3" s="3131"/>
      <c r="G3" s="3131"/>
      <c r="H3" s="3131"/>
      <c r="I3" s="3131"/>
      <c r="J3" s="3131"/>
      <c r="K3" s="3131"/>
      <c r="L3" s="3131"/>
      <c r="M3" s="3131"/>
      <c r="N3" s="3131"/>
      <c r="O3" s="3131"/>
      <c r="P3" s="3131"/>
      <c r="Q3" s="3131"/>
      <c r="R3" s="3131"/>
      <c r="S3" s="3131"/>
      <c r="T3" s="3131"/>
      <c r="U3" s="3131"/>
      <c r="V3" s="3131"/>
      <c r="W3" s="3131"/>
      <c r="X3" s="3131"/>
      <c r="Y3" s="3131"/>
      <c r="Z3" s="3131"/>
      <c r="AA3" s="3131"/>
      <c r="AB3" s="3131"/>
      <c r="AC3" s="3131"/>
      <c r="AD3" s="3131"/>
      <c r="AE3" s="3131"/>
      <c r="AF3" s="3131"/>
      <c r="AG3" s="3131"/>
      <c r="AH3" s="3131"/>
      <c r="AI3" s="3131"/>
      <c r="AJ3" s="3131"/>
      <c r="AK3" s="3131"/>
      <c r="AL3" s="3131"/>
      <c r="AM3" s="3131"/>
      <c r="AN3" s="3131"/>
      <c r="AO3" s="3131"/>
      <c r="AP3" s="3131"/>
      <c r="AQ3" s="3131"/>
      <c r="AR3" s="3131"/>
      <c r="AS3" s="3131"/>
      <c r="AT3" s="3131"/>
      <c r="AU3" s="3131"/>
      <c r="AV3" s="3131"/>
      <c r="AW3" s="3131"/>
      <c r="AX3" s="3131"/>
      <c r="AY3" s="3131"/>
      <c r="AZ3" s="3131"/>
      <c r="BA3" s="3131"/>
      <c r="BB3" s="3131"/>
      <c r="BC3" s="3131"/>
      <c r="BD3" s="3131"/>
      <c r="BE3" s="3131"/>
      <c r="BF3" s="3131"/>
      <c r="BG3" s="3131"/>
      <c r="BH3" s="3131"/>
      <c r="BI3" s="3131"/>
      <c r="BJ3" s="3131"/>
      <c r="BK3" s="3131"/>
      <c r="BL3" s="3131"/>
      <c r="BM3" s="3131"/>
      <c r="BN3" s="3131"/>
      <c r="BO3" s="3131"/>
      <c r="BP3" s="3132"/>
      <c r="BQ3" s="1389" t="s">
        <v>4</v>
      </c>
      <c r="BR3" s="927" t="s">
        <v>5</v>
      </c>
    </row>
    <row r="4" spans="1:70" s="1216" customFormat="1" ht="15" x14ac:dyDescent="0.2">
      <c r="A4" s="3130"/>
      <c r="B4" s="3131"/>
      <c r="C4" s="3131"/>
      <c r="D4" s="3131"/>
      <c r="E4" s="3131"/>
      <c r="F4" s="3131"/>
      <c r="G4" s="3131"/>
      <c r="H4" s="3131"/>
      <c r="I4" s="3131"/>
      <c r="J4" s="3131"/>
      <c r="K4" s="3131"/>
      <c r="L4" s="3131"/>
      <c r="M4" s="3131"/>
      <c r="N4" s="3131"/>
      <c r="O4" s="3131"/>
      <c r="P4" s="3131"/>
      <c r="Q4" s="3131"/>
      <c r="R4" s="3131"/>
      <c r="S4" s="3131"/>
      <c r="T4" s="3131"/>
      <c r="U4" s="3131"/>
      <c r="V4" s="3131"/>
      <c r="W4" s="3131"/>
      <c r="X4" s="3131"/>
      <c r="Y4" s="3131"/>
      <c r="Z4" s="3131"/>
      <c r="AA4" s="3131"/>
      <c r="AB4" s="3131"/>
      <c r="AC4" s="3131"/>
      <c r="AD4" s="3131"/>
      <c r="AE4" s="3131"/>
      <c r="AF4" s="3131"/>
      <c r="AG4" s="3131"/>
      <c r="AH4" s="3131"/>
      <c r="AI4" s="3131"/>
      <c r="AJ4" s="3131"/>
      <c r="AK4" s="3131"/>
      <c r="AL4" s="3131"/>
      <c r="AM4" s="3131"/>
      <c r="AN4" s="3131"/>
      <c r="AO4" s="3131"/>
      <c r="AP4" s="3131"/>
      <c r="AQ4" s="3131"/>
      <c r="AR4" s="3131"/>
      <c r="AS4" s="3131"/>
      <c r="AT4" s="3131"/>
      <c r="AU4" s="3131"/>
      <c r="AV4" s="3131"/>
      <c r="AW4" s="3131"/>
      <c r="AX4" s="3131"/>
      <c r="AY4" s="3131"/>
      <c r="AZ4" s="3131"/>
      <c r="BA4" s="3131"/>
      <c r="BB4" s="3131"/>
      <c r="BC4" s="3131"/>
      <c r="BD4" s="3131"/>
      <c r="BE4" s="3131"/>
      <c r="BF4" s="3131"/>
      <c r="BG4" s="3131"/>
      <c r="BH4" s="3131"/>
      <c r="BI4" s="3131"/>
      <c r="BJ4" s="3131"/>
      <c r="BK4" s="3131"/>
      <c r="BL4" s="3131"/>
      <c r="BM4" s="3131"/>
      <c r="BN4" s="3131"/>
      <c r="BO4" s="3131"/>
      <c r="BP4" s="3132"/>
      <c r="BQ4" s="1390" t="s">
        <v>6</v>
      </c>
      <c r="BR4" s="1215" t="s">
        <v>7</v>
      </c>
    </row>
    <row r="5" spans="1:70" ht="15" x14ac:dyDescent="0.2">
      <c r="A5" s="3130"/>
      <c r="B5" s="3131"/>
      <c r="C5" s="3131"/>
      <c r="D5" s="3131"/>
      <c r="E5" s="3131"/>
      <c r="F5" s="3131"/>
      <c r="G5" s="3131"/>
      <c r="H5" s="3131"/>
      <c r="I5" s="3131"/>
      <c r="J5" s="3131"/>
      <c r="K5" s="3131"/>
      <c r="L5" s="3131"/>
      <c r="M5" s="3131"/>
      <c r="N5" s="3131"/>
      <c r="O5" s="3131"/>
      <c r="P5" s="3131"/>
      <c r="Q5" s="3131"/>
      <c r="R5" s="3131"/>
      <c r="S5" s="3131"/>
      <c r="T5" s="3131"/>
      <c r="U5" s="3131"/>
      <c r="V5" s="3131"/>
      <c r="W5" s="3131"/>
      <c r="X5" s="3131"/>
      <c r="Y5" s="3131"/>
      <c r="Z5" s="3131"/>
      <c r="AA5" s="3131"/>
      <c r="AB5" s="3131"/>
      <c r="AC5" s="3131"/>
      <c r="AD5" s="3131"/>
      <c r="AE5" s="3131"/>
      <c r="AF5" s="3131"/>
      <c r="AG5" s="3131"/>
      <c r="AH5" s="3131"/>
      <c r="AI5" s="3131"/>
      <c r="AJ5" s="3131"/>
      <c r="AK5" s="3131"/>
      <c r="AL5" s="3131"/>
      <c r="AM5" s="3131"/>
      <c r="AN5" s="3131"/>
      <c r="AO5" s="3131"/>
      <c r="AP5" s="3131"/>
      <c r="AQ5" s="3131"/>
      <c r="AR5" s="3131"/>
      <c r="AS5" s="3131"/>
      <c r="AT5" s="3131"/>
      <c r="AU5" s="3131"/>
      <c r="AV5" s="3131"/>
      <c r="AW5" s="3131"/>
      <c r="AX5" s="3131"/>
      <c r="AY5" s="3131"/>
      <c r="AZ5" s="3131"/>
      <c r="BA5" s="3131"/>
      <c r="BB5" s="3131"/>
      <c r="BC5" s="3131"/>
      <c r="BD5" s="3131"/>
      <c r="BE5" s="3131"/>
      <c r="BF5" s="3131"/>
      <c r="BG5" s="3131"/>
      <c r="BH5" s="3131"/>
      <c r="BI5" s="3131"/>
      <c r="BJ5" s="3131"/>
      <c r="BK5" s="3131"/>
      <c r="BL5" s="3131"/>
      <c r="BM5" s="3131"/>
      <c r="BN5" s="3131"/>
      <c r="BO5" s="3131"/>
      <c r="BP5" s="3132"/>
      <c r="BQ5" s="1390"/>
      <c r="BR5" s="101"/>
    </row>
    <row r="6" spans="1:70" ht="15" x14ac:dyDescent="0.2">
      <c r="A6" s="3133"/>
      <c r="B6" s="3134"/>
      <c r="C6" s="3134"/>
      <c r="D6" s="3134"/>
      <c r="E6" s="3134"/>
      <c r="F6" s="3134"/>
      <c r="G6" s="3134"/>
      <c r="H6" s="3134"/>
      <c r="I6" s="3134"/>
      <c r="J6" s="3134"/>
      <c r="K6" s="3134"/>
      <c r="L6" s="3134"/>
      <c r="M6" s="3134"/>
      <c r="N6" s="3134"/>
      <c r="O6" s="3134"/>
      <c r="P6" s="3134"/>
      <c r="Q6" s="3134"/>
      <c r="R6" s="3134"/>
      <c r="S6" s="3134"/>
      <c r="T6" s="3134"/>
      <c r="U6" s="3134"/>
      <c r="V6" s="3134"/>
      <c r="W6" s="3134"/>
      <c r="X6" s="3134"/>
      <c r="Y6" s="3134"/>
      <c r="Z6" s="3134"/>
      <c r="AA6" s="3134"/>
      <c r="AB6" s="3134"/>
      <c r="AC6" s="3134"/>
      <c r="AD6" s="3134"/>
      <c r="AE6" s="3134"/>
      <c r="AF6" s="3134"/>
      <c r="AG6" s="3134"/>
      <c r="AH6" s="3134"/>
      <c r="AI6" s="3134"/>
      <c r="AJ6" s="3134"/>
      <c r="AK6" s="3134"/>
      <c r="AL6" s="3134"/>
      <c r="AM6" s="3134"/>
      <c r="AN6" s="3134"/>
      <c r="AO6" s="3134"/>
      <c r="AP6" s="3134"/>
      <c r="AQ6" s="3134"/>
      <c r="AR6" s="3134"/>
      <c r="AS6" s="3134"/>
      <c r="AT6" s="3134"/>
      <c r="AU6" s="3134"/>
      <c r="AV6" s="3134"/>
      <c r="AW6" s="3134"/>
      <c r="AX6" s="3134"/>
      <c r="AY6" s="3134"/>
      <c r="AZ6" s="3134"/>
      <c r="BA6" s="3134"/>
      <c r="BB6" s="3134"/>
      <c r="BC6" s="3134"/>
      <c r="BD6" s="3134"/>
      <c r="BE6" s="3134"/>
      <c r="BF6" s="3134"/>
      <c r="BG6" s="3134"/>
      <c r="BH6" s="3134"/>
      <c r="BI6" s="3134"/>
      <c r="BJ6" s="3134"/>
      <c r="BK6" s="3134"/>
      <c r="BL6" s="3134"/>
      <c r="BM6" s="3134"/>
      <c r="BN6" s="3134"/>
      <c r="BO6" s="3134"/>
      <c r="BP6" s="3135"/>
      <c r="BQ6" s="1391"/>
      <c r="BR6" s="1390"/>
    </row>
    <row r="7" spans="1:70" s="1220" customFormat="1" ht="31.5" customHeight="1" x14ac:dyDescent="0.2">
      <c r="A7" s="3136" t="s">
        <v>10</v>
      </c>
      <c r="B7" s="3138" t="s">
        <v>11</v>
      </c>
      <c r="C7" s="3139"/>
      <c r="D7" s="3136" t="s">
        <v>10</v>
      </c>
      <c r="E7" s="3138" t="s">
        <v>12</v>
      </c>
      <c r="F7" s="3139"/>
      <c r="G7" s="3138" t="s">
        <v>10</v>
      </c>
      <c r="H7" s="3139"/>
      <c r="I7" s="3138" t="s">
        <v>10</v>
      </c>
      <c r="J7" s="3139"/>
      <c r="K7" s="3136" t="s">
        <v>14</v>
      </c>
      <c r="L7" s="3136" t="s">
        <v>15</v>
      </c>
      <c r="M7" s="3142" t="s">
        <v>16</v>
      </c>
      <c r="N7" s="3144"/>
      <c r="O7" s="3136" t="s">
        <v>17</v>
      </c>
      <c r="P7" s="3148" t="s">
        <v>18</v>
      </c>
      <c r="Q7" s="3136" t="s">
        <v>9</v>
      </c>
      <c r="R7" s="3136" t="s">
        <v>19</v>
      </c>
      <c r="S7" s="3136" t="s">
        <v>20</v>
      </c>
      <c r="T7" s="3136" t="s">
        <v>21</v>
      </c>
      <c r="U7" s="3136" t="s">
        <v>22</v>
      </c>
      <c r="V7" s="3136" t="s">
        <v>23</v>
      </c>
      <c r="W7" s="3142" t="s">
        <v>20</v>
      </c>
      <c r="X7" s="3143"/>
      <c r="Y7" s="3144"/>
      <c r="Z7" s="3148" t="s">
        <v>10</v>
      </c>
      <c r="AA7" s="3136" t="s">
        <v>24</v>
      </c>
      <c r="AB7" s="1392" t="s">
        <v>25</v>
      </c>
      <c r="AC7" s="1393"/>
      <c r="AD7" s="1393"/>
      <c r="AE7" s="1394"/>
      <c r="AF7" s="3159" t="s">
        <v>26</v>
      </c>
      <c r="AG7" s="3160"/>
      <c r="AH7" s="3160"/>
      <c r="AI7" s="3160"/>
      <c r="AJ7" s="3160"/>
      <c r="AK7" s="3160"/>
      <c r="AL7" s="3160"/>
      <c r="AM7" s="1395"/>
      <c r="AN7" s="1396" t="s">
        <v>27</v>
      </c>
      <c r="AO7" s="1397"/>
      <c r="AP7" s="1397"/>
      <c r="AQ7" s="1397"/>
      <c r="AR7" s="1397"/>
      <c r="AS7" s="1397"/>
      <c r="AT7" s="1397"/>
      <c r="AU7" s="1397"/>
      <c r="AV7" s="1397"/>
      <c r="AW7" s="1397"/>
      <c r="AX7" s="1397"/>
      <c r="AY7" s="1398"/>
      <c r="AZ7" s="3161" t="s">
        <v>28</v>
      </c>
      <c r="BA7" s="3162"/>
      <c r="BB7" s="3162"/>
      <c r="BC7" s="3162"/>
      <c r="BD7" s="3162"/>
      <c r="BE7" s="3163"/>
      <c r="BF7" s="3164" t="s">
        <v>29</v>
      </c>
      <c r="BG7" s="3165"/>
      <c r="BH7" s="3168" t="s">
        <v>30</v>
      </c>
      <c r="BI7" s="3169"/>
      <c r="BJ7" s="3169"/>
      <c r="BK7" s="3169"/>
      <c r="BL7" s="3169"/>
      <c r="BM7" s="3170"/>
      <c r="BN7" s="3171" t="s">
        <v>31</v>
      </c>
      <c r="BO7" s="3172"/>
      <c r="BP7" s="3171" t="s">
        <v>32</v>
      </c>
      <c r="BQ7" s="3175"/>
      <c r="BR7" s="3150" t="s">
        <v>33</v>
      </c>
    </row>
    <row r="8" spans="1:70" s="1220" customFormat="1" ht="112.5" customHeight="1" x14ac:dyDescent="0.2">
      <c r="A8" s="3136"/>
      <c r="B8" s="3138"/>
      <c r="C8" s="3139"/>
      <c r="D8" s="3136"/>
      <c r="E8" s="3138"/>
      <c r="F8" s="3139"/>
      <c r="G8" s="3138"/>
      <c r="H8" s="3139"/>
      <c r="I8" s="3138"/>
      <c r="J8" s="3139"/>
      <c r="K8" s="3136"/>
      <c r="L8" s="3136"/>
      <c r="M8" s="3145"/>
      <c r="N8" s="3147"/>
      <c r="O8" s="3136"/>
      <c r="P8" s="3148"/>
      <c r="Q8" s="3136"/>
      <c r="R8" s="3136"/>
      <c r="S8" s="3136"/>
      <c r="T8" s="3136"/>
      <c r="U8" s="3136"/>
      <c r="V8" s="3136"/>
      <c r="W8" s="3145"/>
      <c r="X8" s="3146"/>
      <c r="Y8" s="3147"/>
      <c r="Z8" s="3148"/>
      <c r="AA8" s="3136"/>
      <c r="AB8" s="1399" t="s">
        <v>34</v>
      </c>
      <c r="AC8" s="1400"/>
      <c r="AD8" s="1401" t="s">
        <v>35</v>
      </c>
      <c r="AE8" s="1401"/>
      <c r="AF8" s="1402" t="s">
        <v>36</v>
      </c>
      <c r="AG8" s="1402"/>
      <c r="AH8" s="1402" t="s">
        <v>37</v>
      </c>
      <c r="AI8" s="1402"/>
      <c r="AJ8" s="1402" t="s">
        <v>1199</v>
      </c>
      <c r="AK8" s="1402"/>
      <c r="AL8" s="1402" t="s">
        <v>39</v>
      </c>
      <c r="AM8" s="1402"/>
      <c r="AN8" s="1402" t="s">
        <v>40</v>
      </c>
      <c r="AO8" s="1402"/>
      <c r="AP8" s="1403" t="s">
        <v>41</v>
      </c>
      <c r="AQ8" s="1403"/>
      <c r="AR8" s="1403" t="s">
        <v>42</v>
      </c>
      <c r="AS8" s="1403"/>
      <c r="AT8" s="1402" t="s">
        <v>43</v>
      </c>
      <c r="AU8" s="1402"/>
      <c r="AV8" s="1402" t="s">
        <v>44</v>
      </c>
      <c r="AW8" s="1402"/>
      <c r="AX8" s="1402" t="s">
        <v>45</v>
      </c>
      <c r="AY8" s="1402"/>
      <c r="AZ8" s="1402" t="s">
        <v>46</v>
      </c>
      <c r="BA8" s="1402"/>
      <c r="BB8" s="1402" t="s">
        <v>47</v>
      </c>
      <c r="BC8" s="1402"/>
      <c r="BD8" s="1402" t="s">
        <v>48</v>
      </c>
      <c r="BE8" s="1402"/>
      <c r="BF8" s="3166"/>
      <c r="BG8" s="3167"/>
      <c r="BH8" s="3153" t="s">
        <v>49</v>
      </c>
      <c r="BI8" s="3153" t="s">
        <v>50</v>
      </c>
      <c r="BJ8" s="3155" t="s">
        <v>51</v>
      </c>
      <c r="BK8" s="3157" t="s">
        <v>52</v>
      </c>
      <c r="BL8" s="3155" t="s">
        <v>53</v>
      </c>
      <c r="BM8" s="3155" t="s">
        <v>54</v>
      </c>
      <c r="BN8" s="3173"/>
      <c r="BO8" s="3174"/>
      <c r="BP8" s="3173"/>
      <c r="BQ8" s="3174"/>
      <c r="BR8" s="3151"/>
    </row>
    <row r="9" spans="1:70" s="1221" customFormat="1" ht="38.25" customHeight="1" x14ac:dyDescent="0.2">
      <c r="A9" s="3137"/>
      <c r="B9" s="3140"/>
      <c r="C9" s="3141"/>
      <c r="D9" s="3137"/>
      <c r="E9" s="3140"/>
      <c r="F9" s="3141"/>
      <c r="G9" s="3140"/>
      <c r="H9" s="3141"/>
      <c r="I9" s="3140"/>
      <c r="J9" s="3141"/>
      <c r="K9" s="3137"/>
      <c r="L9" s="3137"/>
      <c r="M9" s="118" t="s">
        <v>55</v>
      </c>
      <c r="N9" s="118" t="s">
        <v>56</v>
      </c>
      <c r="O9" s="3137"/>
      <c r="P9" s="3149"/>
      <c r="Q9" s="3137"/>
      <c r="R9" s="3137"/>
      <c r="S9" s="3137"/>
      <c r="T9" s="3137"/>
      <c r="U9" s="3137"/>
      <c r="V9" s="3137"/>
      <c r="W9" s="1404" t="s">
        <v>57</v>
      </c>
      <c r="X9" s="1404" t="s">
        <v>58</v>
      </c>
      <c r="Y9" s="1404" t="s">
        <v>59</v>
      </c>
      <c r="Z9" s="3149"/>
      <c r="AA9" s="3137"/>
      <c r="AB9" s="1404" t="s">
        <v>55</v>
      </c>
      <c r="AC9" s="1404" t="s">
        <v>56</v>
      </c>
      <c r="AD9" s="1404" t="s">
        <v>55</v>
      </c>
      <c r="AE9" s="1404" t="s">
        <v>56</v>
      </c>
      <c r="AF9" s="1404" t="s">
        <v>55</v>
      </c>
      <c r="AG9" s="1404" t="s">
        <v>56</v>
      </c>
      <c r="AH9" s="1404" t="s">
        <v>55</v>
      </c>
      <c r="AI9" s="1404" t="s">
        <v>56</v>
      </c>
      <c r="AJ9" s="1404" t="s">
        <v>55</v>
      </c>
      <c r="AK9" s="1404" t="s">
        <v>56</v>
      </c>
      <c r="AL9" s="1404" t="s">
        <v>55</v>
      </c>
      <c r="AM9" s="1404" t="s">
        <v>56</v>
      </c>
      <c r="AN9" s="1404" t="s">
        <v>55</v>
      </c>
      <c r="AO9" s="1404" t="s">
        <v>56</v>
      </c>
      <c r="AP9" s="1404" t="s">
        <v>55</v>
      </c>
      <c r="AQ9" s="1404" t="s">
        <v>56</v>
      </c>
      <c r="AR9" s="1404" t="s">
        <v>55</v>
      </c>
      <c r="AS9" s="1404" t="s">
        <v>56</v>
      </c>
      <c r="AT9" s="1404" t="s">
        <v>55</v>
      </c>
      <c r="AU9" s="1404" t="s">
        <v>56</v>
      </c>
      <c r="AV9" s="1404" t="s">
        <v>55</v>
      </c>
      <c r="AW9" s="1404" t="s">
        <v>56</v>
      </c>
      <c r="AX9" s="1404" t="s">
        <v>55</v>
      </c>
      <c r="AY9" s="1404" t="s">
        <v>56</v>
      </c>
      <c r="AZ9" s="1404" t="s">
        <v>55</v>
      </c>
      <c r="BA9" s="1404" t="s">
        <v>56</v>
      </c>
      <c r="BB9" s="1404" t="s">
        <v>55</v>
      </c>
      <c r="BC9" s="1404" t="s">
        <v>56</v>
      </c>
      <c r="BD9" s="1404" t="s">
        <v>55</v>
      </c>
      <c r="BE9" s="1404" t="s">
        <v>56</v>
      </c>
      <c r="BF9" s="1404" t="s">
        <v>55</v>
      </c>
      <c r="BG9" s="1404" t="s">
        <v>56</v>
      </c>
      <c r="BH9" s="3154"/>
      <c r="BI9" s="3154"/>
      <c r="BJ9" s="3156"/>
      <c r="BK9" s="3158"/>
      <c r="BL9" s="3156"/>
      <c r="BM9" s="3156"/>
      <c r="BN9" s="393" t="s">
        <v>55</v>
      </c>
      <c r="BO9" s="393" t="s">
        <v>56</v>
      </c>
      <c r="BP9" s="393" t="s">
        <v>55</v>
      </c>
      <c r="BQ9" s="393" t="s">
        <v>56</v>
      </c>
      <c r="BR9" s="3152"/>
    </row>
    <row r="10" spans="1:70" ht="15" x14ac:dyDescent="0.2">
      <c r="A10" s="1405">
        <v>1</v>
      </c>
      <c r="B10" s="241" t="s">
        <v>132</v>
      </c>
      <c r="C10" s="1231"/>
      <c r="D10" s="1231"/>
      <c r="E10" s="1231"/>
      <c r="F10" s="1232"/>
      <c r="G10" s="1232"/>
      <c r="H10" s="1232"/>
      <c r="I10" s="1232"/>
      <c r="J10" s="1232"/>
      <c r="K10" s="1232"/>
      <c r="L10" s="1232"/>
      <c r="M10" s="1232"/>
      <c r="N10" s="1232"/>
      <c r="O10" s="1406"/>
      <c r="P10" s="1232"/>
      <c r="Q10" s="1232"/>
      <c r="R10" s="1232"/>
      <c r="S10" s="1232"/>
      <c r="T10" s="1232"/>
      <c r="U10" s="1232"/>
      <c r="V10" s="1232"/>
      <c r="W10" s="1232"/>
      <c r="X10" s="1232"/>
      <c r="Y10" s="1232"/>
      <c r="Z10" s="1232"/>
      <c r="AA10" s="1232"/>
      <c r="AB10" s="1232"/>
      <c r="AC10" s="1232"/>
      <c r="AD10" s="1232"/>
      <c r="AE10" s="1232"/>
      <c r="AF10" s="1232"/>
      <c r="AG10" s="1232"/>
      <c r="AH10" s="1232"/>
      <c r="AI10" s="1232"/>
      <c r="AJ10" s="1232"/>
      <c r="AK10" s="1232"/>
      <c r="AL10" s="1232"/>
      <c r="AM10" s="1232"/>
      <c r="AN10" s="1232"/>
      <c r="AO10" s="1232"/>
      <c r="AP10" s="1232"/>
      <c r="AQ10" s="1232"/>
      <c r="AR10" s="1232"/>
      <c r="AS10" s="1232"/>
      <c r="AT10" s="1232"/>
      <c r="AU10" s="1232"/>
      <c r="AV10" s="1232"/>
      <c r="AW10" s="1232"/>
      <c r="AX10" s="1232"/>
      <c r="AY10" s="1232"/>
      <c r="AZ10" s="1232"/>
      <c r="BA10" s="1232"/>
      <c r="BB10" s="1232"/>
      <c r="BC10" s="1232"/>
      <c r="BD10" s="1232"/>
      <c r="BE10" s="1232"/>
      <c r="BF10" s="1232"/>
      <c r="BG10" s="1232"/>
      <c r="BH10" s="1232"/>
      <c r="BI10" s="1232"/>
      <c r="BJ10" s="1232"/>
      <c r="BK10" s="1232"/>
      <c r="BL10" s="1232"/>
      <c r="BM10" s="1232"/>
      <c r="BN10" s="1232"/>
      <c r="BO10" s="1232"/>
      <c r="BP10" s="1232"/>
      <c r="BQ10" s="1232"/>
      <c r="BR10" s="1233"/>
    </row>
    <row r="11" spans="1:70" ht="15" x14ac:dyDescent="0.2">
      <c r="A11" s="1407"/>
      <c r="B11" s="1408"/>
      <c r="C11" s="1409"/>
      <c r="D11" s="1004">
        <v>1</v>
      </c>
      <c r="E11" s="1410" t="s">
        <v>1200</v>
      </c>
      <c r="F11" s="1060"/>
      <c r="G11" s="1060"/>
      <c r="H11" s="1060"/>
      <c r="I11" s="1060"/>
      <c r="J11" s="1060"/>
      <c r="K11" s="1060"/>
      <c r="L11" s="1060"/>
      <c r="M11" s="1060"/>
      <c r="N11" s="1060"/>
      <c r="O11" s="1004"/>
      <c r="P11" s="1060"/>
      <c r="Q11" s="1060"/>
      <c r="R11" s="1060"/>
      <c r="S11" s="1060"/>
      <c r="T11" s="1060"/>
      <c r="U11" s="1060"/>
      <c r="V11" s="1060"/>
      <c r="W11" s="1060"/>
      <c r="X11" s="1060"/>
      <c r="Y11" s="1060"/>
      <c r="Z11" s="1060"/>
      <c r="AA11" s="1060"/>
      <c r="AB11" s="1060"/>
      <c r="AC11" s="1060"/>
      <c r="AD11" s="1060"/>
      <c r="AE11" s="1060"/>
      <c r="AF11" s="1060"/>
      <c r="AG11" s="1060"/>
      <c r="AH11" s="1060"/>
      <c r="AI11" s="1060"/>
      <c r="AJ11" s="1060"/>
      <c r="AK11" s="1060"/>
      <c r="AL11" s="1060"/>
      <c r="AM11" s="1060"/>
      <c r="AN11" s="1060"/>
      <c r="AO11" s="1060"/>
      <c r="AP11" s="1060"/>
      <c r="AQ11" s="1060"/>
      <c r="AR11" s="1060"/>
      <c r="AS11" s="1060"/>
      <c r="AT11" s="1060"/>
      <c r="AU11" s="1060"/>
      <c r="AV11" s="1060"/>
      <c r="AW11" s="1060"/>
      <c r="AX11" s="1060"/>
      <c r="AY11" s="1060"/>
      <c r="AZ11" s="1060"/>
      <c r="BA11" s="1060"/>
      <c r="BB11" s="1060"/>
      <c r="BC11" s="1060"/>
      <c r="BD11" s="1060"/>
      <c r="BE11" s="1060"/>
      <c r="BF11" s="1060"/>
      <c r="BG11" s="1060"/>
      <c r="BH11" s="1060"/>
      <c r="BI11" s="1060"/>
      <c r="BJ11" s="1060"/>
      <c r="BK11" s="1060"/>
      <c r="BL11" s="1060"/>
      <c r="BM11" s="1060"/>
      <c r="BN11" s="1060"/>
      <c r="BO11" s="1060"/>
      <c r="BP11" s="1060"/>
      <c r="BQ11" s="1060"/>
      <c r="BR11" s="1060"/>
    </row>
    <row r="12" spans="1:70" ht="15" x14ac:dyDescent="0.2">
      <c r="A12" s="1411"/>
      <c r="B12" s="1412"/>
      <c r="C12" s="1413"/>
      <c r="D12" s="1407"/>
      <c r="E12" s="1408"/>
      <c r="F12" s="1409"/>
      <c r="G12" s="1041">
        <v>2</v>
      </c>
      <c r="H12" s="209" t="s">
        <v>1201</v>
      </c>
      <c r="I12" s="1414"/>
      <c r="J12" s="1414"/>
      <c r="K12" s="1414"/>
      <c r="L12" s="1414"/>
      <c r="M12" s="1414"/>
      <c r="N12" s="1414"/>
      <c r="O12" s="1041"/>
      <c r="P12" s="1414"/>
      <c r="Q12" s="1414"/>
      <c r="R12" s="1414"/>
      <c r="S12" s="1414"/>
      <c r="T12" s="1414"/>
      <c r="U12" s="1414"/>
      <c r="V12" s="1414"/>
      <c r="W12" s="1414"/>
      <c r="X12" s="1414"/>
      <c r="Y12" s="1414"/>
      <c r="Z12" s="1414"/>
      <c r="AA12" s="1414"/>
      <c r="AB12" s="1414"/>
      <c r="AC12" s="1414"/>
      <c r="AD12" s="1414"/>
      <c r="AE12" s="1414"/>
      <c r="AF12" s="1414"/>
      <c r="AG12" s="1414"/>
      <c r="AH12" s="1414"/>
      <c r="AI12" s="1414"/>
      <c r="AJ12" s="1414"/>
      <c r="AK12" s="1414"/>
      <c r="AL12" s="1414"/>
      <c r="AM12" s="1414"/>
      <c r="AN12" s="1414"/>
      <c r="AO12" s="1414"/>
      <c r="AP12" s="1414"/>
      <c r="AQ12" s="1414"/>
      <c r="AR12" s="1414"/>
      <c r="AS12" s="1414"/>
      <c r="AT12" s="1414"/>
      <c r="AU12" s="1414"/>
      <c r="AV12" s="1414"/>
      <c r="AW12" s="1414"/>
      <c r="AX12" s="1414"/>
      <c r="AY12" s="1414"/>
      <c r="AZ12" s="1414"/>
      <c r="BA12" s="1414"/>
      <c r="BB12" s="1414"/>
      <c r="BC12" s="1414"/>
      <c r="BD12" s="1414"/>
      <c r="BE12" s="1414"/>
      <c r="BF12" s="1414"/>
      <c r="BG12" s="1414"/>
      <c r="BH12" s="1414"/>
      <c r="BI12" s="1414"/>
      <c r="BJ12" s="1414"/>
      <c r="BK12" s="1414"/>
      <c r="BL12" s="1414"/>
      <c r="BM12" s="1414"/>
      <c r="BN12" s="1414"/>
      <c r="BO12" s="1414"/>
      <c r="BP12" s="1414"/>
      <c r="BQ12" s="1414"/>
      <c r="BR12" s="1414"/>
    </row>
    <row r="13" spans="1:70" ht="81" customHeight="1" x14ac:dyDescent="0.2">
      <c r="A13" s="1411"/>
      <c r="B13" s="1412"/>
      <c r="C13" s="1413"/>
      <c r="D13" s="1411"/>
      <c r="E13" s="1412"/>
      <c r="F13" s="1413"/>
      <c r="G13" s="1407"/>
      <c r="H13" s="1408"/>
      <c r="I13" s="1409"/>
      <c r="J13" s="3176">
        <v>9</v>
      </c>
      <c r="K13" s="3179" t="s">
        <v>1202</v>
      </c>
      <c r="L13" s="3179" t="s">
        <v>1203</v>
      </c>
      <c r="M13" s="3190">
        <v>5</v>
      </c>
      <c r="N13" s="3190">
        <v>3</v>
      </c>
      <c r="O13" s="3176" t="s">
        <v>1204</v>
      </c>
      <c r="P13" s="3176" t="s">
        <v>1205</v>
      </c>
      <c r="Q13" s="3179" t="s">
        <v>1206</v>
      </c>
      <c r="R13" s="3182">
        <f>(W13+W16)/S13</f>
        <v>0.82416898087858725</v>
      </c>
      <c r="S13" s="3185">
        <f>SUM(W13:W16)</f>
        <v>2440979994</v>
      </c>
      <c r="T13" s="3179" t="s">
        <v>1207</v>
      </c>
      <c r="U13" s="3188" t="s">
        <v>1208</v>
      </c>
      <c r="V13" s="3196" t="s">
        <v>1209</v>
      </c>
      <c r="W13" s="1415">
        <f>2000000000</f>
        <v>2000000000</v>
      </c>
      <c r="X13" s="1236">
        <v>432485798</v>
      </c>
      <c r="Y13" s="1236">
        <v>0</v>
      </c>
      <c r="Z13" s="1416" t="s">
        <v>1210</v>
      </c>
      <c r="AA13" s="1417" t="s">
        <v>1211</v>
      </c>
      <c r="AB13" s="3193">
        <v>294321</v>
      </c>
      <c r="AC13" s="3193">
        <f>AB13*BK13</f>
        <v>52146.946253570153</v>
      </c>
      <c r="AD13" s="3193">
        <v>283947</v>
      </c>
      <c r="AE13" s="3193">
        <f>AD13*BK13</f>
        <v>50308.910841776444</v>
      </c>
      <c r="AF13" s="3193">
        <v>135754</v>
      </c>
      <c r="AG13" s="3193">
        <f>AF13*BK13</f>
        <v>24052.502341685315</v>
      </c>
      <c r="AH13" s="3193">
        <v>44640</v>
      </c>
      <c r="AI13" s="3193">
        <f>AH13*BK13</f>
        <v>7909.1865030336667</v>
      </c>
      <c r="AJ13" s="3193">
        <v>308178</v>
      </c>
      <c r="AK13" s="3193">
        <f>AJ13*BK13</f>
        <v>54602.089563886861</v>
      </c>
      <c r="AL13" s="3193">
        <v>89696</v>
      </c>
      <c r="AM13" s="3193">
        <f>AL13*BK13</f>
        <v>15892.078686740766</v>
      </c>
      <c r="AN13" s="3193">
        <v>2145</v>
      </c>
      <c r="AO13" s="3193">
        <f>AN13*BK13</f>
        <v>380.04491597238382</v>
      </c>
      <c r="AP13" s="3193">
        <v>12718</v>
      </c>
      <c r="AQ13" s="3193">
        <f>AP13*BK13</f>
        <v>2253.3385740497797</v>
      </c>
      <c r="AR13" s="3193">
        <v>26</v>
      </c>
      <c r="AS13" s="3193">
        <f>AR13*BK13</f>
        <v>4.6066050420895008</v>
      </c>
      <c r="AT13" s="3193">
        <v>37</v>
      </c>
      <c r="AU13" s="3193">
        <f>AT13*BK13</f>
        <v>6.5555533291273669</v>
      </c>
      <c r="AV13" s="3193">
        <v>0</v>
      </c>
      <c r="AW13" s="3193">
        <v>0</v>
      </c>
      <c r="AX13" s="3193">
        <v>0</v>
      </c>
      <c r="AY13" s="3193">
        <v>0</v>
      </c>
      <c r="AZ13" s="3193">
        <v>54612</v>
      </c>
      <c r="BA13" s="3193">
        <f>AZ13*BK13</f>
        <v>9675.9967137919939</v>
      </c>
      <c r="BB13" s="3193">
        <v>21944</v>
      </c>
      <c r="BC13" s="3193">
        <f>BB13*BK13</f>
        <v>3887.9746555235388</v>
      </c>
      <c r="BD13" s="3193">
        <v>1010</v>
      </c>
      <c r="BE13" s="3193">
        <f>BD13*BK13</f>
        <v>178.94888817347677</v>
      </c>
      <c r="BF13" s="3193">
        <v>578268</v>
      </c>
      <c r="BG13" s="3193">
        <f>BF13*BK13</f>
        <v>102455.8570953466</v>
      </c>
      <c r="BH13" s="3202">
        <v>1</v>
      </c>
      <c r="BI13" s="3205">
        <f>+X13</f>
        <v>432485798</v>
      </c>
      <c r="BJ13" s="3205">
        <f>+Y13</f>
        <v>0</v>
      </c>
      <c r="BK13" s="3199">
        <f>BI13/S13</f>
        <v>0.17717711700344235</v>
      </c>
      <c r="BL13" s="3190" t="s">
        <v>1212</v>
      </c>
      <c r="BM13" s="3190" t="s">
        <v>1213</v>
      </c>
      <c r="BN13" s="3208">
        <v>43538</v>
      </c>
      <c r="BO13" s="3208">
        <v>43538</v>
      </c>
      <c r="BP13" s="3208">
        <v>43629</v>
      </c>
      <c r="BQ13" s="3208">
        <v>43629</v>
      </c>
      <c r="BR13" s="3211" t="s">
        <v>1214</v>
      </c>
    </row>
    <row r="14" spans="1:70" ht="39" customHeight="1" x14ac:dyDescent="0.2">
      <c r="A14" s="1411"/>
      <c r="B14" s="1412"/>
      <c r="C14" s="1413"/>
      <c r="D14" s="1411"/>
      <c r="E14" s="1412"/>
      <c r="F14" s="1413"/>
      <c r="G14" s="1411"/>
      <c r="H14" s="1412"/>
      <c r="I14" s="1413"/>
      <c r="J14" s="3177"/>
      <c r="K14" s="3180"/>
      <c r="L14" s="3180"/>
      <c r="M14" s="3191"/>
      <c r="N14" s="3191"/>
      <c r="O14" s="3177"/>
      <c r="P14" s="3177"/>
      <c r="Q14" s="3180"/>
      <c r="R14" s="3183"/>
      <c r="S14" s="3186"/>
      <c r="T14" s="3180"/>
      <c r="U14" s="3189"/>
      <c r="V14" s="3197"/>
      <c r="W14" s="1415">
        <v>4200000</v>
      </c>
      <c r="X14" s="1236">
        <v>0</v>
      </c>
      <c r="Y14" s="1236">
        <v>0</v>
      </c>
      <c r="Z14" s="1418">
        <v>27</v>
      </c>
      <c r="AA14" s="1417" t="s">
        <v>1215</v>
      </c>
      <c r="AB14" s="3194"/>
      <c r="AC14" s="3194"/>
      <c r="AD14" s="3194"/>
      <c r="AE14" s="3194"/>
      <c r="AF14" s="3194"/>
      <c r="AG14" s="3194"/>
      <c r="AH14" s="3194"/>
      <c r="AI14" s="3194"/>
      <c r="AJ14" s="3194"/>
      <c r="AK14" s="3194"/>
      <c r="AL14" s="3194"/>
      <c r="AM14" s="3194"/>
      <c r="AN14" s="3194"/>
      <c r="AO14" s="3194"/>
      <c r="AP14" s="3194"/>
      <c r="AQ14" s="3194"/>
      <c r="AR14" s="3194"/>
      <c r="AS14" s="3194"/>
      <c r="AT14" s="3194"/>
      <c r="AU14" s="3194"/>
      <c r="AV14" s="3194"/>
      <c r="AW14" s="3194"/>
      <c r="AX14" s="3194"/>
      <c r="AY14" s="3194"/>
      <c r="AZ14" s="3194"/>
      <c r="BA14" s="3194"/>
      <c r="BB14" s="3194"/>
      <c r="BC14" s="3194"/>
      <c r="BD14" s="3194"/>
      <c r="BE14" s="3194"/>
      <c r="BF14" s="3194"/>
      <c r="BG14" s="3194"/>
      <c r="BH14" s="3203"/>
      <c r="BI14" s="3206"/>
      <c r="BJ14" s="3206"/>
      <c r="BK14" s="3200"/>
      <c r="BL14" s="3191"/>
      <c r="BM14" s="3191"/>
      <c r="BN14" s="3209"/>
      <c r="BO14" s="3209"/>
      <c r="BP14" s="3209"/>
      <c r="BQ14" s="3209"/>
      <c r="BR14" s="3212"/>
    </row>
    <row r="15" spans="1:70" ht="39" customHeight="1" x14ac:dyDescent="0.2">
      <c r="A15" s="1411"/>
      <c r="B15" s="1412"/>
      <c r="C15" s="1413"/>
      <c r="D15" s="1411"/>
      <c r="E15" s="1412"/>
      <c r="F15" s="1413"/>
      <c r="G15" s="1411"/>
      <c r="H15" s="1412"/>
      <c r="I15" s="1413"/>
      <c r="J15" s="3177"/>
      <c r="K15" s="3180"/>
      <c r="L15" s="3180"/>
      <c r="M15" s="3191"/>
      <c r="N15" s="3191"/>
      <c r="O15" s="3177"/>
      <c r="P15" s="3177"/>
      <c r="Q15" s="3180"/>
      <c r="R15" s="3183"/>
      <c r="S15" s="3186"/>
      <c r="T15" s="3180"/>
      <c r="U15" s="3214" t="s">
        <v>1216</v>
      </c>
      <c r="V15" s="3197"/>
      <c r="W15" s="1415">
        <v>425000000</v>
      </c>
      <c r="X15" s="1236">
        <v>0</v>
      </c>
      <c r="Y15" s="1236">
        <v>0</v>
      </c>
      <c r="Z15" s="1416" t="s">
        <v>1217</v>
      </c>
      <c r="AA15" s="1417" t="s">
        <v>1218</v>
      </c>
      <c r="AB15" s="3194"/>
      <c r="AC15" s="3194"/>
      <c r="AD15" s="3194"/>
      <c r="AE15" s="3194"/>
      <c r="AF15" s="3194"/>
      <c r="AG15" s="3194"/>
      <c r="AH15" s="3194"/>
      <c r="AI15" s="3194"/>
      <c r="AJ15" s="3194"/>
      <c r="AK15" s="3194"/>
      <c r="AL15" s="3194"/>
      <c r="AM15" s="3194"/>
      <c r="AN15" s="3194"/>
      <c r="AO15" s="3194"/>
      <c r="AP15" s="3194"/>
      <c r="AQ15" s="3194"/>
      <c r="AR15" s="3194"/>
      <c r="AS15" s="3194"/>
      <c r="AT15" s="3194"/>
      <c r="AU15" s="3194"/>
      <c r="AV15" s="3194"/>
      <c r="AW15" s="3194"/>
      <c r="AX15" s="3194"/>
      <c r="AY15" s="3194"/>
      <c r="AZ15" s="3194"/>
      <c r="BA15" s="3194"/>
      <c r="BB15" s="3194"/>
      <c r="BC15" s="3194"/>
      <c r="BD15" s="3194"/>
      <c r="BE15" s="3194"/>
      <c r="BF15" s="3194"/>
      <c r="BG15" s="3194"/>
      <c r="BH15" s="3203"/>
      <c r="BI15" s="3206"/>
      <c r="BJ15" s="3206"/>
      <c r="BK15" s="3200"/>
      <c r="BL15" s="3191"/>
      <c r="BM15" s="3191"/>
      <c r="BN15" s="3209"/>
      <c r="BO15" s="3209"/>
      <c r="BP15" s="3209"/>
      <c r="BQ15" s="3209"/>
      <c r="BR15" s="3212"/>
    </row>
    <row r="16" spans="1:70" ht="39" customHeight="1" x14ac:dyDescent="0.2">
      <c r="A16" s="1411"/>
      <c r="B16" s="1412"/>
      <c r="C16" s="1413"/>
      <c r="D16" s="1411"/>
      <c r="E16" s="1412"/>
      <c r="F16" s="1413"/>
      <c r="G16" s="1411"/>
      <c r="H16" s="1412"/>
      <c r="I16" s="1413"/>
      <c r="J16" s="3178"/>
      <c r="K16" s="3181"/>
      <c r="L16" s="3181"/>
      <c r="M16" s="3192"/>
      <c r="N16" s="3192"/>
      <c r="O16" s="3178"/>
      <c r="P16" s="3178"/>
      <c r="Q16" s="3181"/>
      <c r="R16" s="3184"/>
      <c r="S16" s="3187"/>
      <c r="T16" s="3181"/>
      <c r="U16" s="3215"/>
      <c r="V16" s="3198"/>
      <c r="W16" s="1415">
        <v>11779994</v>
      </c>
      <c r="X16" s="1236">
        <v>0</v>
      </c>
      <c r="Y16" s="1236">
        <v>0</v>
      </c>
      <c r="Z16" s="1418">
        <v>90</v>
      </c>
      <c r="AA16" s="1417" t="s">
        <v>1219</v>
      </c>
      <c r="AB16" s="3195"/>
      <c r="AC16" s="3195"/>
      <c r="AD16" s="3195"/>
      <c r="AE16" s="3195"/>
      <c r="AF16" s="3195"/>
      <c r="AG16" s="3195"/>
      <c r="AH16" s="3195"/>
      <c r="AI16" s="3195"/>
      <c r="AJ16" s="3195"/>
      <c r="AK16" s="3195"/>
      <c r="AL16" s="3195"/>
      <c r="AM16" s="3195"/>
      <c r="AN16" s="3195"/>
      <c r="AO16" s="3195"/>
      <c r="AP16" s="3195"/>
      <c r="AQ16" s="3195"/>
      <c r="AR16" s="3195"/>
      <c r="AS16" s="3195"/>
      <c r="AT16" s="3195"/>
      <c r="AU16" s="3195"/>
      <c r="AV16" s="3195"/>
      <c r="AW16" s="3195"/>
      <c r="AX16" s="3195"/>
      <c r="AY16" s="3195"/>
      <c r="AZ16" s="3195"/>
      <c r="BA16" s="3195"/>
      <c r="BB16" s="3195"/>
      <c r="BC16" s="3195"/>
      <c r="BD16" s="3195"/>
      <c r="BE16" s="3195"/>
      <c r="BF16" s="3195"/>
      <c r="BG16" s="3195"/>
      <c r="BH16" s="3204"/>
      <c r="BI16" s="3207"/>
      <c r="BJ16" s="3207"/>
      <c r="BK16" s="3201"/>
      <c r="BL16" s="3192"/>
      <c r="BM16" s="3192"/>
      <c r="BN16" s="3210"/>
      <c r="BO16" s="3210"/>
      <c r="BP16" s="3210"/>
      <c r="BQ16" s="3210"/>
      <c r="BR16" s="3213"/>
    </row>
    <row r="17" spans="1:70" ht="105.75" customHeight="1" x14ac:dyDescent="0.2">
      <c r="A17" s="1411"/>
      <c r="B17" s="1412"/>
      <c r="C17" s="1413"/>
      <c r="D17" s="1411"/>
      <c r="E17" s="1412"/>
      <c r="F17" s="1413"/>
      <c r="G17" s="1411"/>
      <c r="H17" s="1412"/>
      <c r="I17" s="1413"/>
      <c r="J17" s="3176">
        <v>9</v>
      </c>
      <c r="K17" s="3179" t="s">
        <v>1202</v>
      </c>
      <c r="L17" s="3179" t="s">
        <v>1203</v>
      </c>
      <c r="M17" s="3176">
        <v>5</v>
      </c>
      <c r="N17" s="3176">
        <v>0</v>
      </c>
      <c r="O17" s="3176" t="s">
        <v>1220</v>
      </c>
      <c r="P17" s="3176" t="s">
        <v>1221</v>
      </c>
      <c r="Q17" s="3179" t="s">
        <v>1222</v>
      </c>
      <c r="R17" s="3182">
        <f>+W17/S17</f>
        <v>1</v>
      </c>
      <c r="S17" s="3185">
        <f>SUM(W17)</f>
        <v>1105246431</v>
      </c>
      <c r="T17" s="3179" t="s">
        <v>1223</v>
      </c>
      <c r="U17" s="1419" t="s">
        <v>1224</v>
      </c>
      <c r="V17" s="3196" t="s">
        <v>1225</v>
      </c>
      <c r="W17" s="3185">
        <v>1105246431</v>
      </c>
      <c r="X17" s="3205">
        <v>0</v>
      </c>
      <c r="Y17" s="3205">
        <v>0</v>
      </c>
      <c r="Z17" s="3216">
        <v>27</v>
      </c>
      <c r="AA17" s="3176" t="s">
        <v>1226</v>
      </c>
      <c r="AB17" s="3193">
        <v>294321</v>
      </c>
      <c r="AC17" s="3193">
        <v>0</v>
      </c>
      <c r="AD17" s="3193">
        <v>283947</v>
      </c>
      <c r="AE17" s="3193">
        <v>0</v>
      </c>
      <c r="AF17" s="3193">
        <v>135754</v>
      </c>
      <c r="AG17" s="3193">
        <v>0</v>
      </c>
      <c r="AH17" s="3193">
        <v>44640</v>
      </c>
      <c r="AI17" s="3193">
        <v>0</v>
      </c>
      <c r="AJ17" s="3193">
        <v>308178</v>
      </c>
      <c r="AK17" s="3193">
        <v>0</v>
      </c>
      <c r="AL17" s="3193">
        <v>89696</v>
      </c>
      <c r="AM17" s="3193">
        <v>0</v>
      </c>
      <c r="AN17" s="3193">
        <v>2145</v>
      </c>
      <c r="AO17" s="3193">
        <v>0</v>
      </c>
      <c r="AP17" s="3193">
        <v>12718</v>
      </c>
      <c r="AQ17" s="3193">
        <v>0</v>
      </c>
      <c r="AR17" s="3193">
        <v>26</v>
      </c>
      <c r="AS17" s="3193">
        <v>0</v>
      </c>
      <c r="AT17" s="3193">
        <v>37</v>
      </c>
      <c r="AU17" s="3193">
        <v>0</v>
      </c>
      <c r="AV17" s="3193">
        <v>0</v>
      </c>
      <c r="AW17" s="3193">
        <v>0</v>
      </c>
      <c r="AX17" s="3193">
        <v>0</v>
      </c>
      <c r="AY17" s="3193">
        <v>0</v>
      </c>
      <c r="AZ17" s="3193">
        <v>54612</v>
      </c>
      <c r="BA17" s="3193">
        <v>0</v>
      </c>
      <c r="BB17" s="3193">
        <v>21944</v>
      </c>
      <c r="BC17" s="3193">
        <v>0</v>
      </c>
      <c r="BD17" s="3193">
        <v>1010</v>
      </c>
      <c r="BE17" s="3193">
        <v>0</v>
      </c>
      <c r="BF17" s="3193">
        <v>578268</v>
      </c>
      <c r="BG17" s="3193">
        <v>0</v>
      </c>
      <c r="BH17" s="3202">
        <v>0</v>
      </c>
      <c r="BI17" s="3205">
        <v>0</v>
      </c>
      <c r="BJ17" s="3205">
        <v>0</v>
      </c>
      <c r="BK17" s="3190">
        <v>0</v>
      </c>
      <c r="BL17" s="3190">
        <v>0</v>
      </c>
      <c r="BM17" s="3190" t="s">
        <v>1213</v>
      </c>
      <c r="BN17" s="3208"/>
      <c r="BO17" s="3208"/>
      <c r="BP17" s="3208"/>
      <c r="BQ17" s="3208"/>
      <c r="BR17" s="3211" t="s">
        <v>1214</v>
      </c>
    </row>
    <row r="18" spans="1:70" ht="84" customHeight="1" x14ac:dyDescent="0.2">
      <c r="A18" s="1411"/>
      <c r="B18" s="1412"/>
      <c r="C18" s="1413"/>
      <c r="D18" s="1411"/>
      <c r="E18" s="1412"/>
      <c r="F18" s="1413"/>
      <c r="G18" s="1411"/>
      <c r="H18" s="1412"/>
      <c r="I18" s="1413"/>
      <c r="J18" s="3178"/>
      <c r="K18" s="3181"/>
      <c r="L18" s="3181"/>
      <c r="M18" s="3178"/>
      <c r="N18" s="3178"/>
      <c r="O18" s="3178"/>
      <c r="P18" s="3178"/>
      <c r="Q18" s="3181"/>
      <c r="R18" s="3184"/>
      <c r="S18" s="3187"/>
      <c r="T18" s="3181"/>
      <c r="U18" s="1419" t="s">
        <v>1227</v>
      </c>
      <c r="V18" s="3198"/>
      <c r="W18" s="3187"/>
      <c r="X18" s="3207"/>
      <c r="Y18" s="3207"/>
      <c r="Z18" s="3217"/>
      <c r="AA18" s="3178"/>
      <c r="AB18" s="3195"/>
      <c r="AC18" s="3195"/>
      <c r="AD18" s="3195"/>
      <c r="AE18" s="3195"/>
      <c r="AF18" s="3195"/>
      <c r="AG18" s="3195"/>
      <c r="AH18" s="3195"/>
      <c r="AI18" s="3195"/>
      <c r="AJ18" s="3195"/>
      <c r="AK18" s="3195"/>
      <c r="AL18" s="3195"/>
      <c r="AM18" s="3195"/>
      <c r="AN18" s="3195"/>
      <c r="AO18" s="3195"/>
      <c r="AP18" s="3195"/>
      <c r="AQ18" s="3195"/>
      <c r="AR18" s="3195"/>
      <c r="AS18" s="3195"/>
      <c r="AT18" s="3195"/>
      <c r="AU18" s="3195"/>
      <c r="AV18" s="3195"/>
      <c r="AW18" s="3195"/>
      <c r="AX18" s="3195"/>
      <c r="AY18" s="3195"/>
      <c r="AZ18" s="3195"/>
      <c r="BA18" s="3195"/>
      <c r="BB18" s="3195"/>
      <c r="BC18" s="3195"/>
      <c r="BD18" s="3195"/>
      <c r="BE18" s="3195"/>
      <c r="BF18" s="3195"/>
      <c r="BG18" s="3195"/>
      <c r="BH18" s="3204"/>
      <c r="BI18" s="3207"/>
      <c r="BJ18" s="3207"/>
      <c r="BK18" s="3192"/>
      <c r="BL18" s="3192"/>
      <c r="BM18" s="3192"/>
      <c r="BN18" s="3210"/>
      <c r="BO18" s="3210"/>
      <c r="BP18" s="3210"/>
      <c r="BQ18" s="3210"/>
      <c r="BR18" s="3213"/>
    </row>
    <row r="19" spans="1:70" ht="84" customHeight="1" x14ac:dyDescent="0.2">
      <c r="A19" s="1411"/>
      <c r="B19" s="1412"/>
      <c r="C19" s="1413"/>
      <c r="D19" s="1411"/>
      <c r="E19" s="1412"/>
      <c r="F19" s="1413"/>
      <c r="G19" s="1411"/>
      <c r="H19" s="1412"/>
      <c r="I19" s="1413"/>
      <c r="J19" s="3176">
        <v>10</v>
      </c>
      <c r="K19" s="3179" t="s">
        <v>1228</v>
      </c>
      <c r="L19" s="3176" t="s">
        <v>1229</v>
      </c>
      <c r="M19" s="3176">
        <v>5</v>
      </c>
      <c r="N19" s="3176">
        <v>0</v>
      </c>
      <c r="O19" s="3176" t="s">
        <v>1230</v>
      </c>
      <c r="P19" s="3176" t="s">
        <v>1231</v>
      </c>
      <c r="Q19" s="3179" t="s">
        <v>1232</v>
      </c>
      <c r="R19" s="3182">
        <v>1</v>
      </c>
      <c r="S19" s="3185">
        <v>80000000</v>
      </c>
      <c r="T19" s="3179" t="s">
        <v>1233</v>
      </c>
      <c r="U19" s="289" t="s">
        <v>1234</v>
      </c>
      <c r="V19" s="3179" t="s">
        <v>1235</v>
      </c>
      <c r="W19" s="3185">
        <v>80000000</v>
      </c>
      <c r="X19" s="3205">
        <v>0</v>
      </c>
      <c r="Y19" s="3205">
        <v>0</v>
      </c>
      <c r="Z19" s="3216">
        <v>27</v>
      </c>
      <c r="AA19" s="3176" t="s">
        <v>1226</v>
      </c>
      <c r="AB19" s="3193">
        <v>294321</v>
      </c>
      <c r="AC19" s="3193">
        <v>0</v>
      </c>
      <c r="AD19" s="3193">
        <v>283947</v>
      </c>
      <c r="AE19" s="3193">
        <v>0</v>
      </c>
      <c r="AF19" s="3193">
        <v>135754</v>
      </c>
      <c r="AG19" s="3193">
        <v>0</v>
      </c>
      <c r="AH19" s="3193">
        <v>44640</v>
      </c>
      <c r="AI19" s="3193">
        <v>0</v>
      </c>
      <c r="AJ19" s="3193">
        <v>308178</v>
      </c>
      <c r="AK19" s="3193">
        <v>0</v>
      </c>
      <c r="AL19" s="3193">
        <v>89696</v>
      </c>
      <c r="AM19" s="3193">
        <v>0</v>
      </c>
      <c r="AN19" s="3193">
        <v>2145</v>
      </c>
      <c r="AO19" s="3193">
        <v>0</v>
      </c>
      <c r="AP19" s="3193">
        <v>12718</v>
      </c>
      <c r="AQ19" s="3193">
        <v>0</v>
      </c>
      <c r="AR19" s="3193">
        <v>26</v>
      </c>
      <c r="AS19" s="3193">
        <v>0</v>
      </c>
      <c r="AT19" s="3193">
        <v>37</v>
      </c>
      <c r="AU19" s="3193">
        <v>0</v>
      </c>
      <c r="AV19" s="3193">
        <v>0</v>
      </c>
      <c r="AW19" s="3193">
        <v>0</v>
      </c>
      <c r="AX19" s="3193">
        <v>0</v>
      </c>
      <c r="AY19" s="3193">
        <v>0</v>
      </c>
      <c r="AZ19" s="3193">
        <v>54612</v>
      </c>
      <c r="BA19" s="3193">
        <v>0</v>
      </c>
      <c r="BB19" s="3193">
        <v>21944</v>
      </c>
      <c r="BC19" s="3193">
        <v>0</v>
      </c>
      <c r="BD19" s="3193">
        <v>1010</v>
      </c>
      <c r="BE19" s="3193">
        <v>0</v>
      </c>
      <c r="BF19" s="3193">
        <v>578268</v>
      </c>
      <c r="BG19" s="3193">
        <v>0</v>
      </c>
      <c r="BH19" s="3218">
        <v>0</v>
      </c>
      <c r="BI19" s="3220">
        <v>0</v>
      </c>
      <c r="BJ19" s="3220">
        <v>0</v>
      </c>
      <c r="BK19" s="3193">
        <v>0</v>
      </c>
      <c r="BL19" s="3193">
        <v>0</v>
      </c>
      <c r="BM19" s="3190" t="s">
        <v>1213</v>
      </c>
      <c r="BN19" s="3193"/>
      <c r="BO19" s="3193"/>
      <c r="BP19" s="3193"/>
      <c r="BQ19" s="3193"/>
      <c r="BR19" s="3211" t="s">
        <v>1214</v>
      </c>
    </row>
    <row r="20" spans="1:70" ht="84" customHeight="1" x14ac:dyDescent="0.2">
      <c r="A20" s="1411"/>
      <c r="B20" s="1412"/>
      <c r="C20" s="1413"/>
      <c r="D20" s="1411"/>
      <c r="E20" s="1412"/>
      <c r="F20" s="1413"/>
      <c r="G20" s="1411"/>
      <c r="H20" s="1412"/>
      <c r="I20" s="1413"/>
      <c r="J20" s="3178"/>
      <c r="K20" s="3181"/>
      <c r="L20" s="3178"/>
      <c r="M20" s="3178"/>
      <c r="N20" s="3178"/>
      <c r="O20" s="3178"/>
      <c r="P20" s="3178"/>
      <c r="Q20" s="3181"/>
      <c r="R20" s="3184"/>
      <c r="S20" s="3187"/>
      <c r="T20" s="3181"/>
      <c r="U20" s="289" t="s">
        <v>1236</v>
      </c>
      <c r="V20" s="3181"/>
      <c r="W20" s="3187"/>
      <c r="X20" s="3207"/>
      <c r="Y20" s="3207"/>
      <c r="Z20" s="3217"/>
      <c r="AA20" s="3178"/>
      <c r="AB20" s="3195"/>
      <c r="AC20" s="3195"/>
      <c r="AD20" s="3195"/>
      <c r="AE20" s="3195"/>
      <c r="AF20" s="3195"/>
      <c r="AG20" s="3195"/>
      <c r="AH20" s="3195"/>
      <c r="AI20" s="3195"/>
      <c r="AJ20" s="3195"/>
      <c r="AK20" s="3195"/>
      <c r="AL20" s="3195"/>
      <c r="AM20" s="3195"/>
      <c r="AN20" s="3195"/>
      <c r="AO20" s="3195"/>
      <c r="AP20" s="3195"/>
      <c r="AQ20" s="3195"/>
      <c r="AR20" s="3195"/>
      <c r="AS20" s="3195"/>
      <c r="AT20" s="3195"/>
      <c r="AU20" s="3195"/>
      <c r="AV20" s="3195"/>
      <c r="AW20" s="3195"/>
      <c r="AX20" s="3195"/>
      <c r="AY20" s="3195"/>
      <c r="AZ20" s="3195"/>
      <c r="BA20" s="3195"/>
      <c r="BB20" s="3195"/>
      <c r="BC20" s="3195"/>
      <c r="BD20" s="3195"/>
      <c r="BE20" s="3195"/>
      <c r="BF20" s="3195"/>
      <c r="BG20" s="3195"/>
      <c r="BH20" s="3219"/>
      <c r="BI20" s="3221"/>
      <c r="BJ20" s="3221"/>
      <c r="BK20" s="3195"/>
      <c r="BL20" s="3195"/>
      <c r="BM20" s="3192"/>
      <c r="BN20" s="3195"/>
      <c r="BO20" s="3195"/>
      <c r="BP20" s="3195"/>
      <c r="BQ20" s="3195"/>
      <c r="BR20" s="3213"/>
    </row>
    <row r="21" spans="1:70" ht="273" customHeight="1" x14ac:dyDescent="0.2">
      <c r="A21" s="1411"/>
      <c r="B21" s="1412"/>
      <c r="C21" s="1413"/>
      <c r="D21" s="1411"/>
      <c r="E21" s="1412"/>
      <c r="F21" s="1413"/>
      <c r="G21" s="1411"/>
      <c r="H21" s="1412"/>
      <c r="I21" s="1413"/>
      <c r="J21" s="1417">
        <v>11</v>
      </c>
      <c r="K21" s="289" t="s">
        <v>1237</v>
      </c>
      <c r="L21" s="289" t="s">
        <v>1238</v>
      </c>
      <c r="M21" s="1417">
        <v>1</v>
      </c>
      <c r="N21" s="1417">
        <v>0</v>
      </c>
      <c r="O21" s="1417" t="s">
        <v>1239</v>
      </c>
      <c r="P21" s="289" t="s">
        <v>1240</v>
      </c>
      <c r="Q21" s="289" t="s">
        <v>1241</v>
      </c>
      <c r="R21" s="1421">
        <f>+W21/S21</f>
        <v>1</v>
      </c>
      <c r="S21" s="1415">
        <f>SUM(W21)</f>
        <v>230000000</v>
      </c>
      <c r="T21" s="289" t="s">
        <v>1242</v>
      </c>
      <c r="U21" s="289" t="s">
        <v>1243</v>
      </c>
      <c r="V21" s="289" t="s">
        <v>1244</v>
      </c>
      <c r="W21" s="956">
        <v>230000000</v>
      </c>
      <c r="X21" s="1236">
        <v>0</v>
      </c>
      <c r="Y21" s="1236">
        <v>0</v>
      </c>
      <c r="Z21" s="1418">
        <v>27</v>
      </c>
      <c r="AA21" s="289" t="s">
        <v>1215</v>
      </c>
      <c r="AB21" s="1422">
        <v>294321</v>
      </c>
      <c r="AC21" s="1422">
        <v>0</v>
      </c>
      <c r="AD21" s="1422">
        <v>283947</v>
      </c>
      <c r="AE21" s="1422">
        <v>0</v>
      </c>
      <c r="AF21" s="1422">
        <v>135754</v>
      </c>
      <c r="AG21" s="1422">
        <v>0</v>
      </c>
      <c r="AH21" s="1422">
        <v>44640</v>
      </c>
      <c r="AI21" s="1422">
        <v>0</v>
      </c>
      <c r="AJ21" s="1422">
        <v>308178</v>
      </c>
      <c r="AK21" s="1422">
        <v>0</v>
      </c>
      <c r="AL21" s="1422">
        <v>89696</v>
      </c>
      <c r="AM21" s="1422">
        <v>0</v>
      </c>
      <c r="AN21" s="1422">
        <v>2145</v>
      </c>
      <c r="AO21" s="1422">
        <v>0</v>
      </c>
      <c r="AP21" s="1422">
        <v>12718</v>
      </c>
      <c r="AQ21" s="1422">
        <v>0</v>
      </c>
      <c r="AR21" s="1422">
        <v>26</v>
      </c>
      <c r="AS21" s="1422">
        <v>0</v>
      </c>
      <c r="AT21" s="1422">
        <v>37</v>
      </c>
      <c r="AU21" s="1422">
        <v>0</v>
      </c>
      <c r="AV21" s="1422">
        <v>0</v>
      </c>
      <c r="AW21" s="1422">
        <v>0</v>
      </c>
      <c r="AX21" s="1422">
        <v>0</v>
      </c>
      <c r="AY21" s="1422">
        <v>0</v>
      </c>
      <c r="AZ21" s="1422">
        <v>54612</v>
      </c>
      <c r="BA21" s="1422">
        <v>0</v>
      </c>
      <c r="BB21" s="1422">
        <v>21944</v>
      </c>
      <c r="BC21" s="1422">
        <v>0</v>
      </c>
      <c r="BD21" s="1422">
        <v>1010</v>
      </c>
      <c r="BE21" s="1422">
        <v>0</v>
      </c>
      <c r="BF21" s="1422">
        <v>578268</v>
      </c>
      <c r="BG21" s="1423">
        <v>0</v>
      </c>
      <c r="BH21" s="169">
        <v>0</v>
      </c>
      <c r="BI21" s="1236">
        <v>0</v>
      </c>
      <c r="BJ21" s="1236">
        <v>0</v>
      </c>
      <c r="BK21" s="225">
        <v>0</v>
      </c>
      <c r="BL21" s="225">
        <v>0</v>
      </c>
      <c r="BM21" s="225" t="s">
        <v>1213</v>
      </c>
      <c r="BN21" s="1424"/>
      <c r="BO21" s="1424"/>
      <c r="BP21" s="1424"/>
      <c r="BQ21" s="1424"/>
      <c r="BR21" s="171" t="s">
        <v>1214</v>
      </c>
    </row>
    <row r="22" spans="1:70" ht="85.5" customHeight="1" x14ac:dyDescent="0.2">
      <c r="A22" s="1411"/>
      <c r="B22" s="1412"/>
      <c r="C22" s="1413"/>
      <c r="D22" s="1411"/>
      <c r="E22" s="1412"/>
      <c r="F22" s="1413"/>
      <c r="G22" s="1411"/>
      <c r="H22" s="1412"/>
      <c r="I22" s="1413"/>
      <c r="J22" s="3176">
        <v>12</v>
      </c>
      <c r="K22" s="3179" t="s">
        <v>1245</v>
      </c>
      <c r="L22" s="3176" t="s">
        <v>1246</v>
      </c>
      <c r="M22" s="3176">
        <v>3</v>
      </c>
      <c r="N22" s="3176">
        <v>0</v>
      </c>
      <c r="O22" s="3176" t="s">
        <v>1247</v>
      </c>
      <c r="P22" s="3176" t="s">
        <v>1248</v>
      </c>
      <c r="Q22" s="3176" t="s">
        <v>1249</v>
      </c>
      <c r="R22" s="3182">
        <f>(+W22+W23)/S22</f>
        <v>1</v>
      </c>
      <c r="S22" s="3185">
        <f>SUM(W22:W23)</f>
        <v>1190000000</v>
      </c>
      <c r="T22" s="3179" t="s">
        <v>1250</v>
      </c>
      <c r="U22" s="289" t="s">
        <v>1251</v>
      </c>
      <c r="V22" s="289" t="s">
        <v>1252</v>
      </c>
      <c r="W22" s="956">
        <v>440000000</v>
      </c>
      <c r="X22" s="1236">
        <v>0</v>
      </c>
      <c r="Y22" s="1236">
        <v>0</v>
      </c>
      <c r="Z22" s="1418">
        <v>27</v>
      </c>
      <c r="AA22" s="1425" t="s">
        <v>1215</v>
      </c>
      <c r="AB22" s="3193">
        <v>294321</v>
      </c>
      <c r="AC22" s="3193">
        <v>0</v>
      </c>
      <c r="AD22" s="3193">
        <v>283947</v>
      </c>
      <c r="AE22" s="3193">
        <v>0</v>
      </c>
      <c r="AF22" s="3193">
        <v>135754</v>
      </c>
      <c r="AG22" s="3193">
        <v>0</v>
      </c>
      <c r="AH22" s="3193">
        <v>44640</v>
      </c>
      <c r="AI22" s="3193">
        <v>0</v>
      </c>
      <c r="AJ22" s="3193">
        <v>308178</v>
      </c>
      <c r="AK22" s="3193">
        <v>0</v>
      </c>
      <c r="AL22" s="3193">
        <v>89696</v>
      </c>
      <c r="AM22" s="3193">
        <v>0</v>
      </c>
      <c r="AN22" s="3193">
        <v>2145</v>
      </c>
      <c r="AO22" s="3193">
        <v>0</v>
      </c>
      <c r="AP22" s="3193">
        <v>12718</v>
      </c>
      <c r="AQ22" s="3193">
        <v>0</v>
      </c>
      <c r="AR22" s="3193">
        <v>26</v>
      </c>
      <c r="AS22" s="3193">
        <v>0</v>
      </c>
      <c r="AT22" s="3193">
        <v>37</v>
      </c>
      <c r="AU22" s="3193">
        <v>0</v>
      </c>
      <c r="AV22" s="3193">
        <v>0</v>
      </c>
      <c r="AW22" s="3193">
        <v>0</v>
      </c>
      <c r="AX22" s="3193">
        <v>0</v>
      </c>
      <c r="AY22" s="3193">
        <v>0</v>
      </c>
      <c r="AZ22" s="3193">
        <v>54612</v>
      </c>
      <c r="BA22" s="3193">
        <v>0</v>
      </c>
      <c r="BB22" s="3193">
        <v>21944</v>
      </c>
      <c r="BC22" s="3193">
        <v>0</v>
      </c>
      <c r="BD22" s="3193">
        <v>1010</v>
      </c>
      <c r="BE22" s="3193">
        <v>0</v>
      </c>
      <c r="BF22" s="3193">
        <v>578268</v>
      </c>
      <c r="BG22" s="3193">
        <v>0</v>
      </c>
      <c r="BH22" s="3218">
        <v>0</v>
      </c>
      <c r="BI22" s="3220">
        <v>0</v>
      </c>
      <c r="BJ22" s="3220">
        <v>0</v>
      </c>
      <c r="BK22" s="3193">
        <v>0</v>
      </c>
      <c r="BL22" s="3193">
        <v>0</v>
      </c>
      <c r="BM22" s="3190" t="s">
        <v>1213</v>
      </c>
      <c r="BN22" s="3193"/>
      <c r="BO22" s="3193"/>
      <c r="BP22" s="3193"/>
      <c r="BQ22" s="3193"/>
      <c r="BR22" s="3211" t="s">
        <v>1214</v>
      </c>
    </row>
    <row r="23" spans="1:70" ht="85.5" customHeight="1" x14ac:dyDescent="0.2">
      <c r="A23" s="1426"/>
      <c r="B23" s="1427"/>
      <c r="C23" s="1428"/>
      <c r="D23" s="1426"/>
      <c r="E23" s="1427"/>
      <c r="F23" s="1428"/>
      <c r="G23" s="1426"/>
      <c r="H23" s="1427"/>
      <c r="I23" s="1428"/>
      <c r="J23" s="3178"/>
      <c r="K23" s="3181"/>
      <c r="L23" s="3178"/>
      <c r="M23" s="3178"/>
      <c r="N23" s="3178"/>
      <c r="O23" s="3178"/>
      <c r="P23" s="3178"/>
      <c r="Q23" s="3178"/>
      <c r="R23" s="3184"/>
      <c r="S23" s="3187"/>
      <c r="T23" s="3181"/>
      <c r="U23" s="289" t="s">
        <v>1253</v>
      </c>
      <c r="V23" s="289" t="s">
        <v>1254</v>
      </c>
      <c r="W23" s="1429">
        <v>750000000</v>
      </c>
      <c r="X23" s="1236">
        <v>0</v>
      </c>
      <c r="Y23" s="1236">
        <v>0</v>
      </c>
      <c r="Z23" s="1418">
        <v>27</v>
      </c>
      <c r="AA23" s="1425" t="s">
        <v>1215</v>
      </c>
      <c r="AB23" s="3195"/>
      <c r="AC23" s="3195"/>
      <c r="AD23" s="3195"/>
      <c r="AE23" s="3195"/>
      <c r="AF23" s="3195"/>
      <c r="AG23" s="3195"/>
      <c r="AH23" s="3195"/>
      <c r="AI23" s="3195"/>
      <c r="AJ23" s="3195"/>
      <c r="AK23" s="3195"/>
      <c r="AL23" s="3195"/>
      <c r="AM23" s="3195"/>
      <c r="AN23" s="3195"/>
      <c r="AO23" s="3195"/>
      <c r="AP23" s="3195"/>
      <c r="AQ23" s="3195"/>
      <c r="AR23" s="3195"/>
      <c r="AS23" s="3195"/>
      <c r="AT23" s="3195"/>
      <c r="AU23" s="3195"/>
      <c r="AV23" s="3195"/>
      <c r="AW23" s="3195"/>
      <c r="AX23" s="3195"/>
      <c r="AY23" s="3195"/>
      <c r="AZ23" s="3195"/>
      <c r="BA23" s="3195"/>
      <c r="BB23" s="3195"/>
      <c r="BC23" s="3195"/>
      <c r="BD23" s="3195"/>
      <c r="BE23" s="3195"/>
      <c r="BF23" s="3195"/>
      <c r="BG23" s="3195"/>
      <c r="BH23" s="3219"/>
      <c r="BI23" s="3221"/>
      <c r="BJ23" s="3221"/>
      <c r="BK23" s="3195"/>
      <c r="BL23" s="3195"/>
      <c r="BM23" s="3192"/>
      <c r="BN23" s="3195"/>
      <c r="BO23" s="3195"/>
      <c r="BP23" s="3195"/>
      <c r="BQ23" s="3195"/>
      <c r="BR23" s="3213"/>
    </row>
    <row r="24" spans="1:70" ht="27" customHeight="1" x14ac:dyDescent="0.2">
      <c r="A24" s="1430" t="s">
        <v>1255</v>
      </c>
      <c r="B24" s="1431" t="s">
        <v>1256</v>
      </c>
      <c r="C24" s="1431"/>
      <c r="D24" s="1431"/>
      <c r="E24" s="1431"/>
      <c r="F24" s="1432"/>
      <c r="G24" s="1433"/>
      <c r="H24" s="1434"/>
      <c r="I24" s="1434"/>
      <c r="J24" s="1435"/>
      <c r="K24" s="1435"/>
      <c r="L24" s="1435"/>
      <c r="M24" s="1436"/>
      <c r="N24" s="1435"/>
      <c r="O24" s="1436"/>
      <c r="P24" s="1435"/>
      <c r="Q24" s="1435"/>
      <c r="R24" s="1437"/>
      <c r="S24" s="1435"/>
      <c r="T24" s="1434"/>
      <c r="U24" s="1435"/>
      <c r="V24" s="1438"/>
      <c r="W24" s="1439"/>
      <c r="X24" s="1439"/>
      <c r="Y24" s="1440"/>
      <c r="Z24" s="1441"/>
      <c r="AA24" s="1441"/>
      <c r="AB24" s="1441"/>
      <c r="AC24" s="1441"/>
      <c r="AD24" s="1441"/>
      <c r="AE24" s="1441"/>
      <c r="AF24" s="1441"/>
      <c r="AG24" s="1441"/>
      <c r="AH24" s="1441"/>
      <c r="AI24" s="1441"/>
      <c r="AJ24" s="1441"/>
      <c r="AK24" s="1441"/>
      <c r="AL24" s="1442"/>
      <c r="AM24" s="1442"/>
      <c r="AN24" s="1443"/>
      <c r="AO24" s="1444"/>
      <c r="AP24" s="1444"/>
      <c r="AQ24" s="1445"/>
      <c r="AR24" s="3238"/>
      <c r="AS24" s="3239"/>
      <c r="AT24" s="3239"/>
      <c r="AU24" s="3239"/>
      <c r="AV24" s="3239"/>
      <c r="AW24" s="3239"/>
      <c r="AX24" s="3239"/>
      <c r="AY24" s="3239"/>
      <c r="AZ24" s="3239"/>
      <c r="BA24" s="3239"/>
      <c r="BB24" s="3239"/>
      <c r="BC24" s="3239"/>
      <c r="BD24" s="3239"/>
      <c r="BE24" s="3239"/>
      <c r="BF24" s="3239"/>
      <c r="BG24" s="3239"/>
      <c r="BH24" s="3239"/>
      <c r="BI24" s="3239"/>
      <c r="BJ24" s="3239"/>
      <c r="BK24" s="3239"/>
      <c r="BL24" s="3239"/>
      <c r="BM24" s="3239"/>
      <c r="BN24" s="3239"/>
      <c r="BO24" s="3239"/>
      <c r="BP24" s="3239"/>
      <c r="BQ24" s="3239"/>
      <c r="BR24" s="3240"/>
    </row>
    <row r="25" spans="1:70" ht="27" customHeight="1" x14ac:dyDescent="0.2">
      <c r="A25" s="3176" t="s">
        <v>728</v>
      </c>
      <c r="B25" s="3222"/>
      <c r="C25" s="3223"/>
      <c r="D25" s="1446" t="s">
        <v>1257</v>
      </c>
      <c r="E25" s="961" t="s">
        <v>1258</v>
      </c>
      <c r="F25" s="961"/>
      <c r="G25" s="961"/>
      <c r="H25" s="961"/>
      <c r="I25" s="961"/>
      <c r="J25" s="961"/>
      <c r="K25" s="961"/>
      <c r="L25" s="961"/>
      <c r="M25" s="1447"/>
      <c r="N25" s="1448"/>
      <c r="O25" s="1447"/>
      <c r="P25" s="1448"/>
      <c r="Q25" s="1448"/>
      <c r="R25" s="1449"/>
      <c r="S25" s="1448"/>
      <c r="T25" s="1448"/>
      <c r="U25" s="1448"/>
      <c r="V25" s="1450"/>
      <c r="W25" s="1451"/>
      <c r="X25" s="1451"/>
      <c r="Y25" s="1452"/>
      <c r="Z25" s="1453"/>
      <c r="AA25" s="1453"/>
      <c r="AB25" s="1453"/>
      <c r="AC25" s="1453"/>
      <c r="AD25" s="1453"/>
      <c r="AE25" s="1453"/>
      <c r="AF25" s="1453"/>
      <c r="AG25" s="1453"/>
      <c r="AH25" s="1453"/>
      <c r="AI25" s="1453"/>
      <c r="AJ25" s="1453"/>
      <c r="AK25" s="1453"/>
      <c r="AL25" s="1454"/>
      <c r="AM25" s="1454"/>
      <c r="AN25" s="1455"/>
      <c r="AO25" s="1456"/>
      <c r="AP25" s="1456"/>
      <c r="AQ25" s="1457"/>
      <c r="AR25" s="3228"/>
      <c r="AS25" s="3229"/>
      <c r="AT25" s="3229"/>
      <c r="AU25" s="3229"/>
      <c r="AV25" s="3229"/>
      <c r="AW25" s="3229"/>
      <c r="AX25" s="3229"/>
      <c r="AY25" s="3229"/>
      <c r="AZ25" s="3229"/>
      <c r="BA25" s="3229"/>
      <c r="BB25" s="3229"/>
      <c r="BC25" s="3229"/>
      <c r="BD25" s="3229"/>
      <c r="BE25" s="3229"/>
      <c r="BF25" s="3229"/>
      <c r="BG25" s="3229"/>
      <c r="BH25" s="3229"/>
      <c r="BI25" s="3229"/>
      <c r="BJ25" s="3229"/>
      <c r="BK25" s="3229"/>
      <c r="BL25" s="3229"/>
      <c r="BM25" s="3229"/>
      <c r="BN25" s="3229"/>
      <c r="BO25" s="3229"/>
      <c r="BP25" s="3229"/>
      <c r="BQ25" s="3229"/>
      <c r="BR25" s="3230"/>
    </row>
    <row r="26" spans="1:70" ht="27" customHeight="1" thickBot="1" x14ac:dyDescent="0.25">
      <c r="A26" s="3177"/>
      <c r="B26" s="3224"/>
      <c r="C26" s="3225"/>
      <c r="D26" s="3222" t="s">
        <v>728</v>
      </c>
      <c r="E26" s="3231"/>
      <c r="F26" s="3223"/>
      <c r="G26" s="951" t="s">
        <v>1259</v>
      </c>
      <c r="H26" s="1458" t="s">
        <v>1260</v>
      </c>
      <c r="I26" s="1458"/>
      <c r="J26" s="1458"/>
      <c r="K26" s="953"/>
      <c r="L26" s="953"/>
      <c r="M26" s="954"/>
      <c r="N26" s="953"/>
      <c r="O26" s="1459"/>
      <c r="P26" s="953"/>
      <c r="Q26" s="953"/>
      <c r="R26" s="1460"/>
      <c r="S26" s="953"/>
      <c r="T26" s="953"/>
      <c r="U26" s="986"/>
      <c r="V26" s="1461"/>
      <c r="W26" s="1462"/>
      <c r="X26" s="1462"/>
      <c r="Y26" s="1463"/>
      <c r="Z26" s="1458"/>
      <c r="AA26" s="1458"/>
      <c r="AB26" s="1458"/>
      <c r="AC26" s="1458"/>
      <c r="AD26" s="1458"/>
      <c r="AE26" s="1458"/>
      <c r="AF26" s="1458"/>
      <c r="AG26" s="1458"/>
      <c r="AH26" s="1458"/>
      <c r="AI26" s="1458"/>
      <c r="AJ26" s="1458"/>
      <c r="AK26" s="1458"/>
      <c r="AL26" s="1464"/>
      <c r="AM26" s="1464"/>
      <c r="AN26" s="1465"/>
      <c r="AO26" s="1466"/>
      <c r="AP26" s="1466"/>
      <c r="AQ26" s="1467"/>
      <c r="AR26" s="3234"/>
      <c r="AS26" s="3235"/>
      <c r="AT26" s="3235"/>
      <c r="AU26" s="3235"/>
      <c r="AV26" s="3235"/>
      <c r="AW26" s="3235"/>
      <c r="AX26" s="3235"/>
      <c r="AY26" s="3235"/>
      <c r="AZ26" s="3235"/>
      <c r="BA26" s="3235"/>
      <c r="BB26" s="3235"/>
      <c r="BC26" s="3235"/>
      <c r="BD26" s="3235"/>
      <c r="BE26" s="3235"/>
      <c r="BF26" s="3235"/>
      <c r="BG26" s="3235"/>
      <c r="BH26" s="3235"/>
      <c r="BI26" s="3235"/>
      <c r="BJ26" s="3235"/>
      <c r="BK26" s="3235"/>
      <c r="BL26" s="3235"/>
      <c r="BM26" s="3235"/>
      <c r="BN26" s="3235"/>
      <c r="BO26" s="3235"/>
      <c r="BP26" s="3235"/>
      <c r="BQ26" s="3235"/>
      <c r="BR26" s="3236"/>
    </row>
    <row r="27" spans="1:70" ht="45" customHeight="1" x14ac:dyDescent="0.2">
      <c r="A27" s="3177"/>
      <c r="B27" s="3224"/>
      <c r="C27" s="3225"/>
      <c r="D27" s="3224"/>
      <c r="E27" s="3232"/>
      <c r="F27" s="3225"/>
      <c r="G27" s="1468" t="s">
        <v>728</v>
      </c>
      <c r="H27" s="1469"/>
      <c r="I27" s="1470"/>
      <c r="J27" s="3216">
        <v>54</v>
      </c>
      <c r="K27" s="3179" t="s">
        <v>1261</v>
      </c>
      <c r="L27" s="3179" t="s">
        <v>1262</v>
      </c>
      <c r="M27" s="3176">
        <v>130</v>
      </c>
      <c r="N27" s="3222">
        <v>76.8</v>
      </c>
      <c r="O27" s="1471"/>
      <c r="P27" s="3176" t="s">
        <v>1263</v>
      </c>
      <c r="Q27" s="3179" t="s">
        <v>1264</v>
      </c>
      <c r="R27" s="3182">
        <f>SUM(W27:W31)/S27</f>
        <v>0.76394159316709997</v>
      </c>
      <c r="S27" s="3188">
        <f>SUM(W27:W36)</f>
        <v>5687551670</v>
      </c>
      <c r="T27" s="3179" t="s">
        <v>1265</v>
      </c>
      <c r="U27" s="3243" t="s">
        <v>1266</v>
      </c>
      <c r="V27" s="1472" t="s">
        <v>1267</v>
      </c>
      <c r="W27" s="1473">
        <v>266273502</v>
      </c>
      <c r="X27" s="1473">
        <v>100000000</v>
      </c>
      <c r="Y27" s="1473">
        <v>0</v>
      </c>
      <c r="Z27" s="1474">
        <v>23</v>
      </c>
      <c r="AA27" s="1475" t="s">
        <v>1268</v>
      </c>
      <c r="AB27" s="3241">
        <v>294321</v>
      </c>
      <c r="AC27" s="3241">
        <v>0</v>
      </c>
      <c r="AD27" s="3241">
        <v>283947</v>
      </c>
      <c r="AE27" s="3241">
        <v>0</v>
      </c>
      <c r="AF27" s="3241">
        <v>135754</v>
      </c>
      <c r="AG27" s="3241">
        <v>0</v>
      </c>
      <c r="AH27" s="3241">
        <v>44640</v>
      </c>
      <c r="AI27" s="3241">
        <v>0</v>
      </c>
      <c r="AJ27" s="3241">
        <v>308178</v>
      </c>
      <c r="AK27" s="3241">
        <v>0</v>
      </c>
      <c r="AL27" s="3241"/>
      <c r="AM27" s="3241">
        <v>0</v>
      </c>
      <c r="AN27" s="3241">
        <v>2145</v>
      </c>
      <c r="AO27" s="3241">
        <v>0</v>
      </c>
      <c r="AP27" s="3241">
        <v>12718</v>
      </c>
      <c r="AQ27" s="3241">
        <v>0</v>
      </c>
      <c r="AR27" s="3241">
        <v>26</v>
      </c>
      <c r="AS27" s="3241">
        <v>0</v>
      </c>
      <c r="AT27" s="3241">
        <v>0</v>
      </c>
      <c r="AU27" s="3241">
        <v>0</v>
      </c>
      <c r="AV27" s="3241">
        <v>0</v>
      </c>
      <c r="AW27" s="3241">
        <v>0</v>
      </c>
      <c r="AX27" s="3241">
        <v>0</v>
      </c>
      <c r="AY27" s="3241">
        <v>0</v>
      </c>
      <c r="AZ27" s="3241">
        <v>54612</v>
      </c>
      <c r="BA27" s="3241">
        <v>0</v>
      </c>
      <c r="BB27" s="3241">
        <v>21944</v>
      </c>
      <c r="BC27" s="3241">
        <v>0</v>
      </c>
      <c r="BD27" s="3241">
        <v>1010</v>
      </c>
      <c r="BE27" s="3241">
        <v>0</v>
      </c>
      <c r="BF27" s="3241">
        <v>578268</v>
      </c>
      <c r="BG27" s="3241">
        <v>0</v>
      </c>
      <c r="BH27" s="3249">
        <v>43</v>
      </c>
      <c r="BI27" s="3261">
        <v>575235084</v>
      </c>
      <c r="BJ27" s="3262">
        <v>135404046.66</v>
      </c>
      <c r="BK27" s="3264">
        <f>BI27/S27</f>
        <v>0.10113931571543859</v>
      </c>
      <c r="BL27" s="3266" t="s">
        <v>1269</v>
      </c>
      <c r="BM27" s="3266" t="s">
        <v>1270</v>
      </c>
      <c r="BN27" s="3259">
        <v>43467</v>
      </c>
      <c r="BO27" s="3259">
        <v>43466</v>
      </c>
      <c r="BP27" s="3259" t="s">
        <v>1271</v>
      </c>
      <c r="BQ27" s="3259" t="s">
        <v>1271</v>
      </c>
      <c r="BR27" s="3260" t="s">
        <v>1214</v>
      </c>
    </row>
    <row r="28" spans="1:70" ht="45" customHeight="1" x14ac:dyDescent="0.2">
      <c r="A28" s="3177"/>
      <c r="B28" s="3224"/>
      <c r="C28" s="3225"/>
      <c r="D28" s="3224"/>
      <c r="E28" s="3232"/>
      <c r="F28" s="3225"/>
      <c r="G28" s="1476"/>
      <c r="H28" s="418"/>
      <c r="I28" s="419"/>
      <c r="J28" s="3237"/>
      <c r="K28" s="3180"/>
      <c r="L28" s="3180"/>
      <c r="M28" s="3177"/>
      <c r="N28" s="3224"/>
      <c r="O28" s="1478"/>
      <c r="P28" s="3177"/>
      <c r="Q28" s="3180"/>
      <c r="R28" s="3183"/>
      <c r="S28" s="3242"/>
      <c r="T28" s="3180"/>
      <c r="U28" s="3244"/>
      <c r="V28" s="1479" t="s">
        <v>1272</v>
      </c>
      <c r="W28" s="956">
        <v>193300000</v>
      </c>
      <c r="X28" s="956">
        <v>68412930</v>
      </c>
      <c r="Y28" s="956">
        <v>46060180</v>
      </c>
      <c r="Z28" s="1480">
        <v>23</v>
      </c>
      <c r="AA28" s="1481" t="s">
        <v>1268</v>
      </c>
      <c r="AB28" s="3241"/>
      <c r="AC28" s="3241"/>
      <c r="AD28" s="3241"/>
      <c r="AE28" s="3241"/>
      <c r="AF28" s="3241"/>
      <c r="AG28" s="3241"/>
      <c r="AH28" s="3241"/>
      <c r="AI28" s="3241"/>
      <c r="AJ28" s="3241"/>
      <c r="AK28" s="3241"/>
      <c r="AL28" s="3241"/>
      <c r="AM28" s="3241"/>
      <c r="AN28" s="3241"/>
      <c r="AO28" s="3241"/>
      <c r="AP28" s="3241"/>
      <c r="AQ28" s="3241"/>
      <c r="AR28" s="3241"/>
      <c r="AS28" s="3241"/>
      <c r="AT28" s="3241"/>
      <c r="AU28" s="3241"/>
      <c r="AV28" s="3241"/>
      <c r="AW28" s="3241"/>
      <c r="AX28" s="3241"/>
      <c r="AY28" s="3241"/>
      <c r="AZ28" s="3241"/>
      <c r="BA28" s="3241"/>
      <c r="BB28" s="3241"/>
      <c r="BC28" s="3241"/>
      <c r="BD28" s="3241"/>
      <c r="BE28" s="3241"/>
      <c r="BF28" s="3241"/>
      <c r="BG28" s="3241"/>
      <c r="BH28" s="3249"/>
      <c r="BI28" s="3261"/>
      <c r="BJ28" s="3262"/>
      <c r="BK28" s="3264"/>
      <c r="BL28" s="3266"/>
      <c r="BM28" s="3266"/>
      <c r="BN28" s="3259"/>
      <c r="BO28" s="3259"/>
      <c r="BP28" s="3259"/>
      <c r="BQ28" s="3259"/>
      <c r="BR28" s="3260"/>
    </row>
    <row r="29" spans="1:70" ht="32.25" customHeight="1" x14ac:dyDescent="0.2">
      <c r="A29" s="3177"/>
      <c r="B29" s="3224"/>
      <c r="C29" s="3225"/>
      <c r="D29" s="3224"/>
      <c r="E29" s="3232"/>
      <c r="F29" s="3225"/>
      <c r="G29" s="1476"/>
      <c r="H29" s="418"/>
      <c r="I29" s="419"/>
      <c r="J29" s="3237"/>
      <c r="K29" s="3180"/>
      <c r="L29" s="3180"/>
      <c r="M29" s="3177"/>
      <c r="N29" s="3224"/>
      <c r="O29" s="1478" t="s">
        <v>1273</v>
      </c>
      <c r="P29" s="3177"/>
      <c r="Q29" s="3180"/>
      <c r="R29" s="3183"/>
      <c r="S29" s="3242"/>
      <c r="T29" s="3180"/>
      <c r="U29" s="3244"/>
      <c r="V29" s="3248" t="s">
        <v>1274</v>
      </c>
      <c r="W29" s="956">
        <v>2000000000</v>
      </c>
      <c r="X29" s="956">
        <v>117012854</v>
      </c>
      <c r="Y29" s="956">
        <v>0</v>
      </c>
      <c r="Z29" s="1480">
        <v>46</v>
      </c>
      <c r="AA29" s="1481" t="s">
        <v>1275</v>
      </c>
      <c r="AB29" s="3241"/>
      <c r="AC29" s="3241"/>
      <c r="AD29" s="3241"/>
      <c r="AE29" s="3241"/>
      <c r="AF29" s="3241"/>
      <c r="AG29" s="3241"/>
      <c r="AH29" s="3241"/>
      <c r="AI29" s="3241"/>
      <c r="AJ29" s="3241"/>
      <c r="AK29" s="3241"/>
      <c r="AL29" s="3241"/>
      <c r="AM29" s="3241"/>
      <c r="AN29" s="3241"/>
      <c r="AO29" s="3241"/>
      <c r="AP29" s="3241"/>
      <c r="AQ29" s="3241"/>
      <c r="AR29" s="3241"/>
      <c r="AS29" s="3241"/>
      <c r="AT29" s="3241"/>
      <c r="AU29" s="3241"/>
      <c r="AV29" s="3241"/>
      <c r="AW29" s="3241"/>
      <c r="AX29" s="3241"/>
      <c r="AY29" s="3241"/>
      <c r="AZ29" s="3241"/>
      <c r="BA29" s="3241"/>
      <c r="BB29" s="3241"/>
      <c r="BC29" s="3241"/>
      <c r="BD29" s="3241"/>
      <c r="BE29" s="3241"/>
      <c r="BF29" s="3241"/>
      <c r="BG29" s="3241"/>
      <c r="BH29" s="3249"/>
      <c r="BI29" s="3261"/>
      <c r="BJ29" s="3262"/>
      <c r="BK29" s="3264"/>
      <c r="BL29" s="3266"/>
      <c r="BM29" s="3266"/>
      <c r="BN29" s="3259"/>
      <c r="BO29" s="3259"/>
      <c r="BP29" s="3259"/>
      <c r="BQ29" s="3259"/>
      <c r="BR29" s="3260"/>
    </row>
    <row r="30" spans="1:70" ht="48.75" customHeight="1" x14ac:dyDescent="0.2">
      <c r="A30" s="3177"/>
      <c r="B30" s="3224"/>
      <c r="C30" s="3225"/>
      <c r="D30" s="3224"/>
      <c r="E30" s="3232"/>
      <c r="F30" s="3225"/>
      <c r="G30" s="1476"/>
      <c r="H30" s="418"/>
      <c r="I30" s="419"/>
      <c r="J30" s="3237"/>
      <c r="K30" s="3180"/>
      <c r="L30" s="3180"/>
      <c r="M30" s="3177"/>
      <c r="N30" s="3224"/>
      <c r="O30" s="1478" t="s">
        <v>1276</v>
      </c>
      <c r="P30" s="3177"/>
      <c r="Q30" s="3180"/>
      <c r="R30" s="3183"/>
      <c r="S30" s="3242"/>
      <c r="T30" s="3180"/>
      <c r="U30" s="3244"/>
      <c r="V30" s="3247"/>
      <c r="W30" s="956">
        <v>1565383782</v>
      </c>
      <c r="X30" s="956">
        <v>0</v>
      </c>
      <c r="Y30" s="956">
        <v>0</v>
      </c>
      <c r="Z30" s="1480">
        <v>157</v>
      </c>
      <c r="AA30" s="1481" t="s">
        <v>1277</v>
      </c>
      <c r="AB30" s="3241"/>
      <c r="AC30" s="3241"/>
      <c r="AD30" s="3241"/>
      <c r="AE30" s="3241"/>
      <c r="AF30" s="3241"/>
      <c r="AG30" s="3241"/>
      <c r="AH30" s="3241"/>
      <c r="AI30" s="3241"/>
      <c r="AJ30" s="3241"/>
      <c r="AK30" s="3241"/>
      <c r="AL30" s="3241"/>
      <c r="AM30" s="3241"/>
      <c r="AN30" s="3241"/>
      <c r="AO30" s="3241"/>
      <c r="AP30" s="3241"/>
      <c r="AQ30" s="3241"/>
      <c r="AR30" s="3241"/>
      <c r="AS30" s="3241"/>
      <c r="AT30" s="3241"/>
      <c r="AU30" s="3241"/>
      <c r="AV30" s="3241"/>
      <c r="AW30" s="3241"/>
      <c r="AX30" s="3241"/>
      <c r="AY30" s="3241"/>
      <c r="AZ30" s="3241"/>
      <c r="BA30" s="3241"/>
      <c r="BB30" s="3241"/>
      <c r="BC30" s="3241"/>
      <c r="BD30" s="3241"/>
      <c r="BE30" s="3241"/>
      <c r="BF30" s="3241"/>
      <c r="BG30" s="3241"/>
      <c r="BH30" s="3249"/>
      <c r="BI30" s="3261"/>
      <c r="BJ30" s="3262"/>
      <c r="BK30" s="3264"/>
      <c r="BL30" s="3266"/>
      <c r="BM30" s="3266"/>
      <c r="BN30" s="3259"/>
      <c r="BO30" s="3259"/>
      <c r="BP30" s="3259"/>
      <c r="BQ30" s="3259"/>
      <c r="BR30" s="3260"/>
    </row>
    <row r="31" spans="1:70" ht="56.25" customHeight="1" thickBot="1" x14ac:dyDescent="0.25">
      <c r="A31" s="3177"/>
      <c r="B31" s="3224"/>
      <c r="C31" s="3225"/>
      <c r="D31" s="3224"/>
      <c r="E31" s="3232"/>
      <c r="F31" s="3225"/>
      <c r="G31" s="1476"/>
      <c r="H31" s="418"/>
      <c r="I31" s="419"/>
      <c r="J31" s="3217"/>
      <c r="K31" s="3181"/>
      <c r="L31" s="3181"/>
      <c r="M31" s="3178"/>
      <c r="N31" s="3226"/>
      <c r="O31" s="1482" t="s">
        <v>1278</v>
      </c>
      <c r="P31" s="3177"/>
      <c r="Q31" s="3180"/>
      <c r="R31" s="3184"/>
      <c r="S31" s="3242"/>
      <c r="T31" s="3180"/>
      <c r="U31" s="3245"/>
      <c r="V31" s="1483" t="s">
        <v>1279</v>
      </c>
      <c r="W31" s="1484">
        <v>320000000</v>
      </c>
      <c r="X31" s="1484">
        <v>0</v>
      </c>
      <c r="Y31" s="1484">
        <v>0</v>
      </c>
      <c r="Z31" s="1485">
        <v>46</v>
      </c>
      <c r="AA31" s="1486" t="s">
        <v>1275</v>
      </c>
      <c r="AB31" s="3241"/>
      <c r="AC31" s="3241"/>
      <c r="AD31" s="3241"/>
      <c r="AE31" s="3241"/>
      <c r="AF31" s="3241"/>
      <c r="AG31" s="3241"/>
      <c r="AH31" s="3241"/>
      <c r="AI31" s="3241"/>
      <c r="AJ31" s="3241"/>
      <c r="AK31" s="3241"/>
      <c r="AL31" s="3241"/>
      <c r="AM31" s="3241"/>
      <c r="AN31" s="3241"/>
      <c r="AO31" s="3241"/>
      <c r="AP31" s="3241"/>
      <c r="AQ31" s="3241"/>
      <c r="AR31" s="3241"/>
      <c r="AS31" s="3241"/>
      <c r="AT31" s="3241"/>
      <c r="AU31" s="3241"/>
      <c r="AV31" s="3241"/>
      <c r="AW31" s="3241"/>
      <c r="AX31" s="3241"/>
      <c r="AY31" s="3241"/>
      <c r="AZ31" s="3241"/>
      <c r="BA31" s="3241"/>
      <c r="BB31" s="3241"/>
      <c r="BC31" s="3241"/>
      <c r="BD31" s="3241"/>
      <c r="BE31" s="3241"/>
      <c r="BF31" s="3241"/>
      <c r="BG31" s="3241"/>
      <c r="BH31" s="3249"/>
      <c r="BI31" s="3261"/>
      <c r="BJ31" s="3262"/>
      <c r="BK31" s="3264"/>
      <c r="BL31" s="3266"/>
      <c r="BM31" s="3266"/>
      <c r="BN31" s="3259"/>
      <c r="BO31" s="3259"/>
      <c r="BP31" s="3259"/>
      <c r="BQ31" s="3259"/>
      <c r="BR31" s="3260"/>
    </row>
    <row r="32" spans="1:70" ht="45" customHeight="1" x14ac:dyDescent="0.2">
      <c r="A32" s="3177"/>
      <c r="B32" s="3224"/>
      <c r="C32" s="3225"/>
      <c r="D32" s="3224"/>
      <c r="E32" s="3232"/>
      <c r="F32" s="3225"/>
      <c r="G32" s="1476"/>
      <c r="H32" s="418"/>
      <c r="I32" s="419"/>
      <c r="J32" s="3216">
        <v>55</v>
      </c>
      <c r="K32" s="3179" t="s">
        <v>1280</v>
      </c>
      <c r="L32" s="3176" t="s">
        <v>1281</v>
      </c>
      <c r="M32" s="3176">
        <v>12</v>
      </c>
      <c r="N32" s="3176">
        <v>5</v>
      </c>
      <c r="O32" s="1487"/>
      <c r="P32" s="3177"/>
      <c r="Q32" s="3180"/>
      <c r="R32" s="3182">
        <f>SUM(W32:W36)/S27</f>
        <v>0.23605840683290003</v>
      </c>
      <c r="S32" s="3242"/>
      <c r="T32" s="3180"/>
      <c r="U32" s="3243" t="s">
        <v>1282</v>
      </c>
      <c r="V32" s="3246" t="s">
        <v>1283</v>
      </c>
      <c r="W32" s="1473">
        <v>51500000</v>
      </c>
      <c r="X32" s="1473"/>
      <c r="Y32" s="1473"/>
      <c r="Z32" s="1474">
        <v>23</v>
      </c>
      <c r="AA32" s="1475" t="s">
        <v>1284</v>
      </c>
      <c r="AB32" s="3241"/>
      <c r="AC32" s="3241"/>
      <c r="AD32" s="3241"/>
      <c r="AE32" s="3241"/>
      <c r="AF32" s="3241"/>
      <c r="AG32" s="3241"/>
      <c r="AH32" s="3241"/>
      <c r="AI32" s="3241"/>
      <c r="AJ32" s="3241"/>
      <c r="AK32" s="3241"/>
      <c r="AL32" s="3241"/>
      <c r="AM32" s="3241"/>
      <c r="AN32" s="3241"/>
      <c r="AO32" s="3241"/>
      <c r="AP32" s="3241"/>
      <c r="AQ32" s="3241"/>
      <c r="AR32" s="3241"/>
      <c r="AS32" s="3241"/>
      <c r="AT32" s="3241"/>
      <c r="AU32" s="3241"/>
      <c r="AV32" s="3241"/>
      <c r="AW32" s="3241"/>
      <c r="AX32" s="3241"/>
      <c r="AY32" s="3241"/>
      <c r="AZ32" s="3241"/>
      <c r="BA32" s="3241"/>
      <c r="BB32" s="3241"/>
      <c r="BC32" s="3241"/>
      <c r="BD32" s="3241"/>
      <c r="BE32" s="3241"/>
      <c r="BF32" s="3241"/>
      <c r="BG32" s="3241"/>
      <c r="BH32" s="3249"/>
      <c r="BI32" s="3261"/>
      <c r="BJ32" s="3262"/>
      <c r="BK32" s="3264"/>
      <c r="BL32" s="3266"/>
      <c r="BM32" s="3266"/>
      <c r="BN32" s="3259"/>
      <c r="BO32" s="3259"/>
      <c r="BP32" s="3259"/>
      <c r="BQ32" s="3259"/>
      <c r="BR32" s="3260"/>
    </row>
    <row r="33" spans="1:70" ht="45" customHeight="1" x14ac:dyDescent="0.2">
      <c r="A33" s="3177"/>
      <c r="B33" s="3224"/>
      <c r="C33" s="3225"/>
      <c r="D33" s="3224"/>
      <c r="E33" s="3232"/>
      <c r="F33" s="3225"/>
      <c r="G33" s="1476"/>
      <c r="H33" s="418"/>
      <c r="I33" s="419"/>
      <c r="J33" s="3237"/>
      <c r="K33" s="3180"/>
      <c r="L33" s="3177"/>
      <c r="M33" s="3177"/>
      <c r="N33" s="3177"/>
      <c r="O33" s="1478" t="s">
        <v>1276</v>
      </c>
      <c r="P33" s="3177"/>
      <c r="Q33" s="3180"/>
      <c r="R33" s="3183"/>
      <c r="S33" s="3242"/>
      <c r="T33" s="3180"/>
      <c r="U33" s="3244"/>
      <c r="V33" s="3247"/>
      <c r="W33" s="956">
        <v>100000000</v>
      </c>
      <c r="X33" s="956"/>
      <c r="Y33" s="956"/>
      <c r="Z33" s="1480">
        <v>46</v>
      </c>
      <c r="AA33" s="1481" t="s">
        <v>1285</v>
      </c>
      <c r="AB33" s="3241"/>
      <c r="AC33" s="3241"/>
      <c r="AD33" s="3241"/>
      <c r="AE33" s="3241"/>
      <c r="AF33" s="3241"/>
      <c r="AG33" s="3241"/>
      <c r="AH33" s="3241"/>
      <c r="AI33" s="3241"/>
      <c r="AJ33" s="3241"/>
      <c r="AK33" s="3241"/>
      <c r="AL33" s="3241"/>
      <c r="AM33" s="3241"/>
      <c r="AN33" s="3241"/>
      <c r="AO33" s="3241"/>
      <c r="AP33" s="3241"/>
      <c r="AQ33" s="3241"/>
      <c r="AR33" s="3241"/>
      <c r="AS33" s="3241"/>
      <c r="AT33" s="3241"/>
      <c r="AU33" s="3241"/>
      <c r="AV33" s="3241"/>
      <c r="AW33" s="3241"/>
      <c r="AX33" s="3241"/>
      <c r="AY33" s="3241"/>
      <c r="AZ33" s="3241"/>
      <c r="BA33" s="3241"/>
      <c r="BB33" s="3241"/>
      <c r="BC33" s="3241"/>
      <c r="BD33" s="3241"/>
      <c r="BE33" s="3241"/>
      <c r="BF33" s="3241"/>
      <c r="BG33" s="3241"/>
      <c r="BH33" s="3249"/>
      <c r="BI33" s="3261"/>
      <c r="BJ33" s="3262"/>
      <c r="BK33" s="3264"/>
      <c r="BL33" s="3266"/>
      <c r="BM33" s="3266"/>
      <c r="BN33" s="3259"/>
      <c r="BO33" s="3259"/>
      <c r="BP33" s="3259"/>
      <c r="BQ33" s="3259"/>
      <c r="BR33" s="3260"/>
    </row>
    <row r="34" spans="1:70" ht="45" customHeight="1" x14ac:dyDescent="0.2">
      <c r="A34" s="3177"/>
      <c r="B34" s="3224"/>
      <c r="C34" s="3225"/>
      <c r="D34" s="3224"/>
      <c r="E34" s="3232"/>
      <c r="F34" s="3225"/>
      <c r="G34" s="1476"/>
      <c r="H34" s="418"/>
      <c r="I34" s="419"/>
      <c r="J34" s="3237"/>
      <c r="K34" s="3180"/>
      <c r="L34" s="3177"/>
      <c r="M34" s="3177"/>
      <c r="N34" s="3177"/>
      <c r="O34" s="1488" t="s">
        <v>1286</v>
      </c>
      <c r="P34" s="3177"/>
      <c r="Q34" s="3180"/>
      <c r="R34" s="3183"/>
      <c r="S34" s="3242"/>
      <c r="T34" s="3180"/>
      <c r="U34" s="3244"/>
      <c r="V34" s="3248" t="s">
        <v>1287</v>
      </c>
      <c r="W34" s="956">
        <v>448500000</v>
      </c>
      <c r="X34" s="956">
        <v>289809300</v>
      </c>
      <c r="Y34" s="956">
        <v>89343866.659999996</v>
      </c>
      <c r="Z34" s="1480">
        <v>23</v>
      </c>
      <c r="AA34" s="1481" t="s">
        <v>1284</v>
      </c>
      <c r="AB34" s="3241"/>
      <c r="AC34" s="3241"/>
      <c r="AD34" s="3241"/>
      <c r="AE34" s="3241"/>
      <c r="AF34" s="3241"/>
      <c r="AG34" s="3241"/>
      <c r="AH34" s="3241"/>
      <c r="AI34" s="3241"/>
      <c r="AJ34" s="3241"/>
      <c r="AK34" s="3241"/>
      <c r="AL34" s="3241"/>
      <c r="AM34" s="3241"/>
      <c r="AN34" s="3241"/>
      <c r="AO34" s="3241"/>
      <c r="AP34" s="3241"/>
      <c r="AQ34" s="3241"/>
      <c r="AR34" s="3241"/>
      <c r="AS34" s="3241"/>
      <c r="AT34" s="3241"/>
      <c r="AU34" s="3241"/>
      <c r="AV34" s="3241"/>
      <c r="AW34" s="3241"/>
      <c r="AX34" s="3241"/>
      <c r="AY34" s="3241"/>
      <c r="AZ34" s="3241"/>
      <c r="BA34" s="3241"/>
      <c r="BB34" s="3241"/>
      <c r="BC34" s="3241"/>
      <c r="BD34" s="3241"/>
      <c r="BE34" s="3241"/>
      <c r="BF34" s="3241"/>
      <c r="BG34" s="3241"/>
      <c r="BH34" s="3249"/>
      <c r="BI34" s="3261"/>
      <c r="BJ34" s="3262"/>
      <c r="BK34" s="3264"/>
      <c r="BL34" s="3266"/>
      <c r="BM34" s="3266"/>
      <c r="BN34" s="3259"/>
      <c r="BO34" s="3259"/>
      <c r="BP34" s="3259"/>
      <c r="BQ34" s="3259"/>
      <c r="BR34" s="3260"/>
    </row>
    <row r="35" spans="1:70" ht="45" customHeight="1" x14ac:dyDescent="0.2">
      <c r="A35" s="3177"/>
      <c r="B35" s="3224"/>
      <c r="C35" s="3225"/>
      <c r="D35" s="3224"/>
      <c r="E35" s="3232"/>
      <c r="F35" s="3225"/>
      <c r="G35" s="1476"/>
      <c r="H35" s="418"/>
      <c r="I35" s="419"/>
      <c r="J35" s="3237"/>
      <c r="K35" s="3180"/>
      <c r="L35" s="3177"/>
      <c r="M35" s="3177"/>
      <c r="N35" s="3177"/>
      <c r="O35" s="1487" t="s">
        <v>1288</v>
      </c>
      <c r="P35" s="3177"/>
      <c r="Q35" s="3180"/>
      <c r="R35" s="3183"/>
      <c r="S35" s="3242"/>
      <c r="T35" s="3180"/>
      <c r="U35" s="3244"/>
      <c r="V35" s="3247"/>
      <c r="W35" s="956">
        <v>42594386</v>
      </c>
      <c r="X35" s="956"/>
      <c r="Y35" s="956"/>
      <c r="Z35" s="1480">
        <v>89</v>
      </c>
      <c r="AA35" s="1481" t="s">
        <v>1289</v>
      </c>
      <c r="AB35" s="3241"/>
      <c r="AC35" s="3241"/>
      <c r="AD35" s="3241"/>
      <c r="AE35" s="3241"/>
      <c r="AF35" s="3241"/>
      <c r="AG35" s="3241"/>
      <c r="AH35" s="3241"/>
      <c r="AI35" s="3241"/>
      <c r="AJ35" s="3241"/>
      <c r="AK35" s="3241"/>
      <c r="AL35" s="3241"/>
      <c r="AM35" s="3241"/>
      <c r="AN35" s="3241"/>
      <c r="AO35" s="3241"/>
      <c r="AP35" s="3241"/>
      <c r="AQ35" s="3241"/>
      <c r="AR35" s="3241"/>
      <c r="AS35" s="3241"/>
      <c r="AT35" s="3241"/>
      <c r="AU35" s="3241"/>
      <c r="AV35" s="3241"/>
      <c r="AW35" s="3241"/>
      <c r="AX35" s="3241"/>
      <c r="AY35" s="3241"/>
      <c r="AZ35" s="3241"/>
      <c r="BA35" s="3241"/>
      <c r="BB35" s="3241"/>
      <c r="BC35" s="3241"/>
      <c r="BD35" s="3241"/>
      <c r="BE35" s="3241"/>
      <c r="BF35" s="3241"/>
      <c r="BG35" s="3241"/>
      <c r="BH35" s="3249"/>
      <c r="BI35" s="3261"/>
      <c r="BJ35" s="3262"/>
      <c r="BK35" s="3264"/>
      <c r="BL35" s="3266"/>
      <c r="BM35" s="3266"/>
      <c r="BN35" s="3259"/>
      <c r="BO35" s="3259"/>
      <c r="BP35" s="3259"/>
      <c r="BQ35" s="3259"/>
      <c r="BR35" s="3260"/>
    </row>
    <row r="36" spans="1:70" ht="45" customHeight="1" thickBot="1" x14ac:dyDescent="0.25">
      <c r="A36" s="3178"/>
      <c r="B36" s="3226"/>
      <c r="C36" s="3227"/>
      <c r="D36" s="3226"/>
      <c r="E36" s="3233"/>
      <c r="F36" s="3227"/>
      <c r="G36" s="1476"/>
      <c r="H36" s="418"/>
      <c r="I36" s="419"/>
      <c r="J36" s="3217"/>
      <c r="K36" s="3181"/>
      <c r="L36" s="3178"/>
      <c r="M36" s="3178"/>
      <c r="N36" s="3178"/>
      <c r="O36" s="1482"/>
      <c r="P36" s="3178"/>
      <c r="Q36" s="3181"/>
      <c r="R36" s="3184"/>
      <c r="S36" s="3189"/>
      <c r="T36" s="3181"/>
      <c r="U36" s="3245"/>
      <c r="V36" s="1489" t="s">
        <v>1290</v>
      </c>
      <c r="W36" s="1490">
        <v>700000000</v>
      </c>
      <c r="X36" s="1490"/>
      <c r="Y36" s="1490"/>
      <c r="Z36" s="1491">
        <v>46</v>
      </c>
      <c r="AA36" s="1492" t="s">
        <v>1285</v>
      </c>
      <c r="AB36" s="3193"/>
      <c r="AC36" s="3193"/>
      <c r="AD36" s="3193"/>
      <c r="AE36" s="3193"/>
      <c r="AF36" s="3193"/>
      <c r="AG36" s="3193"/>
      <c r="AH36" s="3193"/>
      <c r="AI36" s="3193"/>
      <c r="AJ36" s="3193"/>
      <c r="AK36" s="3193"/>
      <c r="AL36" s="3193"/>
      <c r="AM36" s="3193"/>
      <c r="AN36" s="3193"/>
      <c r="AO36" s="3193"/>
      <c r="AP36" s="3193"/>
      <c r="AQ36" s="3193"/>
      <c r="AR36" s="3193"/>
      <c r="AS36" s="3193"/>
      <c r="AT36" s="3193"/>
      <c r="AU36" s="3193"/>
      <c r="AV36" s="3193"/>
      <c r="AW36" s="3193"/>
      <c r="AX36" s="3193"/>
      <c r="AY36" s="3193"/>
      <c r="AZ36" s="3193"/>
      <c r="BA36" s="3193"/>
      <c r="BB36" s="3193"/>
      <c r="BC36" s="3193"/>
      <c r="BD36" s="3193"/>
      <c r="BE36" s="3193"/>
      <c r="BF36" s="3193"/>
      <c r="BG36" s="3193"/>
      <c r="BH36" s="3202"/>
      <c r="BI36" s="3205"/>
      <c r="BJ36" s="3263"/>
      <c r="BK36" s="3265"/>
      <c r="BL36" s="3190"/>
      <c r="BM36" s="3190"/>
      <c r="BN36" s="3208"/>
      <c r="BO36" s="3208"/>
      <c r="BP36" s="3208"/>
      <c r="BQ36" s="3208"/>
      <c r="BR36" s="3211"/>
    </row>
    <row r="37" spans="1:70" ht="27" customHeight="1" thickBot="1" x14ac:dyDescent="0.25">
      <c r="A37" s="3222"/>
      <c r="B37" s="352"/>
      <c r="C37" s="981"/>
      <c r="D37" s="3222"/>
      <c r="E37" s="3231"/>
      <c r="F37" s="3223"/>
      <c r="G37" s="1493" t="s">
        <v>1291</v>
      </c>
      <c r="H37" s="1494" t="s">
        <v>1292</v>
      </c>
      <c r="I37" s="1458"/>
      <c r="J37" s="1458"/>
      <c r="K37" s="1458"/>
      <c r="L37" s="1458"/>
      <c r="M37" s="1458"/>
      <c r="N37" s="1458"/>
      <c r="O37" s="954"/>
      <c r="P37" s="1458"/>
      <c r="Q37" s="1458"/>
      <c r="R37" s="1458"/>
      <c r="S37" s="1458"/>
      <c r="T37" s="1458"/>
      <c r="U37" s="1458"/>
      <c r="V37" s="1495"/>
      <c r="W37" s="1496"/>
      <c r="X37" s="1496"/>
      <c r="Y37" s="1496"/>
      <c r="Z37" s="1495"/>
      <c r="AA37" s="1497"/>
      <c r="AB37" s="3250"/>
      <c r="AC37" s="3251"/>
      <c r="AD37" s="3251"/>
      <c r="AE37" s="3251"/>
      <c r="AF37" s="3251"/>
      <c r="AG37" s="3251"/>
      <c r="AH37" s="3251"/>
      <c r="AI37" s="3251"/>
      <c r="AJ37" s="3251"/>
      <c r="AK37" s="3251"/>
      <c r="AL37" s="3251"/>
      <c r="AM37" s="3251"/>
      <c r="AN37" s="3251"/>
      <c r="AO37" s="3251"/>
      <c r="AP37" s="3251"/>
      <c r="AQ37" s="3251"/>
      <c r="AR37" s="3251"/>
      <c r="AS37" s="3251"/>
      <c r="AT37" s="3251"/>
      <c r="AU37" s="3251"/>
      <c r="AV37" s="3251"/>
      <c r="AW37" s="3251"/>
      <c r="AX37" s="3251"/>
      <c r="AY37" s="3251"/>
      <c r="AZ37" s="3251"/>
      <c r="BA37" s="3251"/>
      <c r="BB37" s="3251"/>
      <c r="BC37" s="3251"/>
      <c r="BD37" s="3251"/>
      <c r="BE37" s="3251"/>
      <c r="BF37" s="3251"/>
      <c r="BG37" s="3251"/>
      <c r="BH37" s="3251"/>
      <c r="BI37" s="3251"/>
      <c r="BJ37" s="3251"/>
      <c r="BK37" s="3251"/>
      <c r="BL37" s="3251"/>
      <c r="BM37" s="3251"/>
      <c r="BN37" s="3251"/>
      <c r="BO37" s="3251"/>
      <c r="BP37" s="3251"/>
      <c r="BQ37" s="3251"/>
      <c r="BR37" s="3252"/>
    </row>
    <row r="38" spans="1:70" ht="45" customHeight="1" x14ac:dyDescent="0.2">
      <c r="A38" s="3224"/>
      <c r="B38" s="352"/>
      <c r="C38" s="981"/>
      <c r="D38" s="3224"/>
      <c r="E38" s="3232"/>
      <c r="F38" s="3225"/>
      <c r="G38" s="3222"/>
      <c r="H38" s="3231"/>
      <c r="I38" s="3223"/>
      <c r="J38" s="3253">
        <v>57</v>
      </c>
      <c r="K38" s="3179" t="s">
        <v>1293</v>
      </c>
      <c r="L38" s="3176" t="s">
        <v>1294</v>
      </c>
      <c r="M38" s="3176">
        <v>12</v>
      </c>
      <c r="N38" s="3176">
        <v>20</v>
      </c>
      <c r="O38" s="3256" t="s">
        <v>1295</v>
      </c>
      <c r="P38" s="3176" t="s">
        <v>1296</v>
      </c>
      <c r="Q38" s="3179" t="s">
        <v>1297</v>
      </c>
      <c r="R38" s="1498">
        <f>SUM(W38:W42)/S38</f>
        <v>0.21473347171373725</v>
      </c>
      <c r="S38" s="3188">
        <f>SUM(W38:W56)</f>
        <v>20985340781</v>
      </c>
      <c r="T38" s="3179" t="s">
        <v>1298</v>
      </c>
      <c r="U38" s="3270" t="s">
        <v>1299</v>
      </c>
      <c r="V38" s="1499" t="s">
        <v>1300</v>
      </c>
      <c r="W38" s="1500">
        <v>174840000</v>
      </c>
      <c r="X38" s="1500"/>
      <c r="Y38" s="1500"/>
      <c r="Z38" s="1501" t="s">
        <v>1210</v>
      </c>
      <c r="AA38" s="1502" t="s">
        <v>1301</v>
      </c>
      <c r="AB38" s="3273">
        <v>294321</v>
      </c>
      <c r="AC38" s="3267"/>
      <c r="AD38" s="3267">
        <v>283947</v>
      </c>
      <c r="AE38" s="3267"/>
      <c r="AF38" s="3267">
        <v>135754</v>
      </c>
      <c r="AG38" s="3267">
        <v>0</v>
      </c>
      <c r="AH38" s="3267">
        <v>44640</v>
      </c>
      <c r="AI38" s="3267">
        <v>0</v>
      </c>
      <c r="AJ38" s="3267">
        <v>308178</v>
      </c>
      <c r="AK38" s="3267">
        <v>0</v>
      </c>
      <c r="AL38" s="3267">
        <v>0</v>
      </c>
      <c r="AM38" s="3267">
        <v>0</v>
      </c>
      <c r="AN38" s="3280">
        <v>2145</v>
      </c>
      <c r="AO38" s="3280">
        <v>0</v>
      </c>
      <c r="AP38" s="3282">
        <v>12718</v>
      </c>
      <c r="AQ38" s="3282">
        <v>0</v>
      </c>
      <c r="AR38" s="3285">
        <v>26</v>
      </c>
      <c r="AS38" s="3285">
        <v>0</v>
      </c>
      <c r="AT38" s="3282">
        <v>0</v>
      </c>
      <c r="AU38" s="3282">
        <v>0</v>
      </c>
      <c r="AV38" s="3282">
        <v>0</v>
      </c>
      <c r="AW38" s="3308">
        <v>0</v>
      </c>
      <c r="AX38" s="3308">
        <v>0</v>
      </c>
      <c r="AY38" s="3295">
        <v>0</v>
      </c>
      <c r="AZ38" s="3295">
        <v>54612</v>
      </c>
      <c r="BA38" s="3295">
        <v>0</v>
      </c>
      <c r="BB38" s="3295">
        <v>21944</v>
      </c>
      <c r="BC38" s="3295">
        <v>0</v>
      </c>
      <c r="BD38" s="3295">
        <v>1010</v>
      </c>
      <c r="BE38" s="3295">
        <v>0</v>
      </c>
      <c r="BF38" s="3295">
        <v>578268</v>
      </c>
      <c r="BG38" s="3295">
        <v>0</v>
      </c>
      <c r="BH38" s="3296">
        <v>66</v>
      </c>
      <c r="BI38" s="3299">
        <v>1731415357</v>
      </c>
      <c r="BJ38" s="3302">
        <v>156918300</v>
      </c>
      <c r="BK38" s="3305">
        <f>BI38/S38</f>
        <v>8.2505944271708612E-2</v>
      </c>
      <c r="BL38" s="3288" t="s">
        <v>1302</v>
      </c>
      <c r="BM38" s="3288" t="s">
        <v>1303</v>
      </c>
      <c r="BN38" s="3291">
        <v>43467</v>
      </c>
      <c r="BO38" s="3291">
        <v>43467</v>
      </c>
      <c r="BP38" s="3291">
        <v>43830</v>
      </c>
      <c r="BQ38" s="3291">
        <v>43830</v>
      </c>
      <c r="BR38" s="3292" t="s">
        <v>1304</v>
      </c>
    </row>
    <row r="39" spans="1:70" ht="40.5" customHeight="1" x14ac:dyDescent="0.2">
      <c r="A39" s="3224"/>
      <c r="B39" s="352"/>
      <c r="C39" s="981"/>
      <c r="D39" s="3224"/>
      <c r="E39" s="3232"/>
      <c r="F39" s="3225"/>
      <c r="G39" s="3224"/>
      <c r="H39" s="3232"/>
      <c r="I39" s="3225"/>
      <c r="J39" s="3254"/>
      <c r="K39" s="3180"/>
      <c r="L39" s="3177"/>
      <c r="M39" s="3177"/>
      <c r="N39" s="3177"/>
      <c r="O39" s="3257"/>
      <c r="P39" s="3177"/>
      <c r="Q39" s="3180"/>
      <c r="R39" s="1503"/>
      <c r="S39" s="3242"/>
      <c r="T39" s="3180"/>
      <c r="U39" s="3271"/>
      <c r="V39" s="1504" t="s">
        <v>1305</v>
      </c>
      <c r="W39" s="1415">
        <v>1025160000</v>
      </c>
      <c r="X39" s="1415">
        <v>411824200</v>
      </c>
      <c r="Y39" s="1415">
        <v>113103200</v>
      </c>
      <c r="Z39" s="1416" t="s">
        <v>1210</v>
      </c>
      <c r="AA39" s="1505" t="s">
        <v>1301</v>
      </c>
      <c r="AB39" s="3274"/>
      <c r="AC39" s="3268"/>
      <c r="AD39" s="3268"/>
      <c r="AE39" s="3268"/>
      <c r="AF39" s="3268"/>
      <c r="AG39" s="3268"/>
      <c r="AH39" s="3268"/>
      <c r="AI39" s="3268"/>
      <c r="AJ39" s="3268"/>
      <c r="AK39" s="3268"/>
      <c r="AL39" s="3268"/>
      <c r="AM39" s="3268"/>
      <c r="AN39" s="3257"/>
      <c r="AO39" s="3257"/>
      <c r="AP39" s="3283"/>
      <c r="AQ39" s="3283"/>
      <c r="AR39" s="3286"/>
      <c r="AS39" s="3286"/>
      <c r="AT39" s="3283"/>
      <c r="AU39" s="3283"/>
      <c r="AV39" s="3283"/>
      <c r="AW39" s="3309"/>
      <c r="AX39" s="3309"/>
      <c r="AY39" s="3289"/>
      <c r="AZ39" s="3289"/>
      <c r="BA39" s="3289"/>
      <c r="BB39" s="3289"/>
      <c r="BC39" s="3289"/>
      <c r="BD39" s="3289"/>
      <c r="BE39" s="3289"/>
      <c r="BF39" s="3289"/>
      <c r="BG39" s="3289"/>
      <c r="BH39" s="3297"/>
      <c r="BI39" s="3300"/>
      <c r="BJ39" s="3303"/>
      <c r="BK39" s="3306"/>
      <c r="BL39" s="3289"/>
      <c r="BM39" s="3289"/>
      <c r="BN39" s="3289"/>
      <c r="BO39" s="3289"/>
      <c r="BP39" s="3289"/>
      <c r="BQ39" s="3289"/>
      <c r="BR39" s="3293"/>
    </row>
    <row r="40" spans="1:70" ht="30" customHeight="1" x14ac:dyDescent="0.2">
      <c r="A40" s="3224"/>
      <c r="B40" s="352"/>
      <c r="C40" s="981"/>
      <c r="D40" s="3224"/>
      <c r="E40" s="3232"/>
      <c r="F40" s="3225"/>
      <c r="G40" s="3224"/>
      <c r="H40" s="3232"/>
      <c r="I40" s="3225"/>
      <c r="J40" s="3254"/>
      <c r="K40" s="3180"/>
      <c r="L40" s="3177"/>
      <c r="M40" s="3177"/>
      <c r="N40" s="3177"/>
      <c r="O40" s="3257"/>
      <c r="P40" s="3177"/>
      <c r="Q40" s="3180"/>
      <c r="R40" s="1503"/>
      <c r="S40" s="3242"/>
      <c r="T40" s="3180"/>
      <c r="U40" s="3271"/>
      <c r="V40" s="3276" t="s">
        <v>1306</v>
      </c>
      <c r="W40" s="1415">
        <v>1500000000</v>
      </c>
      <c r="X40" s="1415"/>
      <c r="Y40" s="1415"/>
      <c r="Z40" s="1416" t="s">
        <v>1210</v>
      </c>
      <c r="AA40" s="1505" t="s">
        <v>1301</v>
      </c>
      <c r="AB40" s="3274"/>
      <c r="AC40" s="3268"/>
      <c r="AD40" s="3268"/>
      <c r="AE40" s="3268"/>
      <c r="AF40" s="3268"/>
      <c r="AG40" s="3268"/>
      <c r="AH40" s="3268"/>
      <c r="AI40" s="3268"/>
      <c r="AJ40" s="3268"/>
      <c r="AK40" s="3268"/>
      <c r="AL40" s="3268"/>
      <c r="AM40" s="3268"/>
      <c r="AN40" s="3257"/>
      <c r="AO40" s="3257"/>
      <c r="AP40" s="3283"/>
      <c r="AQ40" s="3283"/>
      <c r="AR40" s="3286"/>
      <c r="AS40" s="3286"/>
      <c r="AT40" s="3283"/>
      <c r="AU40" s="3283"/>
      <c r="AV40" s="3283"/>
      <c r="AW40" s="3309"/>
      <c r="AX40" s="3309"/>
      <c r="AY40" s="3289"/>
      <c r="AZ40" s="3289"/>
      <c r="BA40" s="3289"/>
      <c r="BB40" s="3289"/>
      <c r="BC40" s="3289"/>
      <c r="BD40" s="3289"/>
      <c r="BE40" s="3289"/>
      <c r="BF40" s="3289"/>
      <c r="BG40" s="3289"/>
      <c r="BH40" s="3297"/>
      <c r="BI40" s="3300"/>
      <c r="BJ40" s="3303"/>
      <c r="BK40" s="3306"/>
      <c r="BL40" s="3289"/>
      <c r="BM40" s="3289"/>
      <c r="BN40" s="3289"/>
      <c r="BO40" s="3289"/>
      <c r="BP40" s="3289"/>
      <c r="BQ40" s="3289"/>
      <c r="BR40" s="3293"/>
    </row>
    <row r="41" spans="1:70" ht="46.5" customHeight="1" x14ac:dyDescent="0.2">
      <c r="A41" s="3224"/>
      <c r="B41" s="352"/>
      <c r="C41" s="981"/>
      <c r="D41" s="3224"/>
      <c r="E41" s="3232"/>
      <c r="F41" s="3225"/>
      <c r="G41" s="3224"/>
      <c r="H41" s="3232"/>
      <c r="I41" s="3225"/>
      <c r="J41" s="3254"/>
      <c r="K41" s="3180"/>
      <c r="L41" s="3177"/>
      <c r="M41" s="3177"/>
      <c r="N41" s="3177"/>
      <c r="O41" s="3257"/>
      <c r="P41" s="3177"/>
      <c r="Q41" s="3180"/>
      <c r="R41" s="1503"/>
      <c r="S41" s="3242"/>
      <c r="T41" s="3180"/>
      <c r="U41" s="3271"/>
      <c r="V41" s="3277"/>
      <c r="W41" s="1415">
        <v>1706255081</v>
      </c>
      <c r="X41" s="1415"/>
      <c r="Y41" s="1415"/>
      <c r="Z41" s="1416" t="s">
        <v>1217</v>
      </c>
      <c r="AA41" s="1505" t="s">
        <v>1307</v>
      </c>
      <c r="AB41" s="3274"/>
      <c r="AC41" s="3268"/>
      <c r="AD41" s="3268"/>
      <c r="AE41" s="3268"/>
      <c r="AF41" s="3268"/>
      <c r="AG41" s="3268"/>
      <c r="AH41" s="3268"/>
      <c r="AI41" s="3268"/>
      <c r="AJ41" s="3268"/>
      <c r="AK41" s="3268"/>
      <c r="AL41" s="3268"/>
      <c r="AM41" s="3268"/>
      <c r="AN41" s="3257"/>
      <c r="AO41" s="3257"/>
      <c r="AP41" s="3283"/>
      <c r="AQ41" s="3283"/>
      <c r="AR41" s="3286"/>
      <c r="AS41" s="3286"/>
      <c r="AT41" s="3283"/>
      <c r="AU41" s="3283"/>
      <c r="AV41" s="3283"/>
      <c r="AW41" s="3309"/>
      <c r="AX41" s="3309"/>
      <c r="AY41" s="3289"/>
      <c r="AZ41" s="3289"/>
      <c r="BA41" s="3289"/>
      <c r="BB41" s="3289"/>
      <c r="BC41" s="3289"/>
      <c r="BD41" s="3289"/>
      <c r="BE41" s="3289"/>
      <c r="BF41" s="3289"/>
      <c r="BG41" s="3289"/>
      <c r="BH41" s="3297"/>
      <c r="BI41" s="3300"/>
      <c r="BJ41" s="3303"/>
      <c r="BK41" s="3306"/>
      <c r="BL41" s="3289"/>
      <c r="BM41" s="3289"/>
      <c r="BN41" s="3289"/>
      <c r="BO41" s="3289"/>
      <c r="BP41" s="3289"/>
      <c r="BQ41" s="3289"/>
      <c r="BR41" s="3293"/>
    </row>
    <row r="42" spans="1:70" ht="62.25" customHeight="1" thickBot="1" x14ac:dyDescent="0.25">
      <c r="A42" s="3224"/>
      <c r="B42" s="352"/>
      <c r="C42" s="981"/>
      <c r="D42" s="3224"/>
      <c r="E42" s="3232"/>
      <c r="F42" s="3225"/>
      <c r="G42" s="3224"/>
      <c r="H42" s="3232"/>
      <c r="I42" s="3225"/>
      <c r="J42" s="3255"/>
      <c r="K42" s="3181"/>
      <c r="L42" s="3178"/>
      <c r="M42" s="3178"/>
      <c r="N42" s="3178"/>
      <c r="O42" s="3257"/>
      <c r="P42" s="3177"/>
      <c r="Q42" s="3180"/>
      <c r="R42" s="1503"/>
      <c r="S42" s="3242"/>
      <c r="T42" s="3180"/>
      <c r="U42" s="3271"/>
      <c r="V42" s="1506" t="s">
        <v>1308</v>
      </c>
      <c r="W42" s="1507">
        <v>100000000</v>
      </c>
      <c r="X42" s="1507"/>
      <c r="Y42" s="1507"/>
      <c r="Z42" s="1508" t="s">
        <v>1210</v>
      </c>
      <c r="AA42" s="1509" t="s">
        <v>1301</v>
      </c>
      <c r="AB42" s="3274"/>
      <c r="AC42" s="3268"/>
      <c r="AD42" s="3268"/>
      <c r="AE42" s="3268"/>
      <c r="AF42" s="3268"/>
      <c r="AG42" s="3268"/>
      <c r="AH42" s="3268"/>
      <c r="AI42" s="3268"/>
      <c r="AJ42" s="3268"/>
      <c r="AK42" s="3268"/>
      <c r="AL42" s="3268"/>
      <c r="AM42" s="3268"/>
      <c r="AN42" s="3257"/>
      <c r="AO42" s="3257"/>
      <c r="AP42" s="3283"/>
      <c r="AQ42" s="3283"/>
      <c r="AR42" s="3286"/>
      <c r="AS42" s="3286"/>
      <c r="AT42" s="3283"/>
      <c r="AU42" s="3283"/>
      <c r="AV42" s="3283"/>
      <c r="AW42" s="3309"/>
      <c r="AX42" s="3309"/>
      <c r="AY42" s="3289"/>
      <c r="AZ42" s="3289"/>
      <c r="BA42" s="3289"/>
      <c r="BB42" s="3289"/>
      <c r="BC42" s="3289"/>
      <c r="BD42" s="3289"/>
      <c r="BE42" s="3289"/>
      <c r="BF42" s="3289"/>
      <c r="BG42" s="3289"/>
      <c r="BH42" s="3297"/>
      <c r="BI42" s="3300"/>
      <c r="BJ42" s="3303"/>
      <c r="BK42" s="3306"/>
      <c r="BL42" s="3289"/>
      <c r="BM42" s="3289"/>
      <c r="BN42" s="3289"/>
      <c r="BO42" s="3289"/>
      <c r="BP42" s="3289"/>
      <c r="BQ42" s="3289"/>
      <c r="BR42" s="3293"/>
    </row>
    <row r="43" spans="1:70" ht="36.75" customHeight="1" x14ac:dyDescent="0.2">
      <c r="A43" s="3224"/>
      <c r="B43" s="352"/>
      <c r="C43" s="981"/>
      <c r="D43" s="3224"/>
      <c r="E43" s="3232"/>
      <c r="F43" s="3225"/>
      <c r="G43" s="3224"/>
      <c r="H43" s="3232"/>
      <c r="I43" s="3225"/>
      <c r="J43" s="3253">
        <v>58</v>
      </c>
      <c r="K43" s="3317" t="s">
        <v>1309</v>
      </c>
      <c r="L43" s="3320" t="s">
        <v>1310</v>
      </c>
      <c r="M43" s="3320">
        <v>1</v>
      </c>
      <c r="N43" s="3320">
        <v>0</v>
      </c>
      <c r="O43" s="3257"/>
      <c r="P43" s="3177"/>
      <c r="Q43" s="3180"/>
      <c r="R43" s="3278">
        <f>SUM(W43:W44)/S38</f>
        <v>0.23739549507390009</v>
      </c>
      <c r="S43" s="3242"/>
      <c r="T43" s="3180"/>
      <c r="U43" s="3271"/>
      <c r="V43" s="1510" t="s">
        <v>1311</v>
      </c>
      <c r="W43" s="1511">
        <v>4181825364</v>
      </c>
      <c r="X43" s="1511"/>
      <c r="Y43" s="1511"/>
      <c r="Z43" s="1512">
        <v>46</v>
      </c>
      <c r="AA43" s="1513" t="s">
        <v>1275</v>
      </c>
      <c r="AB43" s="3274"/>
      <c r="AC43" s="3268"/>
      <c r="AD43" s="3268"/>
      <c r="AE43" s="3268"/>
      <c r="AF43" s="3268"/>
      <c r="AG43" s="3268"/>
      <c r="AH43" s="3268"/>
      <c r="AI43" s="3268"/>
      <c r="AJ43" s="3268"/>
      <c r="AK43" s="3268"/>
      <c r="AL43" s="3268"/>
      <c r="AM43" s="3268"/>
      <c r="AN43" s="3257"/>
      <c r="AO43" s="3257"/>
      <c r="AP43" s="3283"/>
      <c r="AQ43" s="3283"/>
      <c r="AR43" s="3286"/>
      <c r="AS43" s="3286"/>
      <c r="AT43" s="3283"/>
      <c r="AU43" s="3283"/>
      <c r="AV43" s="3283"/>
      <c r="AW43" s="3309"/>
      <c r="AX43" s="3309"/>
      <c r="AY43" s="3289"/>
      <c r="AZ43" s="3289"/>
      <c r="BA43" s="3289"/>
      <c r="BB43" s="3289"/>
      <c r="BC43" s="3289"/>
      <c r="BD43" s="3289"/>
      <c r="BE43" s="3289"/>
      <c r="BF43" s="3289"/>
      <c r="BG43" s="3289"/>
      <c r="BH43" s="3297"/>
      <c r="BI43" s="3300"/>
      <c r="BJ43" s="3303"/>
      <c r="BK43" s="3306"/>
      <c r="BL43" s="3289"/>
      <c r="BM43" s="3289"/>
      <c r="BN43" s="3289"/>
      <c r="BO43" s="3289"/>
      <c r="BP43" s="3289"/>
      <c r="BQ43" s="3289"/>
      <c r="BR43" s="3293"/>
    </row>
    <row r="44" spans="1:70" ht="63" customHeight="1" thickBot="1" x14ac:dyDescent="0.25">
      <c r="A44" s="3224"/>
      <c r="B44" s="352"/>
      <c r="C44" s="981"/>
      <c r="D44" s="3224"/>
      <c r="E44" s="3232"/>
      <c r="F44" s="3225"/>
      <c r="G44" s="3224"/>
      <c r="H44" s="3232"/>
      <c r="I44" s="3225"/>
      <c r="J44" s="3254"/>
      <c r="K44" s="3317"/>
      <c r="L44" s="3320"/>
      <c r="M44" s="3320"/>
      <c r="N44" s="3320"/>
      <c r="O44" s="3257"/>
      <c r="P44" s="3177"/>
      <c r="Q44" s="3180"/>
      <c r="R44" s="3279"/>
      <c r="S44" s="3242"/>
      <c r="T44" s="3180"/>
      <c r="U44" s="3271"/>
      <c r="V44" s="1514" t="s">
        <v>1312</v>
      </c>
      <c r="W44" s="1515">
        <v>800000000</v>
      </c>
      <c r="X44" s="1515"/>
      <c r="Y44" s="1515"/>
      <c r="Z44" s="1516">
        <v>46</v>
      </c>
      <c r="AA44" s="1517" t="s">
        <v>1275</v>
      </c>
      <c r="AB44" s="3274"/>
      <c r="AC44" s="3268"/>
      <c r="AD44" s="3268"/>
      <c r="AE44" s="3268"/>
      <c r="AF44" s="3268"/>
      <c r="AG44" s="3268"/>
      <c r="AH44" s="3268"/>
      <c r="AI44" s="3268"/>
      <c r="AJ44" s="3268"/>
      <c r="AK44" s="3268"/>
      <c r="AL44" s="3268"/>
      <c r="AM44" s="3268"/>
      <c r="AN44" s="3257"/>
      <c r="AO44" s="3257"/>
      <c r="AP44" s="3283"/>
      <c r="AQ44" s="3283"/>
      <c r="AR44" s="3286"/>
      <c r="AS44" s="3286"/>
      <c r="AT44" s="3283"/>
      <c r="AU44" s="3283"/>
      <c r="AV44" s="3283"/>
      <c r="AW44" s="3309"/>
      <c r="AX44" s="3309"/>
      <c r="AY44" s="3289"/>
      <c r="AZ44" s="3289"/>
      <c r="BA44" s="3289"/>
      <c r="BB44" s="3289"/>
      <c r="BC44" s="3289"/>
      <c r="BD44" s="3289"/>
      <c r="BE44" s="3289"/>
      <c r="BF44" s="3289"/>
      <c r="BG44" s="3289"/>
      <c r="BH44" s="3297"/>
      <c r="BI44" s="3300"/>
      <c r="BJ44" s="3303"/>
      <c r="BK44" s="3306"/>
      <c r="BL44" s="3289"/>
      <c r="BM44" s="3289"/>
      <c r="BN44" s="3289"/>
      <c r="BO44" s="3289"/>
      <c r="BP44" s="3289"/>
      <c r="BQ44" s="3289"/>
      <c r="BR44" s="3293"/>
    </row>
    <row r="45" spans="1:70" ht="45.75" customHeight="1" x14ac:dyDescent="0.2">
      <c r="A45" s="3224"/>
      <c r="B45" s="352"/>
      <c r="C45" s="981"/>
      <c r="D45" s="3224"/>
      <c r="E45" s="3232"/>
      <c r="F45" s="3225"/>
      <c r="G45" s="3224"/>
      <c r="H45" s="3232"/>
      <c r="I45" s="3225"/>
      <c r="J45" s="3316">
        <v>59</v>
      </c>
      <c r="K45" s="3317" t="s">
        <v>1313</v>
      </c>
      <c r="L45" s="3318" t="s">
        <v>1314</v>
      </c>
      <c r="M45" s="3318">
        <v>12</v>
      </c>
      <c r="N45" s="3318">
        <v>3</v>
      </c>
      <c r="O45" s="3257"/>
      <c r="P45" s="3177"/>
      <c r="Q45" s="3180"/>
      <c r="R45" s="3319">
        <f>SUM(W45:W50)/S38</f>
        <v>0.17030580114456897</v>
      </c>
      <c r="S45" s="3242"/>
      <c r="T45" s="3180"/>
      <c r="U45" s="3271"/>
      <c r="V45" s="1510" t="s">
        <v>1315</v>
      </c>
      <c r="W45" s="1511">
        <v>225000000</v>
      </c>
      <c r="X45" s="1511"/>
      <c r="Y45" s="1511"/>
      <c r="Z45" s="1518" t="s">
        <v>1210</v>
      </c>
      <c r="AA45" s="1519" t="s">
        <v>1316</v>
      </c>
      <c r="AB45" s="3274"/>
      <c r="AC45" s="3268"/>
      <c r="AD45" s="3268"/>
      <c r="AE45" s="3268"/>
      <c r="AF45" s="3268"/>
      <c r="AG45" s="3268"/>
      <c r="AH45" s="3268"/>
      <c r="AI45" s="3268"/>
      <c r="AJ45" s="3268"/>
      <c r="AK45" s="3268"/>
      <c r="AL45" s="3268"/>
      <c r="AM45" s="3268"/>
      <c r="AN45" s="3257"/>
      <c r="AO45" s="3257"/>
      <c r="AP45" s="3283"/>
      <c r="AQ45" s="3283"/>
      <c r="AR45" s="3286"/>
      <c r="AS45" s="3286"/>
      <c r="AT45" s="3283"/>
      <c r="AU45" s="3283"/>
      <c r="AV45" s="3283"/>
      <c r="AW45" s="3309"/>
      <c r="AX45" s="3309"/>
      <c r="AY45" s="3289"/>
      <c r="AZ45" s="3289"/>
      <c r="BA45" s="3289"/>
      <c r="BB45" s="3289"/>
      <c r="BC45" s="3289"/>
      <c r="BD45" s="3289"/>
      <c r="BE45" s="3289"/>
      <c r="BF45" s="3289"/>
      <c r="BG45" s="3289"/>
      <c r="BH45" s="3297"/>
      <c r="BI45" s="3300"/>
      <c r="BJ45" s="3303"/>
      <c r="BK45" s="3306"/>
      <c r="BL45" s="3289"/>
      <c r="BM45" s="3289"/>
      <c r="BN45" s="3289"/>
      <c r="BO45" s="3289"/>
      <c r="BP45" s="3289"/>
      <c r="BQ45" s="3289"/>
      <c r="BR45" s="3293"/>
    </row>
    <row r="46" spans="1:70" ht="49.5" customHeight="1" x14ac:dyDescent="0.2">
      <c r="A46" s="3224"/>
      <c r="B46" s="352"/>
      <c r="C46" s="981"/>
      <c r="D46" s="3224"/>
      <c r="E46" s="3232"/>
      <c r="F46" s="3225"/>
      <c r="G46" s="3224"/>
      <c r="H46" s="3232"/>
      <c r="I46" s="3225"/>
      <c r="J46" s="3316"/>
      <c r="K46" s="3317"/>
      <c r="L46" s="3318"/>
      <c r="M46" s="3318"/>
      <c r="N46" s="3318"/>
      <c r="O46" s="3257"/>
      <c r="P46" s="3177"/>
      <c r="Q46" s="3180"/>
      <c r="R46" s="3319"/>
      <c r="S46" s="3242"/>
      <c r="T46" s="3180"/>
      <c r="U46" s="3271"/>
      <c r="V46" s="3248" t="s">
        <v>1317</v>
      </c>
      <c r="W46" s="1520">
        <v>383410000</v>
      </c>
      <c r="X46" s="1520">
        <v>184702350</v>
      </c>
      <c r="Y46" s="1520">
        <v>43815100</v>
      </c>
      <c r="Z46" s="1521" t="s">
        <v>1210</v>
      </c>
      <c r="AA46" s="1522" t="s">
        <v>1316</v>
      </c>
      <c r="AB46" s="3274"/>
      <c r="AC46" s="3268"/>
      <c r="AD46" s="3268"/>
      <c r="AE46" s="3268"/>
      <c r="AF46" s="3268"/>
      <c r="AG46" s="3268"/>
      <c r="AH46" s="3268"/>
      <c r="AI46" s="3268"/>
      <c r="AJ46" s="3268"/>
      <c r="AK46" s="3268"/>
      <c r="AL46" s="3268"/>
      <c r="AM46" s="3268"/>
      <c r="AN46" s="3257"/>
      <c r="AO46" s="3257"/>
      <c r="AP46" s="3283"/>
      <c r="AQ46" s="3283"/>
      <c r="AR46" s="3286"/>
      <c r="AS46" s="3286"/>
      <c r="AT46" s="3283"/>
      <c r="AU46" s="3283"/>
      <c r="AV46" s="3283"/>
      <c r="AW46" s="3309"/>
      <c r="AX46" s="3309"/>
      <c r="AY46" s="3289"/>
      <c r="AZ46" s="3289"/>
      <c r="BA46" s="3289"/>
      <c r="BB46" s="3289"/>
      <c r="BC46" s="3289"/>
      <c r="BD46" s="3289"/>
      <c r="BE46" s="3289"/>
      <c r="BF46" s="3289"/>
      <c r="BG46" s="3289"/>
      <c r="BH46" s="3297"/>
      <c r="BI46" s="3300"/>
      <c r="BJ46" s="3303"/>
      <c r="BK46" s="3306"/>
      <c r="BL46" s="3289"/>
      <c r="BM46" s="3289"/>
      <c r="BN46" s="3289"/>
      <c r="BO46" s="3289"/>
      <c r="BP46" s="3289"/>
      <c r="BQ46" s="3289"/>
      <c r="BR46" s="3293"/>
    </row>
    <row r="47" spans="1:70" ht="39" customHeight="1" x14ac:dyDescent="0.2">
      <c r="A47" s="3224"/>
      <c r="B47" s="352"/>
      <c r="C47" s="981"/>
      <c r="D47" s="3224"/>
      <c r="E47" s="3232"/>
      <c r="F47" s="3225"/>
      <c r="G47" s="3224"/>
      <c r="H47" s="3232"/>
      <c r="I47" s="3225"/>
      <c r="J47" s="3316"/>
      <c r="K47" s="3317"/>
      <c r="L47" s="3318"/>
      <c r="M47" s="3318"/>
      <c r="N47" s="3318"/>
      <c r="O47" s="3257"/>
      <c r="P47" s="3177"/>
      <c r="Q47" s="3180"/>
      <c r="R47" s="3319"/>
      <c r="S47" s="3242"/>
      <c r="T47" s="3180"/>
      <c r="U47" s="3271"/>
      <c r="V47" s="3247"/>
      <c r="W47" s="1520">
        <v>246521300</v>
      </c>
      <c r="X47" s="1520"/>
      <c r="Y47" s="1520"/>
      <c r="Z47" s="1521" t="s">
        <v>1217</v>
      </c>
      <c r="AA47" s="1505" t="s">
        <v>1307</v>
      </c>
      <c r="AB47" s="3274"/>
      <c r="AC47" s="3268"/>
      <c r="AD47" s="3268"/>
      <c r="AE47" s="3268"/>
      <c r="AF47" s="3268"/>
      <c r="AG47" s="3268"/>
      <c r="AH47" s="3268"/>
      <c r="AI47" s="3268"/>
      <c r="AJ47" s="3268"/>
      <c r="AK47" s="3268"/>
      <c r="AL47" s="3268"/>
      <c r="AM47" s="3268"/>
      <c r="AN47" s="3257"/>
      <c r="AO47" s="3257"/>
      <c r="AP47" s="3283"/>
      <c r="AQ47" s="3283"/>
      <c r="AR47" s="3286"/>
      <c r="AS47" s="3286"/>
      <c r="AT47" s="3283"/>
      <c r="AU47" s="3283"/>
      <c r="AV47" s="3283"/>
      <c r="AW47" s="3309"/>
      <c r="AX47" s="3309"/>
      <c r="AY47" s="3289"/>
      <c r="AZ47" s="3289"/>
      <c r="BA47" s="3289"/>
      <c r="BB47" s="3289"/>
      <c r="BC47" s="3289"/>
      <c r="BD47" s="3289"/>
      <c r="BE47" s="3289"/>
      <c r="BF47" s="3289"/>
      <c r="BG47" s="3289"/>
      <c r="BH47" s="3297"/>
      <c r="BI47" s="3300"/>
      <c r="BJ47" s="3303"/>
      <c r="BK47" s="3306"/>
      <c r="BL47" s="3289"/>
      <c r="BM47" s="3289"/>
      <c r="BN47" s="3289"/>
      <c r="BO47" s="3289"/>
      <c r="BP47" s="3289"/>
      <c r="BQ47" s="3289"/>
      <c r="BR47" s="3293"/>
    </row>
    <row r="48" spans="1:70" ht="43.5" customHeight="1" x14ac:dyDescent="0.2">
      <c r="A48" s="3224"/>
      <c r="B48" s="352"/>
      <c r="C48" s="981"/>
      <c r="D48" s="3224"/>
      <c r="E48" s="3232"/>
      <c r="F48" s="3225"/>
      <c r="G48" s="3224"/>
      <c r="H48" s="3232"/>
      <c r="I48" s="3225"/>
      <c r="J48" s="3316"/>
      <c r="K48" s="3317"/>
      <c r="L48" s="3318"/>
      <c r="M48" s="3318"/>
      <c r="N48" s="3318"/>
      <c r="O48" s="3257"/>
      <c r="P48" s="3177"/>
      <c r="Q48" s="3180"/>
      <c r="R48" s="3319"/>
      <c r="S48" s="3242"/>
      <c r="T48" s="3180"/>
      <c r="U48" s="3271"/>
      <c r="V48" s="3248" t="s">
        <v>1318</v>
      </c>
      <c r="W48" s="1520">
        <v>2018993974</v>
      </c>
      <c r="X48" s="1520"/>
      <c r="Y48" s="1520"/>
      <c r="Z48" s="1521" t="s">
        <v>1210</v>
      </c>
      <c r="AA48" s="1522" t="s">
        <v>1316</v>
      </c>
      <c r="AB48" s="3274"/>
      <c r="AC48" s="3268"/>
      <c r="AD48" s="3268"/>
      <c r="AE48" s="3268"/>
      <c r="AF48" s="3268"/>
      <c r="AG48" s="3268"/>
      <c r="AH48" s="3268"/>
      <c r="AI48" s="3268"/>
      <c r="AJ48" s="3268"/>
      <c r="AK48" s="3268"/>
      <c r="AL48" s="3268"/>
      <c r="AM48" s="3268"/>
      <c r="AN48" s="3257"/>
      <c r="AO48" s="3257"/>
      <c r="AP48" s="3283"/>
      <c r="AQ48" s="3283"/>
      <c r="AR48" s="3286"/>
      <c r="AS48" s="3286"/>
      <c r="AT48" s="3283"/>
      <c r="AU48" s="3283"/>
      <c r="AV48" s="3283"/>
      <c r="AW48" s="3309"/>
      <c r="AX48" s="3309"/>
      <c r="AY48" s="3289"/>
      <c r="AZ48" s="3289"/>
      <c r="BA48" s="3289"/>
      <c r="BB48" s="3289"/>
      <c r="BC48" s="3289"/>
      <c r="BD48" s="3289"/>
      <c r="BE48" s="3289"/>
      <c r="BF48" s="3289"/>
      <c r="BG48" s="3289"/>
      <c r="BH48" s="3297"/>
      <c r="BI48" s="3300"/>
      <c r="BJ48" s="3303"/>
      <c r="BK48" s="3306"/>
      <c r="BL48" s="3289"/>
      <c r="BM48" s="3289"/>
      <c r="BN48" s="3289"/>
      <c r="BO48" s="3289"/>
      <c r="BP48" s="3289"/>
      <c r="BQ48" s="3289"/>
      <c r="BR48" s="3293"/>
    </row>
    <row r="49" spans="1:70" ht="34.5" customHeight="1" x14ac:dyDescent="0.2">
      <c r="A49" s="3224"/>
      <c r="B49" s="352"/>
      <c r="C49" s="981"/>
      <c r="D49" s="3224"/>
      <c r="E49" s="3232"/>
      <c r="F49" s="3225"/>
      <c r="G49" s="3224"/>
      <c r="H49" s="3232"/>
      <c r="I49" s="3225"/>
      <c r="J49" s="3316"/>
      <c r="K49" s="3317"/>
      <c r="L49" s="3318"/>
      <c r="M49" s="3318"/>
      <c r="N49" s="3318"/>
      <c r="O49" s="3257"/>
      <c r="P49" s="3177"/>
      <c r="Q49" s="3180"/>
      <c r="R49" s="3319"/>
      <c r="S49" s="3242"/>
      <c r="T49" s="3180"/>
      <c r="U49" s="3271"/>
      <c r="V49" s="3247"/>
      <c r="W49" s="1520">
        <v>600000000</v>
      </c>
      <c r="X49" s="1520"/>
      <c r="Y49" s="1520"/>
      <c r="Z49" s="1523">
        <v>46</v>
      </c>
      <c r="AA49" s="1522" t="s">
        <v>1275</v>
      </c>
      <c r="AB49" s="3274"/>
      <c r="AC49" s="3268"/>
      <c r="AD49" s="3268"/>
      <c r="AE49" s="3268"/>
      <c r="AF49" s="3268"/>
      <c r="AG49" s="3268"/>
      <c r="AH49" s="3268"/>
      <c r="AI49" s="3268"/>
      <c r="AJ49" s="3268"/>
      <c r="AK49" s="3268"/>
      <c r="AL49" s="3268"/>
      <c r="AM49" s="3268"/>
      <c r="AN49" s="3257"/>
      <c r="AO49" s="3257"/>
      <c r="AP49" s="3283"/>
      <c r="AQ49" s="3283"/>
      <c r="AR49" s="3286"/>
      <c r="AS49" s="3286"/>
      <c r="AT49" s="3283"/>
      <c r="AU49" s="3283"/>
      <c r="AV49" s="3283"/>
      <c r="AW49" s="3309"/>
      <c r="AX49" s="3309"/>
      <c r="AY49" s="3289"/>
      <c r="AZ49" s="3289"/>
      <c r="BA49" s="3289"/>
      <c r="BB49" s="3289"/>
      <c r="BC49" s="3289"/>
      <c r="BD49" s="3289"/>
      <c r="BE49" s="3289"/>
      <c r="BF49" s="3289"/>
      <c r="BG49" s="3289"/>
      <c r="BH49" s="3297"/>
      <c r="BI49" s="3300"/>
      <c r="BJ49" s="3303"/>
      <c r="BK49" s="3306"/>
      <c r="BL49" s="3289"/>
      <c r="BM49" s="3289"/>
      <c r="BN49" s="3289"/>
      <c r="BO49" s="3289"/>
      <c r="BP49" s="3289"/>
      <c r="BQ49" s="3289"/>
      <c r="BR49" s="3293"/>
    </row>
    <row r="50" spans="1:70" ht="60.75" thickBot="1" x14ac:dyDescent="0.25">
      <c r="A50" s="3224"/>
      <c r="B50" s="352"/>
      <c r="C50" s="981"/>
      <c r="D50" s="3224"/>
      <c r="E50" s="3232"/>
      <c r="F50" s="3225"/>
      <c r="G50" s="3224"/>
      <c r="H50" s="3232"/>
      <c r="I50" s="3225"/>
      <c r="J50" s="3316"/>
      <c r="K50" s="3317"/>
      <c r="L50" s="3318"/>
      <c r="M50" s="3318"/>
      <c r="N50" s="3318"/>
      <c r="O50" s="3257"/>
      <c r="P50" s="3177"/>
      <c r="Q50" s="3180"/>
      <c r="R50" s="3319"/>
      <c r="S50" s="3242"/>
      <c r="T50" s="3180"/>
      <c r="U50" s="3271"/>
      <c r="V50" s="1514" t="s">
        <v>1319</v>
      </c>
      <c r="W50" s="1524">
        <v>100000000</v>
      </c>
      <c r="X50" s="1524"/>
      <c r="Y50" s="1524"/>
      <c r="Z50" s="1525" t="s">
        <v>1210</v>
      </c>
      <c r="AA50" s="1517" t="s">
        <v>1316</v>
      </c>
      <c r="AB50" s="3274"/>
      <c r="AC50" s="3268"/>
      <c r="AD50" s="3268"/>
      <c r="AE50" s="3268"/>
      <c r="AF50" s="3268"/>
      <c r="AG50" s="3268"/>
      <c r="AH50" s="3268"/>
      <c r="AI50" s="3268"/>
      <c r="AJ50" s="3268"/>
      <c r="AK50" s="3268"/>
      <c r="AL50" s="3268"/>
      <c r="AM50" s="3268"/>
      <c r="AN50" s="3257"/>
      <c r="AO50" s="3257"/>
      <c r="AP50" s="3283"/>
      <c r="AQ50" s="3283"/>
      <c r="AR50" s="3286"/>
      <c r="AS50" s="3286"/>
      <c r="AT50" s="3283"/>
      <c r="AU50" s="3283"/>
      <c r="AV50" s="3283"/>
      <c r="AW50" s="3309"/>
      <c r="AX50" s="3309"/>
      <c r="AY50" s="3289"/>
      <c r="AZ50" s="3289"/>
      <c r="BA50" s="3289"/>
      <c r="BB50" s="3289"/>
      <c r="BC50" s="3289"/>
      <c r="BD50" s="3289"/>
      <c r="BE50" s="3289"/>
      <c r="BF50" s="3289"/>
      <c r="BG50" s="3289"/>
      <c r="BH50" s="3297"/>
      <c r="BI50" s="3300"/>
      <c r="BJ50" s="3303"/>
      <c r="BK50" s="3306"/>
      <c r="BL50" s="3289"/>
      <c r="BM50" s="3289"/>
      <c r="BN50" s="3289"/>
      <c r="BO50" s="3289"/>
      <c r="BP50" s="3289"/>
      <c r="BQ50" s="3289"/>
      <c r="BR50" s="3293"/>
    </row>
    <row r="51" spans="1:70" ht="54.75" customHeight="1" x14ac:dyDescent="0.2">
      <c r="A51" s="3224"/>
      <c r="B51" s="352"/>
      <c r="C51" s="981"/>
      <c r="D51" s="3224"/>
      <c r="E51" s="3232"/>
      <c r="F51" s="3225"/>
      <c r="G51" s="3224"/>
      <c r="H51" s="3232"/>
      <c r="I51" s="3225"/>
      <c r="J51" s="1526">
        <v>60</v>
      </c>
      <c r="K51" s="3196" t="s">
        <v>1320</v>
      </c>
      <c r="L51" s="3179" t="s">
        <v>1321</v>
      </c>
      <c r="M51" s="3176">
        <v>12</v>
      </c>
      <c r="N51" s="3176">
        <v>3</v>
      </c>
      <c r="O51" s="3257"/>
      <c r="P51" s="3177"/>
      <c r="Q51" s="3180"/>
      <c r="R51" s="3314">
        <f>SUM(W51:W52)/S38</f>
        <v>0.18553535811651778</v>
      </c>
      <c r="S51" s="3242"/>
      <c r="T51" s="3180"/>
      <c r="U51" s="3271"/>
      <c r="V51" s="1510" t="s">
        <v>1322</v>
      </c>
      <c r="W51" s="1527">
        <v>224581000</v>
      </c>
      <c r="X51" s="1527"/>
      <c r="Y51" s="1527"/>
      <c r="Z51" s="1512">
        <v>20</v>
      </c>
      <c r="AA51" s="1513" t="s">
        <v>1323</v>
      </c>
      <c r="AB51" s="3274"/>
      <c r="AC51" s="3268"/>
      <c r="AD51" s="3268"/>
      <c r="AE51" s="3268"/>
      <c r="AF51" s="3268"/>
      <c r="AG51" s="3268"/>
      <c r="AH51" s="3268"/>
      <c r="AI51" s="3268"/>
      <c r="AJ51" s="3268"/>
      <c r="AK51" s="3268"/>
      <c r="AL51" s="3268"/>
      <c r="AM51" s="3268"/>
      <c r="AN51" s="3257"/>
      <c r="AO51" s="3257"/>
      <c r="AP51" s="3283"/>
      <c r="AQ51" s="3283"/>
      <c r="AR51" s="3286"/>
      <c r="AS51" s="3286"/>
      <c r="AT51" s="3283"/>
      <c r="AU51" s="3283"/>
      <c r="AV51" s="3283"/>
      <c r="AW51" s="3309"/>
      <c r="AX51" s="3309"/>
      <c r="AY51" s="3289"/>
      <c r="AZ51" s="3289"/>
      <c r="BA51" s="3289"/>
      <c r="BB51" s="3289"/>
      <c r="BC51" s="3289"/>
      <c r="BD51" s="3289"/>
      <c r="BE51" s="3289"/>
      <c r="BF51" s="3289"/>
      <c r="BG51" s="3289"/>
      <c r="BH51" s="3297"/>
      <c r="BI51" s="3300"/>
      <c r="BJ51" s="3303"/>
      <c r="BK51" s="3306"/>
      <c r="BL51" s="3289"/>
      <c r="BM51" s="3289"/>
      <c r="BN51" s="3289"/>
      <c r="BO51" s="3289"/>
      <c r="BP51" s="3289"/>
      <c r="BQ51" s="3289"/>
      <c r="BR51" s="3293"/>
    </row>
    <row r="52" spans="1:70" ht="57.75" customHeight="1" thickBot="1" x14ac:dyDescent="0.25">
      <c r="A52" s="3224"/>
      <c r="B52" s="352"/>
      <c r="C52" s="981"/>
      <c r="D52" s="3224"/>
      <c r="E52" s="3232"/>
      <c r="F52" s="3225"/>
      <c r="G52" s="3224"/>
      <c r="H52" s="3232"/>
      <c r="I52" s="3225"/>
      <c r="J52" s="1528"/>
      <c r="K52" s="3198"/>
      <c r="L52" s="3181"/>
      <c r="M52" s="3178"/>
      <c r="N52" s="3178"/>
      <c r="O52" s="3257"/>
      <c r="P52" s="3177"/>
      <c r="Q52" s="3180"/>
      <c r="R52" s="3315"/>
      <c r="S52" s="3242"/>
      <c r="T52" s="3180"/>
      <c r="U52" s="3271"/>
      <c r="V52" s="1514" t="s">
        <v>1324</v>
      </c>
      <c r="W52" s="1524">
        <v>3668941717</v>
      </c>
      <c r="X52" s="1524">
        <v>141664723</v>
      </c>
      <c r="Y52" s="1524">
        <v>0</v>
      </c>
      <c r="Z52" s="1516">
        <v>46</v>
      </c>
      <c r="AA52" s="1517" t="s">
        <v>1275</v>
      </c>
      <c r="AB52" s="3274"/>
      <c r="AC52" s="3268"/>
      <c r="AD52" s="3268"/>
      <c r="AE52" s="3268"/>
      <c r="AF52" s="3268"/>
      <c r="AG52" s="3268"/>
      <c r="AH52" s="3268"/>
      <c r="AI52" s="3268"/>
      <c r="AJ52" s="3268"/>
      <c r="AK52" s="3268"/>
      <c r="AL52" s="3268"/>
      <c r="AM52" s="3268"/>
      <c r="AN52" s="3257"/>
      <c r="AO52" s="3257"/>
      <c r="AP52" s="3283"/>
      <c r="AQ52" s="3283"/>
      <c r="AR52" s="3286"/>
      <c r="AS52" s="3286"/>
      <c r="AT52" s="3283"/>
      <c r="AU52" s="3283"/>
      <c r="AV52" s="3283"/>
      <c r="AW52" s="3309"/>
      <c r="AX52" s="3309"/>
      <c r="AY52" s="3289"/>
      <c r="AZ52" s="3289"/>
      <c r="BA52" s="3289"/>
      <c r="BB52" s="3289"/>
      <c r="BC52" s="3289"/>
      <c r="BD52" s="3289"/>
      <c r="BE52" s="3289"/>
      <c r="BF52" s="3289"/>
      <c r="BG52" s="3289"/>
      <c r="BH52" s="3297"/>
      <c r="BI52" s="3300"/>
      <c r="BJ52" s="3303"/>
      <c r="BK52" s="3306"/>
      <c r="BL52" s="3289"/>
      <c r="BM52" s="3289"/>
      <c r="BN52" s="3289"/>
      <c r="BO52" s="3289"/>
      <c r="BP52" s="3289"/>
      <c r="BQ52" s="3289"/>
      <c r="BR52" s="3293"/>
    </row>
    <row r="53" spans="1:70" ht="60.75" customHeight="1" x14ac:dyDescent="0.2">
      <c r="A53" s="3224"/>
      <c r="B53" s="352"/>
      <c r="C53" s="981"/>
      <c r="D53" s="3224"/>
      <c r="E53" s="3232"/>
      <c r="F53" s="3225"/>
      <c r="G53" s="3224"/>
      <c r="H53" s="3232"/>
      <c r="I53" s="3225"/>
      <c r="J53" s="1529">
        <v>62</v>
      </c>
      <c r="K53" s="3179" t="s">
        <v>1325</v>
      </c>
      <c r="L53" s="3179" t="s">
        <v>1326</v>
      </c>
      <c r="M53" s="3176">
        <v>2</v>
      </c>
      <c r="N53" s="3176">
        <v>3</v>
      </c>
      <c r="O53" s="3257"/>
      <c r="P53" s="3177"/>
      <c r="Q53" s="3180"/>
      <c r="R53" s="3314">
        <f>SUM(W53:W54)/S38</f>
        <v>4.765231169871656E-2</v>
      </c>
      <c r="S53" s="3242"/>
      <c r="T53" s="3180"/>
      <c r="U53" s="3271"/>
      <c r="V53" s="1510" t="s">
        <v>1327</v>
      </c>
      <c r="W53" s="1527">
        <v>820000000</v>
      </c>
      <c r="X53" s="1527">
        <v>190152481</v>
      </c>
      <c r="Y53" s="1527">
        <v>0</v>
      </c>
      <c r="Z53" s="1512">
        <v>46</v>
      </c>
      <c r="AA53" s="1513" t="s">
        <v>1285</v>
      </c>
      <c r="AB53" s="3274"/>
      <c r="AC53" s="3268"/>
      <c r="AD53" s="3268"/>
      <c r="AE53" s="3268"/>
      <c r="AF53" s="3268"/>
      <c r="AG53" s="3268"/>
      <c r="AH53" s="3268"/>
      <c r="AI53" s="3268"/>
      <c r="AJ53" s="3268"/>
      <c r="AK53" s="3268"/>
      <c r="AL53" s="3268"/>
      <c r="AM53" s="3268"/>
      <c r="AN53" s="3257"/>
      <c r="AO53" s="3257"/>
      <c r="AP53" s="3283"/>
      <c r="AQ53" s="3283"/>
      <c r="AR53" s="3286"/>
      <c r="AS53" s="3286"/>
      <c r="AT53" s="3283"/>
      <c r="AU53" s="3283"/>
      <c r="AV53" s="3283"/>
      <c r="AW53" s="3309"/>
      <c r="AX53" s="3309"/>
      <c r="AY53" s="3289"/>
      <c r="AZ53" s="3289"/>
      <c r="BA53" s="3289"/>
      <c r="BB53" s="3289"/>
      <c r="BC53" s="3289"/>
      <c r="BD53" s="3289"/>
      <c r="BE53" s="3289"/>
      <c r="BF53" s="3289"/>
      <c r="BG53" s="3289"/>
      <c r="BH53" s="3297"/>
      <c r="BI53" s="3300"/>
      <c r="BJ53" s="3303"/>
      <c r="BK53" s="3306"/>
      <c r="BL53" s="3289"/>
      <c r="BM53" s="3289"/>
      <c r="BN53" s="3289"/>
      <c r="BO53" s="3289"/>
      <c r="BP53" s="3289"/>
      <c r="BQ53" s="3289"/>
      <c r="BR53" s="3293"/>
    </row>
    <row r="54" spans="1:70" ht="81" customHeight="1" thickBot="1" x14ac:dyDescent="0.25">
      <c r="A54" s="3224"/>
      <c r="B54" s="352"/>
      <c r="C54" s="981"/>
      <c r="D54" s="3224"/>
      <c r="E54" s="3232"/>
      <c r="F54" s="3225"/>
      <c r="G54" s="3224"/>
      <c r="H54" s="3232"/>
      <c r="I54" s="3225"/>
      <c r="J54" s="1530"/>
      <c r="K54" s="3181"/>
      <c r="L54" s="3181"/>
      <c r="M54" s="3178"/>
      <c r="N54" s="3178"/>
      <c r="O54" s="3257"/>
      <c r="P54" s="3177"/>
      <c r="Q54" s="3180"/>
      <c r="R54" s="3315"/>
      <c r="S54" s="3242"/>
      <c r="T54" s="3180"/>
      <c r="U54" s="3271"/>
      <c r="V54" s="1514" t="s">
        <v>1328</v>
      </c>
      <c r="W54" s="1524">
        <v>180000000</v>
      </c>
      <c r="X54" s="1524"/>
      <c r="Y54" s="1524"/>
      <c r="Z54" s="1516">
        <v>46</v>
      </c>
      <c r="AA54" s="1517" t="s">
        <v>1285</v>
      </c>
      <c r="AB54" s="3274"/>
      <c r="AC54" s="3268"/>
      <c r="AD54" s="3268"/>
      <c r="AE54" s="3268"/>
      <c r="AF54" s="3268"/>
      <c r="AG54" s="3268"/>
      <c r="AH54" s="3268"/>
      <c r="AI54" s="3268"/>
      <c r="AJ54" s="3268"/>
      <c r="AK54" s="3268"/>
      <c r="AL54" s="3268"/>
      <c r="AM54" s="3268"/>
      <c r="AN54" s="3257"/>
      <c r="AO54" s="3257"/>
      <c r="AP54" s="3283"/>
      <c r="AQ54" s="3283"/>
      <c r="AR54" s="3286"/>
      <c r="AS54" s="3286"/>
      <c r="AT54" s="3283"/>
      <c r="AU54" s="3283"/>
      <c r="AV54" s="3283"/>
      <c r="AW54" s="3309"/>
      <c r="AX54" s="3309"/>
      <c r="AY54" s="3289"/>
      <c r="AZ54" s="3289"/>
      <c r="BA54" s="3289"/>
      <c r="BB54" s="3289"/>
      <c r="BC54" s="3289"/>
      <c r="BD54" s="3289"/>
      <c r="BE54" s="3289"/>
      <c r="BF54" s="3289"/>
      <c r="BG54" s="3289"/>
      <c r="BH54" s="3297"/>
      <c r="BI54" s="3300"/>
      <c r="BJ54" s="3303"/>
      <c r="BK54" s="3306"/>
      <c r="BL54" s="3289"/>
      <c r="BM54" s="3289"/>
      <c r="BN54" s="3289"/>
      <c r="BO54" s="3289"/>
      <c r="BP54" s="3289"/>
      <c r="BQ54" s="3289"/>
      <c r="BR54" s="3293"/>
    </row>
    <row r="55" spans="1:70" ht="87" customHeight="1" thickBot="1" x14ac:dyDescent="0.25">
      <c r="A55" s="3224"/>
      <c r="B55" s="352"/>
      <c r="C55" s="981"/>
      <c r="D55" s="3224"/>
      <c r="E55" s="3232"/>
      <c r="F55" s="3225"/>
      <c r="G55" s="3224"/>
      <c r="H55" s="3232"/>
      <c r="I55" s="3225"/>
      <c r="J55" s="1531">
        <v>63</v>
      </c>
      <c r="K55" s="1532" t="s">
        <v>1329</v>
      </c>
      <c r="L55" s="1532" t="s">
        <v>1330</v>
      </c>
      <c r="M55" s="1471">
        <v>250</v>
      </c>
      <c r="N55" s="1533">
        <v>0</v>
      </c>
      <c r="O55" s="3257"/>
      <c r="P55" s="3177"/>
      <c r="Q55" s="3180"/>
      <c r="R55" s="1498">
        <f>SUM(W55:W55)/S38</f>
        <v>0.14295693509614968</v>
      </c>
      <c r="S55" s="3242"/>
      <c r="T55" s="3180"/>
      <c r="U55" s="3271"/>
      <c r="V55" s="1534" t="s">
        <v>1331</v>
      </c>
      <c r="W55" s="1535">
        <v>3000000000</v>
      </c>
      <c r="X55" s="1535"/>
      <c r="Y55" s="1535"/>
      <c r="Z55" s="1536">
        <v>46</v>
      </c>
      <c r="AA55" s="1537" t="s">
        <v>1285</v>
      </c>
      <c r="AB55" s="3274"/>
      <c r="AC55" s="3268"/>
      <c r="AD55" s="3268"/>
      <c r="AE55" s="3268"/>
      <c r="AF55" s="3268"/>
      <c r="AG55" s="3268"/>
      <c r="AH55" s="3268"/>
      <c r="AI55" s="3268"/>
      <c r="AJ55" s="3268"/>
      <c r="AK55" s="3268"/>
      <c r="AL55" s="3268"/>
      <c r="AM55" s="3268"/>
      <c r="AN55" s="3257"/>
      <c r="AO55" s="3257"/>
      <c r="AP55" s="3283"/>
      <c r="AQ55" s="3283"/>
      <c r="AR55" s="3286"/>
      <c r="AS55" s="3286"/>
      <c r="AT55" s="3283"/>
      <c r="AU55" s="3283"/>
      <c r="AV55" s="3283"/>
      <c r="AW55" s="3309"/>
      <c r="AX55" s="3309"/>
      <c r="AY55" s="3289"/>
      <c r="AZ55" s="3289"/>
      <c r="BA55" s="3289"/>
      <c r="BB55" s="3289"/>
      <c r="BC55" s="3289"/>
      <c r="BD55" s="3289"/>
      <c r="BE55" s="3289"/>
      <c r="BF55" s="3289"/>
      <c r="BG55" s="3289"/>
      <c r="BH55" s="3297"/>
      <c r="BI55" s="3300"/>
      <c r="BJ55" s="3303"/>
      <c r="BK55" s="3306"/>
      <c r="BL55" s="3289"/>
      <c r="BM55" s="3289"/>
      <c r="BN55" s="3289"/>
      <c r="BO55" s="3289"/>
      <c r="BP55" s="3289"/>
      <c r="BQ55" s="3289"/>
      <c r="BR55" s="3293"/>
    </row>
    <row r="56" spans="1:70" ht="92.25" customHeight="1" thickBot="1" x14ac:dyDescent="0.25">
      <c r="A56" s="3224"/>
      <c r="B56" s="352"/>
      <c r="C56" s="981"/>
      <c r="D56" s="3224"/>
      <c r="E56" s="3232"/>
      <c r="F56" s="3225"/>
      <c r="G56" s="3224"/>
      <c r="H56" s="3232"/>
      <c r="I56" s="3225"/>
      <c r="J56" s="1530">
        <v>64</v>
      </c>
      <c r="K56" s="1532" t="s">
        <v>1332</v>
      </c>
      <c r="L56" s="291" t="s">
        <v>1333</v>
      </c>
      <c r="M56" s="420">
        <v>1</v>
      </c>
      <c r="N56" s="1417">
        <v>0</v>
      </c>
      <c r="O56" s="3258"/>
      <c r="P56" s="3178"/>
      <c r="Q56" s="3181"/>
      <c r="R56" s="1498">
        <f>W56/S38</f>
        <v>1.4206271564096741E-3</v>
      </c>
      <c r="S56" s="3189"/>
      <c r="T56" s="3181"/>
      <c r="U56" s="3272"/>
      <c r="V56" s="1538" t="s">
        <v>1334</v>
      </c>
      <c r="W56" s="1539">
        <v>29812345</v>
      </c>
      <c r="X56" s="1539"/>
      <c r="Y56" s="1539"/>
      <c r="Z56" s="1540">
        <v>20</v>
      </c>
      <c r="AA56" s="1541" t="s">
        <v>1335</v>
      </c>
      <c r="AB56" s="3274"/>
      <c r="AC56" s="3268"/>
      <c r="AD56" s="3268"/>
      <c r="AE56" s="3268"/>
      <c r="AF56" s="3268"/>
      <c r="AG56" s="3268"/>
      <c r="AH56" s="3268"/>
      <c r="AI56" s="3268"/>
      <c r="AJ56" s="3268"/>
      <c r="AK56" s="3268"/>
      <c r="AL56" s="3268"/>
      <c r="AM56" s="3268"/>
      <c r="AN56" s="3257"/>
      <c r="AO56" s="3257"/>
      <c r="AP56" s="3283"/>
      <c r="AQ56" s="3283"/>
      <c r="AR56" s="3286"/>
      <c r="AS56" s="3286"/>
      <c r="AT56" s="3283"/>
      <c r="AU56" s="3283"/>
      <c r="AV56" s="3283"/>
      <c r="AW56" s="3309"/>
      <c r="AX56" s="3309"/>
      <c r="AY56" s="3289"/>
      <c r="AZ56" s="3289"/>
      <c r="BA56" s="3289"/>
      <c r="BB56" s="3289"/>
      <c r="BC56" s="3289"/>
      <c r="BD56" s="3289"/>
      <c r="BE56" s="3289"/>
      <c r="BF56" s="3289"/>
      <c r="BG56" s="3289"/>
      <c r="BH56" s="3297"/>
      <c r="BI56" s="3300"/>
      <c r="BJ56" s="3303"/>
      <c r="BK56" s="3306"/>
      <c r="BL56" s="3289"/>
      <c r="BM56" s="3289"/>
      <c r="BN56" s="3289"/>
      <c r="BO56" s="3289"/>
      <c r="BP56" s="3289"/>
      <c r="BQ56" s="3289"/>
      <c r="BR56" s="3293"/>
    </row>
    <row r="57" spans="1:70" s="367" customFormat="1" ht="108.75" customHeight="1" thickBot="1" x14ac:dyDescent="0.25">
      <c r="A57" s="3226"/>
      <c r="B57" s="997"/>
      <c r="C57" s="1542"/>
      <c r="D57" s="3226"/>
      <c r="E57" s="3233"/>
      <c r="F57" s="3227"/>
      <c r="G57" s="3226"/>
      <c r="H57" s="3233"/>
      <c r="I57" s="3227"/>
      <c r="J57" s="1543">
        <v>59</v>
      </c>
      <c r="K57" s="1532" t="s">
        <v>1313</v>
      </c>
      <c r="L57" s="291" t="s">
        <v>1314</v>
      </c>
      <c r="M57" s="1469">
        <v>1</v>
      </c>
      <c r="N57" s="1417">
        <v>0</v>
      </c>
      <c r="O57" s="1471" t="s">
        <v>1336</v>
      </c>
      <c r="P57" s="1544" t="s">
        <v>1337</v>
      </c>
      <c r="Q57" s="1545" t="s">
        <v>1338</v>
      </c>
      <c r="R57" s="1546">
        <f>W57/S57</f>
        <v>1</v>
      </c>
      <c r="S57" s="1547">
        <f>SUM(W57)</f>
        <v>815853756</v>
      </c>
      <c r="T57" s="1545" t="s">
        <v>1339</v>
      </c>
      <c r="U57" s="1548" t="s">
        <v>1340</v>
      </c>
      <c r="V57" s="1534" t="s">
        <v>1341</v>
      </c>
      <c r="W57" s="1539">
        <v>815853756</v>
      </c>
      <c r="X57" s="1539">
        <v>803071603</v>
      </c>
      <c r="Y57" s="1539">
        <v>0</v>
      </c>
      <c r="Z57" s="1549">
        <v>56</v>
      </c>
      <c r="AA57" s="1541" t="s">
        <v>1342</v>
      </c>
      <c r="AB57" s="3275"/>
      <c r="AC57" s="3269"/>
      <c r="AD57" s="3269"/>
      <c r="AE57" s="3269"/>
      <c r="AF57" s="3269"/>
      <c r="AG57" s="3269"/>
      <c r="AH57" s="3269"/>
      <c r="AI57" s="3269"/>
      <c r="AJ57" s="3269"/>
      <c r="AK57" s="3269"/>
      <c r="AL57" s="3269"/>
      <c r="AM57" s="3269"/>
      <c r="AN57" s="3281"/>
      <c r="AO57" s="3281"/>
      <c r="AP57" s="3284"/>
      <c r="AQ57" s="3284"/>
      <c r="AR57" s="3287"/>
      <c r="AS57" s="3287"/>
      <c r="AT57" s="3284"/>
      <c r="AU57" s="3284"/>
      <c r="AV57" s="3284"/>
      <c r="AW57" s="3310"/>
      <c r="AX57" s="3310"/>
      <c r="AY57" s="3290"/>
      <c r="AZ57" s="3290"/>
      <c r="BA57" s="3290"/>
      <c r="BB57" s="3290"/>
      <c r="BC57" s="3290"/>
      <c r="BD57" s="3290"/>
      <c r="BE57" s="3290"/>
      <c r="BF57" s="3290"/>
      <c r="BG57" s="3290"/>
      <c r="BH57" s="3298"/>
      <c r="BI57" s="3301"/>
      <c r="BJ57" s="3304"/>
      <c r="BK57" s="3307"/>
      <c r="BL57" s="3290"/>
      <c r="BM57" s="3290"/>
      <c r="BN57" s="3290"/>
      <c r="BO57" s="3290"/>
      <c r="BP57" s="3290"/>
      <c r="BQ57" s="3290"/>
      <c r="BR57" s="3294"/>
    </row>
    <row r="58" spans="1:70" ht="27" customHeight="1" thickBot="1" x14ac:dyDescent="0.25">
      <c r="A58" s="3311" t="s">
        <v>1343</v>
      </c>
      <c r="B58" s="3312"/>
      <c r="C58" s="3312"/>
      <c r="D58" s="3312"/>
      <c r="E58" s="3312"/>
      <c r="F58" s="3312"/>
      <c r="G58" s="3312"/>
      <c r="H58" s="3312"/>
      <c r="I58" s="3312"/>
      <c r="J58" s="3312"/>
      <c r="K58" s="3312"/>
      <c r="L58" s="3312"/>
      <c r="M58" s="3312"/>
      <c r="N58" s="3312"/>
      <c r="O58" s="3312"/>
      <c r="P58" s="3312"/>
      <c r="Q58" s="3313"/>
      <c r="R58" s="1550"/>
      <c r="S58" s="1551">
        <f>SUM(S13:S57)</f>
        <v>32534972632</v>
      </c>
      <c r="T58" s="1552"/>
      <c r="U58" s="1553"/>
      <c r="V58" s="1554"/>
      <c r="W58" s="1551">
        <f>SUM(W13:W57)</f>
        <v>32534972632</v>
      </c>
      <c r="X58" s="1551">
        <f>SUM(X13:X57)</f>
        <v>2739136239</v>
      </c>
      <c r="Y58" s="1551">
        <f>SUM(Y13:Y57)</f>
        <v>292322346.65999997</v>
      </c>
      <c r="Z58" s="1555"/>
      <c r="AA58" s="1556"/>
      <c r="AB58" s="1557"/>
      <c r="AC58" s="1558"/>
      <c r="AD58" s="1558"/>
      <c r="AE58" s="1558"/>
      <c r="AF58" s="1558"/>
      <c r="AG58" s="1558"/>
      <c r="AH58" s="1558"/>
      <c r="AI58" s="1558"/>
      <c r="AJ58" s="1558"/>
      <c r="AK58" s="1558"/>
      <c r="AL58" s="1558"/>
      <c r="AM58" s="1558"/>
      <c r="AN58" s="1558"/>
      <c r="AO58" s="1558"/>
      <c r="AP58" s="1558"/>
      <c r="AQ58" s="1558"/>
      <c r="AR58" s="1558"/>
      <c r="AS58" s="1558"/>
      <c r="AT58" s="1558"/>
      <c r="AU58" s="1558"/>
      <c r="AV58" s="1558"/>
      <c r="AW58" s="1558"/>
      <c r="AX58" s="1558"/>
      <c r="AY58" s="1558"/>
      <c r="AZ58" s="1558"/>
      <c r="BA58" s="1558"/>
      <c r="BB58" s="1558"/>
      <c r="BC58" s="1558"/>
      <c r="BD58" s="1558"/>
      <c r="BE58" s="1558"/>
      <c r="BF58" s="1558"/>
      <c r="BG58" s="1559"/>
      <c r="BH58" s="1560">
        <f t="shared" ref="BH58:BJ58" si="0">SUM(BH13:BH57)</f>
        <v>110</v>
      </c>
      <c r="BI58" s="1088">
        <f t="shared" si="0"/>
        <v>2739136239</v>
      </c>
      <c r="BJ58" s="1088">
        <f t="shared" si="0"/>
        <v>292322346.65999997</v>
      </c>
      <c r="BK58" s="1561">
        <f>BJ58/BI58</f>
        <v>0.10672063057612666</v>
      </c>
      <c r="BL58" s="1562"/>
      <c r="BM58" s="1558"/>
      <c r="BN58" s="1558"/>
      <c r="BO58" s="1558"/>
      <c r="BP58" s="1558"/>
      <c r="BQ58" s="1558"/>
      <c r="BR58" s="1563"/>
    </row>
    <row r="59" spans="1:70" ht="27" customHeight="1" x14ac:dyDescent="0.2">
      <c r="A59" s="1564"/>
      <c r="B59" s="1564"/>
      <c r="C59" s="1564"/>
      <c r="D59" s="1564"/>
      <c r="E59" s="1564"/>
      <c r="F59" s="1564"/>
      <c r="G59" s="1564"/>
      <c r="H59" s="1564"/>
      <c r="I59" s="1564"/>
      <c r="J59" s="1564"/>
      <c r="K59" s="1564"/>
      <c r="L59" s="1564"/>
      <c r="M59" s="1564"/>
      <c r="N59" s="1564"/>
      <c r="O59" s="1564"/>
      <c r="P59" s="1564"/>
      <c r="Q59" s="1564"/>
      <c r="R59" s="1565"/>
      <c r="S59" s="1565"/>
      <c r="T59" s="1566"/>
      <c r="U59" s="1566"/>
      <c r="V59" s="1566"/>
      <c r="W59" s="1565"/>
      <c r="X59" s="1565"/>
      <c r="Y59" s="1565"/>
      <c r="Z59" s="1567"/>
      <c r="AA59" s="1568"/>
      <c r="AB59" s="1567"/>
      <c r="AC59" s="1567"/>
      <c r="AD59" s="1567"/>
      <c r="AE59" s="1567"/>
      <c r="AF59" s="1567"/>
      <c r="AG59" s="1567"/>
      <c r="AH59" s="1567"/>
      <c r="AI59" s="1567"/>
      <c r="AJ59" s="1567"/>
      <c r="AK59" s="1567"/>
      <c r="AL59" s="1567"/>
      <c r="AM59" s="1567"/>
      <c r="AN59" s="1567"/>
      <c r="AO59" s="1567"/>
      <c r="AP59" s="1567"/>
      <c r="AQ59" s="1567"/>
      <c r="AR59" s="1567"/>
      <c r="AS59" s="1567"/>
      <c r="AT59" s="1567"/>
      <c r="AU59" s="1567"/>
      <c r="AV59" s="1567"/>
      <c r="AW59" s="1567"/>
      <c r="AX59" s="1567"/>
      <c r="AY59" s="1567"/>
      <c r="AZ59" s="1567"/>
      <c r="BA59" s="1567"/>
      <c r="BB59" s="1567"/>
      <c r="BC59" s="1567"/>
      <c r="BD59" s="1567"/>
      <c r="BE59" s="1567"/>
      <c r="BF59" s="1567"/>
      <c r="BG59" s="1567"/>
      <c r="BH59" s="1567"/>
      <c r="BI59" s="1567"/>
      <c r="BJ59" s="1567"/>
      <c r="BK59" s="1567"/>
      <c r="BL59" s="1567"/>
      <c r="BM59" s="1567"/>
      <c r="BN59" s="1567"/>
      <c r="BO59" s="1567"/>
      <c r="BP59" s="1567"/>
      <c r="BQ59" s="1567"/>
      <c r="BR59" s="1567"/>
    </row>
    <row r="60" spans="1:70" ht="27" customHeight="1" x14ac:dyDescent="0.2">
      <c r="A60" s="1564"/>
      <c r="B60" s="1564"/>
      <c r="C60" s="1564"/>
      <c r="D60" s="1564"/>
      <c r="E60" s="1564"/>
      <c r="F60" s="1564"/>
      <c r="G60" s="1564"/>
      <c r="H60" s="1564"/>
      <c r="I60" s="1564"/>
      <c r="J60" s="1564"/>
      <c r="K60" s="1564"/>
      <c r="L60" s="1564"/>
      <c r="M60" s="1564"/>
      <c r="N60" s="1564"/>
      <c r="O60" s="1564"/>
      <c r="P60" s="1564"/>
      <c r="Q60" s="1564"/>
      <c r="R60" s="1565"/>
      <c r="S60" s="1565"/>
      <c r="T60" s="1566"/>
      <c r="U60" s="1566"/>
      <c r="V60" s="1566"/>
      <c r="W60" s="1565"/>
      <c r="X60" s="1565"/>
      <c r="Y60" s="1565"/>
      <c r="Z60" s="1567"/>
      <c r="AA60" s="1568"/>
      <c r="AB60" s="1567"/>
      <c r="AC60" s="1567"/>
      <c r="AD60" s="1567"/>
      <c r="AE60" s="1567"/>
      <c r="AF60" s="1567"/>
      <c r="AG60" s="1567"/>
      <c r="AH60" s="1567"/>
      <c r="AI60" s="1567"/>
      <c r="AJ60" s="1567"/>
      <c r="AK60" s="1567"/>
      <c r="AL60" s="1567"/>
      <c r="AM60" s="1567"/>
      <c r="AN60" s="1567"/>
      <c r="AO60" s="1567"/>
      <c r="AP60" s="1567"/>
      <c r="AQ60" s="1567"/>
      <c r="AR60" s="1567"/>
      <c r="AS60" s="1567"/>
      <c r="AT60" s="1567"/>
      <c r="AU60" s="1567"/>
      <c r="AV60" s="1567"/>
      <c r="AW60" s="1567"/>
      <c r="AX60" s="1567"/>
      <c r="AY60" s="1567"/>
      <c r="AZ60" s="1567"/>
      <c r="BA60" s="1567"/>
      <c r="BB60" s="1567"/>
      <c r="BC60" s="1567"/>
      <c r="BD60" s="1567"/>
      <c r="BE60" s="1567"/>
      <c r="BF60" s="1567"/>
      <c r="BG60" s="1567"/>
      <c r="BH60" s="1567"/>
      <c r="BI60" s="1567"/>
      <c r="BJ60" s="1567"/>
      <c r="BK60" s="1567"/>
      <c r="BL60" s="1567"/>
      <c r="BM60" s="1567"/>
      <c r="BN60" s="1567"/>
      <c r="BO60" s="1567"/>
      <c r="BP60" s="1567"/>
      <c r="BQ60" s="1567"/>
      <c r="BR60" s="1567"/>
    </row>
    <row r="61" spans="1:70" ht="27" customHeight="1" x14ac:dyDescent="0.2">
      <c r="A61" s="1564"/>
      <c r="B61" s="1564"/>
      <c r="C61" s="1564"/>
      <c r="D61" s="1564"/>
      <c r="E61" s="1564"/>
      <c r="F61" s="1564"/>
      <c r="G61" s="1564"/>
      <c r="H61" s="1564"/>
      <c r="I61" s="1564"/>
      <c r="J61" s="1564"/>
      <c r="K61" s="1564"/>
      <c r="L61" s="1564"/>
      <c r="M61" s="1564"/>
      <c r="N61" s="1564"/>
      <c r="O61" s="1564"/>
      <c r="P61" s="1564"/>
      <c r="Q61" s="1564"/>
      <c r="R61" s="1565"/>
      <c r="S61" s="1565"/>
      <c r="T61" s="1566"/>
      <c r="U61" s="1566"/>
      <c r="V61" s="1566"/>
      <c r="W61" s="1565"/>
      <c r="X61" s="1565"/>
      <c r="Y61" s="1565"/>
      <c r="Z61" s="1567"/>
      <c r="AA61" s="1568"/>
      <c r="AB61" s="1567"/>
      <c r="AC61" s="1567"/>
      <c r="AD61" s="1567"/>
      <c r="AE61" s="1567"/>
      <c r="AF61" s="1567"/>
      <c r="AG61" s="1567"/>
      <c r="AH61" s="1567"/>
      <c r="AI61" s="1567"/>
      <c r="AJ61" s="1567"/>
      <c r="AK61" s="1567"/>
      <c r="AL61" s="1567"/>
      <c r="AM61" s="1567"/>
      <c r="AN61" s="1567"/>
      <c r="AO61" s="1567"/>
      <c r="AP61" s="1567"/>
      <c r="AQ61" s="1567"/>
      <c r="AR61" s="1567"/>
      <c r="AS61" s="1567"/>
      <c r="AT61" s="1567"/>
      <c r="AU61" s="1567"/>
      <c r="AV61" s="1567"/>
      <c r="AW61" s="1567"/>
      <c r="AX61" s="1567"/>
      <c r="AY61" s="1567"/>
      <c r="AZ61" s="1567"/>
      <c r="BA61" s="1567"/>
      <c r="BB61" s="1567"/>
      <c r="BC61" s="1567"/>
      <c r="BD61" s="1567"/>
      <c r="BE61" s="1567"/>
      <c r="BF61" s="1567"/>
      <c r="BG61" s="1567"/>
      <c r="BH61" s="1567"/>
      <c r="BI61" s="1567"/>
      <c r="BJ61" s="1567"/>
      <c r="BK61" s="1567"/>
      <c r="BL61" s="1567"/>
      <c r="BM61" s="1567"/>
      <c r="BN61" s="1567"/>
      <c r="BO61" s="1567"/>
      <c r="BP61" s="1567"/>
      <c r="BQ61" s="1567"/>
      <c r="BR61" s="1567"/>
    </row>
    <row r="62" spans="1:70" ht="15" x14ac:dyDescent="0.25">
      <c r="S62" s="1255"/>
      <c r="W62" s="1256"/>
      <c r="X62" s="1257"/>
    </row>
    <row r="63" spans="1:70" ht="14.25" customHeight="1" x14ac:dyDescent="0.2">
      <c r="W63" s="1255"/>
    </row>
    <row r="65" spans="13:15" ht="15" x14ac:dyDescent="0.25">
      <c r="M65" s="1260" t="s">
        <v>1344</v>
      </c>
      <c r="N65" s="1260"/>
      <c r="O65" s="1570"/>
    </row>
    <row r="66" spans="13:15" x14ac:dyDescent="0.2">
      <c r="M66" s="571" t="s">
        <v>1345</v>
      </c>
    </row>
    <row r="67" spans="13:15" x14ac:dyDescent="0.2">
      <c r="M67" s="571" t="s">
        <v>1346</v>
      </c>
    </row>
  </sheetData>
  <sheetProtection password="F3F4" sheet="1" objects="1" scenarios="1"/>
  <mergeCells count="419">
    <mergeCell ref="A58:Q58"/>
    <mergeCell ref="K51:K52"/>
    <mergeCell ref="L51:L52"/>
    <mergeCell ref="M51:M52"/>
    <mergeCell ref="N51:N52"/>
    <mergeCell ref="R51:R52"/>
    <mergeCell ref="K53:K54"/>
    <mergeCell ref="L53:L54"/>
    <mergeCell ref="M53:M54"/>
    <mergeCell ref="N53:N54"/>
    <mergeCell ref="R53:R54"/>
    <mergeCell ref="A37:A57"/>
    <mergeCell ref="D37:F57"/>
    <mergeCell ref="J45:J50"/>
    <mergeCell ref="K45:K50"/>
    <mergeCell ref="L45:L50"/>
    <mergeCell ref="M45:M50"/>
    <mergeCell ref="N45:N50"/>
    <mergeCell ref="R45:R50"/>
    <mergeCell ref="J43:J44"/>
    <mergeCell ref="K43:K44"/>
    <mergeCell ref="L43:L44"/>
    <mergeCell ref="M43:M44"/>
    <mergeCell ref="N43:N44"/>
    <mergeCell ref="BA38:BA57"/>
    <mergeCell ref="BB38:BB57"/>
    <mergeCell ref="BC38:BC57"/>
    <mergeCell ref="BD38:BD57"/>
    <mergeCell ref="BE38:BE57"/>
    <mergeCell ref="BF38:BF57"/>
    <mergeCell ref="AU38:AU57"/>
    <mergeCell ref="AV38:AV57"/>
    <mergeCell ref="AW38:AW57"/>
    <mergeCell ref="AX38:AX57"/>
    <mergeCell ref="AY38:AY57"/>
    <mergeCell ref="AZ38:AZ57"/>
    <mergeCell ref="BM38:BM57"/>
    <mergeCell ref="BN38:BN57"/>
    <mergeCell ref="BO38:BO57"/>
    <mergeCell ref="BP38:BP57"/>
    <mergeCell ref="BQ38:BQ57"/>
    <mergeCell ref="BR38:BR57"/>
    <mergeCell ref="BG38:BG57"/>
    <mergeCell ref="BH38:BH57"/>
    <mergeCell ref="BI38:BI57"/>
    <mergeCell ref="BJ38:BJ57"/>
    <mergeCell ref="BK38:BK57"/>
    <mergeCell ref="BL38:BL57"/>
    <mergeCell ref="AO38:AO57"/>
    <mergeCell ref="AP38:AP57"/>
    <mergeCell ref="AQ38:AQ57"/>
    <mergeCell ref="AR38:AR57"/>
    <mergeCell ref="AS38:AS57"/>
    <mergeCell ref="AT38:AT57"/>
    <mergeCell ref="AI38:AI57"/>
    <mergeCell ref="AJ38:AJ57"/>
    <mergeCell ref="AK38:AK57"/>
    <mergeCell ref="AL38:AL57"/>
    <mergeCell ref="AM38:AM57"/>
    <mergeCell ref="AN38:AN57"/>
    <mergeCell ref="AC38:AC57"/>
    <mergeCell ref="AD38:AD57"/>
    <mergeCell ref="AE38:AE57"/>
    <mergeCell ref="AF38:AF57"/>
    <mergeCell ref="AG38:AG57"/>
    <mergeCell ref="AH38:AH57"/>
    <mergeCell ref="P38:P56"/>
    <mergeCell ref="Q38:Q56"/>
    <mergeCell ref="S38:S56"/>
    <mergeCell ref="T38:T56"/>
    <mergeCell ref="U38:U56"/>
    <mergeCell ref="AB38:AB57"/>
    <mergeCell ref="V40:V41"/>
    <mergeCell ref="V46:V47"/>
    <mergeCell ref="V48:V49"/>
    <mergeCell ref="R43:R44"/>
    <mergeCell ref="AB37:BR37"/>
    <mergeCell ref="G38:I57"/>
    <mergeCell ref="J38:J42"/>
    <mergeCell ref="K38:K42"/>
    <mergeCell ref="L38:L42"/>
    <mergeCell ref="M38:M42"/>
    <mergeCell ref="N38:N42"/>
    <mergeCell ref="O38:O56"/>
    <mergeCell ref="BO27:BO36"/>
    <mergeCell ref="BP27:BP36"/>
    <mergeCell ref="BQ27:BQ36"/>
    <mergeCell ref="BR27:BR36"/>
    <mergeCell ref="V29:V30"/>
    <mergeCell ref="J32:J36"/>
    <mergeCell ref="K32:K36"/>
    <mergeCell ref="L32:L36"/>
    <mergeCell ref="M32:M36"/>
    <mergeCell ref="N32:N36"/>
    <mergeCell ref="BI27:BI36"/>
    <mergeCell ref="BJ27:BJ36"/>
    <mergeCell ref="BK27:BK36"/>
    <mergeCell ref="BL27:BL36"/>
    <mergeCell ref="BM27:BM36"/>
    <mergeCell ref="BN27:BN36"/>
    <mergeCell ref="BC27:BC36"/>
    <mergeCell ref="BD27:BD36"/>
    <mergeCell ref="BE27:BE36"/>
    <mergeCell ref="BF27:BF36"/>
    <mergeCell ref="BG27:BG36"/>
    <mergeCell ref="BH27:BH36"/>
    <mergeCell ref="AW27:AW36"/>
    <mergeCell ref="AX27:AX36"/>
    <mergeCell ref="AY27:AY36"/>
    <mergeCell ref="AZ27:AZ36"/>
    <mergeCell ref="BA27:BA36"/>
    <mergeCell ref="BB27:BB36"/>
    <mergeCell ref="AQ27:AQ36"/>
    <mergeCell ref="AR27:AR36"/>
    <mergeCell ref="AS27:AS36"/>
    <mergeCell ref="AT27:AT36"/>
    <mergeCell ref="AU27:AU36"/>
    <mergeCell ref="AV27:AV36"/>
    <mergeCell ref="AJ27:AJ36"/>
    <mergeCell ref="AK27:AL36"/>
    <mergeCell ref="AM27:AM36"/>
    <mergeCell ref="AN27:AN36"/>
    <mergeCell ref="AO27:AO36"/>
    <mergeCell ref="AP27:AP36"/>
    <mergeCell ref="AD27:AD36"/>
    <mergeCell ref="AE27:AE36"/>
    <mergeCell ref="AF27:AF36"/>
    <mergeCell ref="AG27:AG36"/>
    <mergeCell ref="AH27:AH36"/>
    <mergeCell ref="AI27:AI36"/>
    <mergeCell ref="R27:R31"/>
    <mergeCell ref="S27:S36"/>
    <mergeCell ref="T27:T36"/>
    <mergeCell ref="U27:U31"/>
    <mergeCell ref="AB27:AB36"/>
    <mergeCell ref="AC27:AC36"/>
    <mergeCell ref="R32:R36"/>
    <mergeCell ref="U32:U36"/>
    <mergeCell ref="V32:V33"/>
    <mergeCell ref="V34:V35"/>
    <mergeCell ref="K27:K31"/>
    <mergeCell ref="L27:L31"/>
    <mergeCell ref="M27:M31"/>
    <mergeCell ref="N27:N31"/>
    <mergeCell ref="P27:P36"/>
    <mergeCell ref="Q27:Q36"/>
    <mergeCell ref="BP22:BP23"/>
    <mergeCell ref="BQ22:BQ23"/>
    <mergeCell ref="BR22:BR23"/>
    <mergeCell ref="AR24:BR24"/>
    <mergeCell ref="AR22:AR23"/>
    <mergeCell ref="AS22:AS23"/>
    <mergeCell ref="AT22:AT23"/>
    <mergeCell ref="AU22:AU23"/>
    <mergeCell ref="AV22:AV23"/>
    <mergeCell ref="AW22:AW23"/>
    <mergeCell ref="AL22:AL23"/>
    <mergeCell ref="AM22:AM23"/>
    <mergeCell ref="AN22:AN23"/>
    <mergeCell ref="AO22:AO23"/>
    <mergeCell ref="AP22:AP23"/>
    <mergeCell ref="AQ22:AQ23"/>
    <mergeCell ref="AF22:AF23"/>
    <mergeCell ref="AG22:AG23"/>
    <mergeCell ref="A25:A36"/>
    <mergeCell ref="B25:C36"/>
    <mergeCell ref="AR25:BR25"/>
    <mergeCell ref="D26:F36"/>
    <mergeCell ref="AR26:BR26"/>
    <mergeCell ref="J27:J31"/>
    <mergeCell ref="BJ22:BJ23"/>
    <mergeCell ref="BK22:BK23"/>
    <mergeCell ref="BL22:BL23"/>
    <mergeCell ref="BM22:BM23"/>
    <mergeCell ref="BN22:BN23"/>
    <mergeCell ref="BO22:BO23"/>
    <mergeCell ref="BD22:BD23"/>
    <mergeCell ref="BE22:BE23"/>
    <mergeCell ref="BF22:BF23"/>
    <mergeCell ref="BG22:BG23"/>
    <mergeCell ref="BH22:BH23"/>
    <mergeCell ref="BI22:BI23"/>
    <mergeCell ref="AX22:AX23"/>
    <mergeCell ref="AY22:AY23"/>
    <mergeCell ref="AZ22:AZ23"/>
    <mergeCell ref="BA22:BA23"/>
    <mergeCell ref="BB22:BB23"/>
    <mergeCell ref="BC22:BC23"/>
    <mergeCell ref="AH22:AH23"/>
    <mergeCell ref="AI22:AI23"/>
    <mergeCell ref="AJ22:AJ23"/>
    <mergeCell ref="AK22:AK23"/>
    <mergeCell ref="S22:S23"/>
    <mergeCell ref="T22:T23"/>
    <mergeCell ref="AB22:AB23"/>
    <mergeCell ref="AC22:AC23"/>
    <mergeCell ref="AD22:AD23"/>
    <mergeCell ref="AE22:AE23"/>
    <mergeCell ref="BR19:BR20"/>
    <mergeCell ref="J22:J23"/>
    <mergeCell ref="K22:K23"/>
    <mergeCell ref="L22:L23"/>
    <mergeCell ref="M22:M23"/>
    <mergeCell ref="N22:N23"/>
    <mergeCell ref="O22:O23"/>
    <mergeCell ref="P22:P23"/>
    <mergeCell ref="Q22:Q23"/>
    <mergeCell ref="R22:R23"/>
    <mergeCell ref="BL19:BL20"/>
    <mergeCell ref="BM19:BM20"/>
    <mergeCell ref="BN19:BN20"/>
    <mergeCell ref="BO19:BO20"/>
    <mergeCell ref="BP19:BP20"/>
    <mergeCell ref="BQ19:BQ20"/>
    <mergeCell ref="BF19:BF20"/>
    <mergeCell ref="BG19:BG20"/>
    <mergeCell ref="BH19:BH20"/>
    <mergeCell ref="BI19:BI20"/>
    <mergeCell ref="BJ19:BJ20"/>
    <mergeCell ref="BK19:BK20"/>
    <mergeCell ref="AZ19:AZ20"/>
    <mergeCell ref="BA19:BA20"/>
    <mergeCell ref="BB19:BB20"/>
    <mergeCell ref="BC19:BC20"/>
    <mergeCell ref="BD19:BD20"/>
    <mergeCell ref="BE19:BE20"/>
    <mergeCell ref="AT19:AT20"/>
    <mergeCell ref="AU19:AU20"/>
    <mergeCell ref="AV19:AV20"/>
    <mergeCell ref="AW19:AW20"/>
    <mergeCell ref="AX19:AX20"/>
    <mergeCell ref="AY19:AY20"/>
    <mergeCell ref="AN19:AN20"/>
    <mergeCell ref="AO19:AO20"/>
    <mergeCell ref="AP19:AP20"/>
    <mergeCell ref="AQ19:AQ20"/>
    <mergeCell ref="AR19:AR20"/>
    <mergeCell ref="AS19:AS20"/>
    <mergeCell ref="AH19:AH20"/>
    <mergeCell ref="AI19:AI20"/>
    <mergeCell ref="AJ19:AJ20"/>
    <mergeCell ref="AK19:AK20"/>
    <mergeCell ref="AL19:AL20"/>
    <mergeCell ref="AM19:AM20"/>
    <mergeCell ref="AB19:AB20"/>
    <mergeCell ref="AC19:AC20"/>
    <mergeCell ref="AD19:AD20"/>
    <mergeCell ref="AE19:AE20"/>
    <mergeCell ref="AF19:AF20"/>
    <mergeCell ref="AG19:AG20"/>
    <mergeCell ref="V19:V20"/>
    <mergeCell ref="W19:W20"/>
    <mergeCell ref="X19:X20"/>
    <mergeCell ref="Y19:Y20"/>
    <mergeCell ref="Z19:Z20"/>
    <mergeCell ref="AA19:AA20"/>
    <mergeCell ref="O19:O20"/>
    <mergeCell ref="P19:P20"/>
    <mergeCell ref="Q19:Q20"/>
    <mergeCell ref="R19:R20"/>
    <mergeCell ref="S19:S20"/>
    <mergeCell ref="T19:T20"/>
    <mergeCell ref="BN17:BN18"/>
    <mergeCell ref="BO17:BO18"/>
    <mergeCell ref="BP17:BP18"/>
    <mergeCell ref="BA17:BA18"/>
    <mergeCell ref="AP17:AP18"/>
    <mergeCell ref="AQ17:AQ18"/>
    <mergeCell ref="AR17:AR18"/>
    <mergeCell ref="AS17:AS18"/>
    <mergeCell ref="AT17:AT18"/>
    <mergeCell ref="AU17:AU18"/>
    <mergeCell ref="AJ17:AJ18"/>
    <mergeCell ref="AK17:AK18"/>
    <mergeCell ref="AL17:AL18"/>
    <mergeCell ref="AM17:AM18"/>
    <mergeCell ref="AN17:AN18"/>
    <mergeCell ref="AO17:AO18"/>
    <mergeCell ref="AD17:AD18"/>
    <mergeCell ref="AE17:AE18"/>
    <mergeCell ref="BQ17:BQ18"/>
    <mergeCell ref="BR17:BR18"/>
    <mergeCell ref="J19:J20"/>
    <mergeCell ref="K19:K20"/>
    <mergeCell ref="L19:L20"/>
    <mergeCell ref="M19:M20"/>
    <mergeCell ref="N19:N20"/>
    <mergeCell ref="BH17:BH18"/>
    <mergeCell ref="BI17:BI18"/>
    <mergeCell ref="BJ17:BJ18"/>
    <mergeCell ref="BK17:BK18"/>
    <mergeCell ref="BL17:BL18"/>
    <mergeCell ref="BM17:BM18"/>
    <mergeCell ref="BB17:BB18"/>
    <mergeCell ref="BC17:BC18"/>
    <mergeCell ref="BD17:BD18"/>
    <mergeCell ref="BE17:BE18"/>
    <mergeCell ref="BF17:BF18"/>
    <mergeCell ref="BG17:BG18"/>
    <mergeCell ref="AV17:AV18"/>
    <mergeCell ref="AW17:AW18"/>
    <mergeCell ref="AX17:AX18"/>
    <mergeCell ref="AY17:AY18"/>
    <mergeCell ref="AZ17:AZ18"/>
    <mergeCell ref="AF17:AF18"/>
    <mergeCell ref="AG17:AG18"/>
    <mergeCell ref="AH17:AH18"/>
    <mergeCell ref="AI17:AI18"/>
    <mergeCell ref="X17:X18"/>
    <mergeCell ref="Y17:Y18"/>
    <mergeCell ref="Z17:Z18"/>
    <mergeCell ref="AA17:AA18"/>
    <mergeCell ref="AB17:AB18"/>
    <mergeCell ref="AC17:AC18"/>
    <mergeCell ref="Q17:Q18"/>
    <mergeCell ref="R17:R18"/>
    <mergeCell ref="S17:S18"/>
    <mergeCell ref="T17:T18"/>
    <mergeCell ref="V17:V18"/>
    <mergeCell ref="W17:W18"/>
    <mergeCell ref="BQ13:BQ16"/>
    <mergeCell ref="BR13:BR16"/>
    <mergeCell ref="U15:U16"/>
    <mergeCell ref="BM13:BM16"/>
    <mergeCell ref="BN13:BN16"/>
    <mergeCell ref="BO13:BO16"/>
    <mergeCell ref="BP13:BP16"/>
    <mergeCell ref="AV13:AV16"/>
    <mergeCell ref="AW13:AW16"/>
    <mergeCell ref="AX13:AX16"/>
    <mergeCell ref="AM13:AM16"/>
    <mergeCell ref="AN13:AN16"/>
    <mergeCell ref="AO13:AO16"/>
    <mergeCell ref="AP13:AP16"/>
    <mergeCell ref="AQ13:AQ16"/>
    <mergeCell ref="AR13:AR16"/>
    <mergeCell ref="AG13:AG16"/>
    <mergeCell ref="AH13:AH16"/>
    <mergeCell ref="J17:J18"/>
    <mergeCell ref="K17:K18"/>
    <mergeCell ref="L17:L18"/>
    <mergeCell ref="M17:M18"/>
    <mergeCell ref="N17:N18"/>
    <mergeCell ref="O17:O18"/>
    <mergeCell ref="P17:P18"/>
    <mergeCell ref="BK13:BK16"/>
    <mergeCell ref="BL13:BL16"/>
    <mergeCell ref="BE13:BE16"/>
    <mergeCell ref="BF13:BF16"/>
    <mergeCell ref="BG13:BG16"/>
    <mergeCell ref="BH13:BH16"/>
    <mergeCell ref="BI13:BI16"/>
    <mergeCell ref="BJ13:BJ16"/>
    <mergeCell ref="AY13:AY16"/>
    <mergeCell ref="AZ13:AZ16"/>
    <mergeCell ref="BA13:BA16"/>
    <mergeCell ref="BB13:BB16"/>
    <mergeCell ref="BC13:BC16"/>
    <mergeCell ref="BD13:BD16"/>
    <mergeCell ref="AS13:AS16"/>
    <mergeCell ref="AT13:AT16"/>
    <mergeCell ref="AU13:AU16"/>
    <mergeCell ref="AI13:AI16"/>
    <mergeCell ref="AJ13:AJ16"/>
    <mergeCell ref="AK13:AK16"/>
    <mergeCell ref="AL13:AL16"/>
    <mergeCell ref="V13:V16"/>
    <mergeCell ref="AB13:AB16"/>
    <mergeCell ref="AC13:AC16"/>
    <mergeCell ref="AD13:AD16"/>
    <mergeCell ref="AE13:AE16"/>
    <mergeCell ref="AF13:AF16"/>
    <mergeCell ref="P13:P16"/>
    <mergeCell ref="Q13:Q16"/>
    <mergeCell ref="R13:R16"/>
    <mergeCell ref="S13:S16"/>
    <mergeCell ref="T13:T16"/>
    <mergeCell ref="U13:U14"/>
    <mergeCell ref="J13:J16"/>
    <mergeCell ref="K13:K16"/>
    <mergeCell ref="L13:L16"/>
    <mergeCell ref="M13:M16"/>
    <mergeCell ref="N13:N16"/>
    <mergeCell ref="O13:O16"/>
    <mergeCell ref="BR7:BR9"/>
    <mergeCell ref="BH8:BH9"/>
    <mergeCell ref="BI8:BI9"/>
    <mergeCell ref="BJ8:BJ9"/>
    <mergeCell ref="BK8:BK9"/>
    <mergeCell ref="BL8:BL9"/>
    <mergeCell ref="BM8:BM9"/>
    <mergeCell ref="AF7:AL7"/>
    <mergeCell ref="AZ7:BE7"/>
    <mergeCell ref="BF7:BG8"/>
    <mergeCell ref="BH7:BM7"/>
    <mergeCell ref="BN7:BO8"/>
    <mergeCell ref="BP7:BQ8"/>
    <mergeCell ref="A1:BP1"/>
    <mergeCell ref="A2:BP6"/>
    <mergeCell ref="A7:A9"/>
    <mergeCell ref="B7:C9"/>
    <mergeCell ref="D7:D9"/>
    <mergeCell ref="E7:F9"/>
    <mergeCell ref="G7:H9"/>
    <mergeCell ref="I7:J9"/>
    <mergeCell ref="K7:K9"/>
    <mergeCell ref="L7:L9"/>
    <mergeCell ref="T7:T9"/>
    <mergeCell ref="U7:U9"/>
    <mergeCell ref="V7:V9"/>
    <mergeCell ref="W7:Y8"/>
    <mergeCell ref="Z7:Z9"/>
    <mergeCell ref="AA7:AA9"/>
    <mergeCell ref="M7:N8"/>
    <mergeCell ref="O7:O9"/>
    <mergeCell ref="P7:P9"/>
    <mergeCell ref="Q7:Q9"/>
    <mergeCell ref="R7:R9"/>
    <mergeCell ref="S7:S9"/>
  </mergeCells>
  <pageMargins left="0.7" right="0.7" top="0.75" bottom="0.75" header="0.3" footer="0.3"/>
  <pageSetup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81"/>
  <sheetViews>
    <sheetView showGridLines="0" topLeftCell="N1" zoomScale="60" zoomScaleNormal="60" workbookViewId="0">
      <selection activeCell="T13" sqref="T13:T49"/>
    </sheetView>
  </sheetViews>
  <sheetFormatPr baseColWidth="10" defaultColWidth="11.42578125" defaultRowHeight="27" customHeight="1" x14ac:dyDescent="0.2"/>
  <cols>
    <col min="1" max="1" width="13.140625" style="1832" customWidth="1"/>
    <col min="2" max="2" width="4" style="367" customWidth="1"/>
    <col min="3" max="3" width="15.42578125" style="367" customWidth="1"/>
    <col min="4" max="4" width="14.7109375" style="367" customWidth="1"/>
    <col min="5" max="5" width="10" style="367" customWidth="1"/>
    <col min="6" max="6" width="13.5703125" style="367" customWidth="1"/>
    <col min="7" max="7" width="14.28515625" style="367" customWidth="1"/>
    <col min="8" max="8" width="8.5703125" style="367" customWidth="1"/>
    <col min="9" max="9" width="16.85546875" style="367" customWidth="1"/>
    <col min="10" max="10" width="18.140625" style="367" customWidth="1"/>
    <col min="11" max="11" width="40.140625" style="544" customWidth="1"/>
    <col min="12" max="12" width="27.7109375" style="1833" customWidth="1"/>
    <col min="13" max="14" width="17.28515625" style="545" customWidth="1"/>
    <col min="15" max="15" width="37.28515625" style="1833" customWidth="1"/>
    <col min="16" max="16" width="19.42578125" style="558" customWidth="1"/>
    <col min="17" max="17" width="31.7109375" style="551" customWidth="1"/>
    <col min="18" max="18" width="15" style="1834" customWidth="1"/>
    <col min="19" max="19" width="29.85546875" style="1841" customWidth="1"/>
    <col min="20" max="20" width="29.85546875" style="551" customWidth="1"/>
    <col min="21" max="21" width="31" style="551" customWidth="1"/>
    <col min="22" max="22" width="43.5703125" style="544" customWidth="1"/>
    <col min="23" max="23" width="27.140625" style="1837" customWidth="1"/>
    <col min="24" max="24" width="25.85546875" style="550" customWidth="1"/>
    <col min="25" max="25" width="25.42578125" style="546" customWidth="1"/>
    <col min="26" max="27" width="21.85546875" style="546" customWidth="1"/>
    <col min="28" max="28" width="9.28515625" style="367" customWidth="1"/>
    <col min="29" max="29" width="8.28515625" style="367" customWidth="1"/>
    <col min="30" max="30" width="9.28515625" style="367" bestFit="1" customWidth="1"/>
    <col min="31" max="31" width="8.7109375" style="367" customWidth="1"/>
    <col min="32" max="32" width="9.28515625" style="367" bestFit="1" customWidth="1"/>
    <col min="33" max="33" width="9.28515625" style="367" customWidth="1"/>
    <col min="34" max="34" width="8.85546875" style="367" bestFit="1" customWidth="1"/>
    <col min="35" max="35" width="10.140625" style="367" customWidth="1"/>
    <col min="36" max="36" width="9.7109375" style="367" customWidth="1"/>
    <col min="37" max="37" width="12.140625" style="367" customWidth="1"/>
    <col min="38" max="39" width="10.140625" style="367" customWidth="1"/>
    <col min="40" max="40" width="6.85546875" style="367" bestFit="1" customWidth="1"/>
    <col min="41" max="41" width="6.85546875" style="367" customWidth="1"/>
    <col min="42" max="42" width="8.140625" style="367" bestFit="1" customWidth="1"/>
    <col min="43" max="43" width="8.140625" style="367" customWidth="1"/>
    <col min="44" max="49" width="7.140625" style="367" customWidth="1"/>
    <col min="50" max="50" width="5.5703125" style="367" customWidth="1"/>
    <col min="51" max="51" width="6.42578125" style="367" customWidth="1"/>
    <col min="52" max="53" width="8.7109375" style="367" customWidth="1"/>
    <col min="54" max="55" width="9.5703125" style="367" customWidth="1"/>
    <col min="56" max="57" width="9" style="367" customWidth="1"/>
    <col min="58" max="58" width="11" style="367" customWidth="1"/>
    <col min="59" max="59" width="10.42578125" style="367" customWidth="1"/>
    <col min="60" max="60" width="19" style="367" customWidth="1"/>
    <col min="61" max="61" width="22.7109375" style="367" customWidth="1"/>
    <col min="62" max="62" width="24.5703125" style="367" customWidth="1"/>
    <col min="63" max="63" width="18.42578125" style="367" customWidth="1"/>
    <col min="64" max="64" width="18.7109375" style="367" customWidth="1"/>
    <col min="65" max="65" width="22.140625" style="367" customWidth="1"/>
    <col min="66" max="67" width="13" style="1838" customWidth="1"/>
    <col min="68" max="68" width="14" style="1839" customWidth="1"/>
    <col min="69" max="69" width="13.5703125" style="1839" customWidth="1"/>
    <col min="70" max="70" width="23" style="556" customWidth="1"/>
    <col min="71" max="16384" width="11.42578125" style="367"/>
  </cols>
  <sheetData>
    <row r="1" spans="1:90" ht="16.5" customHeight="1" x14ac:dyDescent="0.2">
      <c r="A1" s="3330" t="s">
        <v>1347</v>
      </c>
      <c r="B1" s="3331"/>
      <c r="C1" s="3331"/>
      <c r="D1" s="3331"/>
      <c r="E1" s="3331"/>
      <c r="F1" s="3331"/>
      <c r="G1" s="3331"/>
      <c r="H1" s="3331"/>
      <c r="I1" s="3331"/>
      <c r="J1" s="3331"/>
      <c r="K1" s="3331"/>
      <c r="L1" s="3331"/>
      <c r="M1" s="3331"/>
      <c r="N1" s="3331"/>
      <c r="O1" s="3331"/>
      <c r="P1" s="3331"/>
      <c r="Q1" s="3331"/>
      <c r="R1" s="3331"/>
      <c r="S1" s="3331"/>
      <c r="T1" s="3331"/>
      <c r="U1" s="3331"/>
      <c r="V1" s="3331"/>
      <c r="W1" s="3331"/>
      <c r="X1" s="3331"/>
      <c r="Y1" s="3331"/>
      <c r="Z1" s="3331"/>
      <c r="AA1" s="3331"/>
      <c r="AB1" s="3331"/>
      <c r="AC1" s="3331"/>
      <c r="AD1" s="3331"/>
      <c r="AE1" s="3331"/>
      <c r="AF1" s="3331"/>
      <c r="AG1" s="3331"/>
      <c r="AH1" s="3331"/>
      <c r="AI1" s="3331"/>
      <c r="AJ1" s="3331"/>
      <c r="AK1" s="3331"/>
      <c r="AL1" s="3331"/>
      <c r="AM1" s="3331"/>
      <c r="AN1" s="3331"/>
      <c r="AO1" s="3331"/>
      <c r="AP1" s="3331"/>
      <c r="AQ1" s="3331"/>
      <c r="AR1" s="3331"/>
      <c r="AS1" s="3331"/>
      <c r="AT1" s="3331"/>
      <c r="AU1" s="3331"/>
      <c r="AV1" s="3331"/>
      <c r="AW1" s="3331"/>
      <c r="AX1" s="3331"/>
      <c r="AY1" s="3331"/>
      <c r="AZ1" s="3331"/>
      <c r="BA1" s="3331"/>
      <c r="BB1" s="3331"/>
      <c r="BC1" s="3331"/>
      <c r="BD1" s="3331"/>
      <c r="BE1" s="3331"/>
      <c r="BF1" s="3331"/>
      <c r="BG1" s="3331"/>
      <c r="BH1" s="3331"/>
      <c r="BI1" s="3331"/>
      <c r="BJ1" s="3331"/>
      <c r="BK1" s="3331"/>
      <c r="BL1" s="3331"/>
      <c r="BM1" s="3331"/>
      <c r="BN1" s="3331"/>
      <c r="BO1" s="1571"/>
      <c r="BP1" s="1572" t="s">
        <v>1</v>
      </c>
      <c r="BQ1" s="3336" t="s">
        <v>2</v>
      </c>
      <c r="BR1" s="3337"/>
      <c r="BS1" s="545"/>
      <c r="BT1" s="545"/>
      <c r="BU1" s="545"/>
      <c r="BV1" s="545"/>
      <c r="BW1" s="545"/>
      <c r="BX1" s="545"/>
      <c r="BY1" s="545"/>
      <c r="BZ1" s="545"/>
      <c r="CA1" s="545"/>
      <c r="CB1" s="545"/>
      <c r="CC1" s="545"/>
      <c r="CD1" s="545"/>
      <c r="CE1" s="545"/>
      <c r="CF1" s="545"/>
      <c r="CG1" s="545"/>
      <c r="CH1" s="545"/>
      <c r="CI1" s="545"/>
      <c r="CJ1" s="545"/>
      <c r="CK1" s="545"/>
      <c r="CL1" s="545"/>
    </row>
    <row r="2" spans="1:90" ht="16.5" customHeight="1" x14ac:dyDescent="0.2">
      <c r="A2" s="3332"/>
      <c r="B2" s="3333"/>
      <c r="C2" s="3333"/>
      <c r="D2" s="3333"/>
      <c r="E2" s="3333"/>
      <c r="F2" s="3333"/>
      <c r="G2" s="3333"/>
      <c r="H2" s="3333"/>
      <c r="I2" s="3333"/>
      <c r="J2" s="3333"/>
      <c r="K2" s="3333"/>
      <c r="L2" s="3333"/>
      <c r="M2" s="3333"/>
      <c r="N2" s="3333"/>
      <c r="O2" s="3333"/>
      <c r="P2" s="3333"/>
      <c r="Q2" s="3333"/>
      <c r="R2" s="3333"/>
      <c r="S2" s="3333"/>
      <c r="T2" s="3333"/>
      <c r="U2" s="3333"/>
      <c r="V2" s="3333"/>
      <c r="W2" s="3333"/>
      <c r="X2" s="3333"/>
      <c r="Y2" s="3333"/>
      <c r="Z2" s="3333"/>
      <c r="AA2" s="3333"/>
      <c r="AB2" s="3333"/>
      <c r="AC2" s="3333"/>
      <c r="AD2" s="3333"/>
      <c r="AE2" s="3333"/>
      <c r="AF2" s="3333"/>
      <c r="AG2" s="3333"/>
      <c r="AH2" s="3333"/>
      <c r="AI2" s="3333"/>
      <c r="AJ2" s="3333"/>
      <c r="AK2" s="3333"/>
      <c r="AL2" s="3333"/>
      <c r="AM2" s="3333"/>
      <c r="AN2" s="3333"/>
      <c r="AO2" s="3333"/>
      <c r="AP2" s="3333"/>
      <c r="AQ2" s="3333"/>
      <c r="AR2" s="3333"/>
      <c r="AS2" s="3333"/>
      <c r="AT2" s="3333"/>
      <c r="AU2" s="3333"/>
      <c r="AV2" s="3333"/>
      <c r="AW2" s="3333"/>
      <c r="AX2" s="3333"/>
      <c r="AY2" s="3333"/>
      <c r="AZ2" s="3333"/>
      <c r="BA2" s="3333"/>
      <c r="BB2" s="3333"/>
      <c r="BC2" s="3333"/>
      <c r="BD2" s="3333"/>
      <c r="BE2" s="3333"/>
      <c r="BF2" s="3333"/>
      <c r="BG2" s="3333"/>
      <c r="BH2" s="3333"/>
      <c r="BI2" s="3333"/>
      <c r="BJ2" s="3333"/>
      <c r="BK2" s="3333"/>
      <c r="BL2" s="3333"/>
      <c r="BM2" s="3333"/>
      <c r="BN2" s="3333"/>
      <c r="BO2" s="1573"/>
      <c r="BP2" s="104" t="s">
        <v>3</v>
      </c>
      <c r="BQ2" s="3338" t="s">
        <v>127</v>
      </c>
      <c r="BR2" s="3339"/>
      <c r="BS2" s="545"/>
      <c r="BT2" s="545"/>
      <c r="BU2" s="545"/>
      <c r="BV2" s="545"/>
      <c r="BW2" s="545"/>
      <c r="BX2" s="545"/>
      <c r="BY2" s="545"/>
      <c r="BZ2" s="545"/>
      <c r="CA2" s="545"/>
      <c r="CB2" s="545"/>
      <c r="CC2" s="545"/>
      <c r="CD2" s="545"/>
      <c r="CE2" s="545"/>
      <c r="CF2" s="545"/>
      <c r="CG2" s="545"/>
      <c r="CH2" s="545"/>
      <c r="CI2" s="545"/>
      <c r="CJ2" s="545"/>
      <c r="CK2" s="545"/>
      <c r="CL2" s="545"/>
    </row>
    <row r="3" spans="1:90" ht="16.5" customHeight="1" x14ac:dyDescent="0.2">
      <c r="A3" s="3332"/>
      <c r="B3" s="3333"/>
      <c r="C3" s="3333"/>
      <c r="D3" s="3333"/>
      <c r="E3" s="3333"/>
      <c r="F3" s="3333"/>
      <c r="G3" s="3333"/>
      <c r="H3" s="3333"/>
      <c r="I3" s="3333"/>
      <c r="J3" s="3333"/>
      <c r="K3" s="3333"/>
      <c r="L3" s="3333"/>
      <c r="M3" s="3333"/>
      <c r="N3" s="3333"/>
      <c r="O3" s="3333"/>
      <c r="P3" s="3333"/>
      <c r="Q3" s="3333"/>
      <c r="R3" s="3333"/>
      <c r="S3" s="3333"/>
      <c r="T3" s="3333"/>
      <c r="U3" s="3333"/>
      <c r="V3" s="3333"/>
      <c r="W3" s="3333"/>
      <c r="X3" s="3333"/>
      <c r="Y3" s="3333"/>
      <c r="Z3" s="3333"/>
      <c r="AA3" s="3333"/>
      <c r="AB3" s="3333"/>
      <c r="AC3" s="3333"/>
      <c r="AD3" s="3333"/>
      <c r="AE3" s="3333"/>
      <c r="AF3" s="3333"/>
      <c r="AG3" s="3333"/>
      <c r="AH3" s="3333"/>
      <c r="AI3" s="3333"/>
      <c r="AJ3" s="3333"/>
      <c r="AK3" s="3333"/>
      <c r="AL3" s="3333"/>
      <c r="AM3" s="3333"/>
      <c r="AN3" s="3333"/>
      <c r="AO3" s="3333"/>
      <c r="AP3" s="3333"/>
      <c r="AQ3" s="3333"/>
      <c r="AR3" s="3333"/>
      <c r="AS3" s="3333"/>
      <c r="AT3" s="3333"/>
      <c r="AU3" s="3333"/>
      <c r="AV3" s="3333"/>
      <c r="AW3" s="3333"/>
      <c r="AX3" s="3333"/>
      <c r="AY3" s="3333"/>
      <c r="AZ3" s="3333"/>
      <c r="BA3" s="3333"/>
      <c r="BB3" s="3333"/>
      <c r="BC3" s="3333"/>
      <c r="BD3" s="3333"/>
      <c r="BE3" s="3333"/>
      <c r="BF3" s="3333"/>
      <c r="BG3" s="3333"/>
      <c r="BH3" s="3333"/>
      <c r="BI3" s="3333"/>
      <c r="BJ3" s="3333"/>
      <c r="BK3" s="3333"/>
      <c r="BL3" s="3333"/>
      <c r="BM3" s="3333"/>
      <c r="BN3" s="3333"/>
      <c r="BO3" s="1573"/>
      <c r="BP3" s="101" t="s">
        <v>4</v>
      </c>
      <c r="BQ3" s="3338" t="s">
        <v>5</v>
      </c>
      <c r="BR3" s="3339"/>
      <c r="BS3" s="545"/>
      <c r="BT3" s="545"/>
      <c r="BU3" s="545"/>
      <c r="BV3" s="545"/>
      <c r="BW3" s="545"/>
      <c r="BX3" s="545"/>
      <c r="BY3" s="545"/>
      <c r="BZ3" s="545"/>
      <c r="CA3" s="545"/>
      <c r="CB3" s="545"/>
      <c r="CC3" s="545"/>
      <c r="CD3" s="545"/>
      <c r="CE3" s="545"/>
      <c r="CF3" s="545"/>
      <c r="CG3" s="545"/>
      <c r="CH3" s="545"/>
      <c r="CI3" s="545"/>
      <c r="CJ3" s="545"/>
      <c r="CK3" s="545"/>
      <c r="CL3" s="545"/>
    </row>
    <row r="4" spans="1:90" ht="16.5" customHeight="1" x14ac:dyDescent="0.2">
      <c r="A4" s="3334"/>
      <c r="B4" s="3335"/>
      <c r="C4" s="3335"/>
      <c r="D4" s="3335"/>
      <c r="E4" s="3335"/>
      <c r="F4" s="3335"/>
      <c r="G4" s="3335"/>
      <c r="H4" s="3335"/>
      <c r="I4" s="3335"/>
      <c r="J4" s="3335"/>
      <c r="K4" s="3335"/>
      <c r="L4" s="3335"/>
      <c r="M4" s="3335"/>
      <c r="N4" s="3335"/>
      <c r="O4" s="3335"/>
      <c r="P4" s="3335"/>
      <c r="Q4" s="3335"/>
      <c r="R4" s="3335"/>
      <c r="S4" s="3335"/>
      <c r="T4" s="3335"/>
      <c r="U4" s="3335"/>
      <c r="V4" s="3335"/>
      <c r="W4" s="3335"/>
      <c r="X4" s="3335"/>
      <c r="Y4" s="3335"/>
      <c r="Z4" s="3335"/>
      <c r="AA4" s="3335"/>
      <c r="AB4" s="3335"/>
      <c r="AC4" s="3335"/>
      <c r="AD4" s="3335"/>
      <c r="AE4" s="3335"/>
      <c r="AF4" s="3335"/>
      <c r="AG4" s="3335"/>
      <c r="AH4" s="3335"/>
      <c r="AI4" s="3335"/>
      <c r="AJ4" s="3335"/>
      <c r="AK4" s="3335"/>
      <c r="AL4" s="3335"/>
      <c r="AM4" s="3335"/>
      <c r="AN4" s="3335"/>
      <c r="AO4" s="3335"/>
      <c r="AP4" s="3335"/>
      <c r="AQ4" s="3335"/>
      <c r="AR4" s="3335"/>
      <c r="AS4" s="3335"/>
      <c r="AT4" s="3335"/>
      <c r="AU4" s="3335"/>
      <c r="AV4" s="3335"/>
      <c r="AW4" s="3335"/>
      <c r="AX4" s="3335"/>
      <c r="AY4" s="3335"/>
      <c r="AZ4" s="3335"/>
      <c r="BA4" s="3335"/>
      <c r="BB4" s="3335"/>
      <c r="BC4" s="3335"/>
      <c r="BD4" s="3335"/>
      <c r="BE4" s="3335"/>
      <c r="BF4" s="3335"/>
      <c r="BG4" s="3335"/>
      <c r="BH4" s="3335"/>
      <c r="BI4" s="3335"/>
      <c r="BJ4" s="3335"/>
      <c r="BK4" s="3335"/>
      <c r="BL4" s="3335"/>
      <c r="BM4" s="3335"/>
      <c r="BN4" s="3335"/>
      <c r="BO4" s="1574"/>
      <c r="BP4" s="101" t="s">
        <v>6</v>
      </c>
      <c r="BQ4" s="3340" t="s">
        <v>128</v>
      </c>
      <c r="BR4" s="3341"/>
      <c r="BS4" s="545"/>
      <c r="BT4" s="545"/>
      <c r="BU4" s="545"/>
      <c r="BV4" s="545"/>
      <c r="BW4" s="545"/>
      <c r="BX4" s="545"/>
      <c r="BY4" s="545"/>
      <c r="BZ4" s="545"/>
      <c r="CA4" s="545"/>
      <c r="CB4" s="545"/>
      <c r="CC4" s="545"/>
      <c r="CD4" s="545"/>
      <c r="CE4" s="545"/>
      <c r="CF4" s="545"/>
      <c r="CG4" s="545"/>
      <c r="CH4" s="545"/>
      <c r="CI4" s="545"/>
      <c r="CJ4" s="545"/>
      <c r="CK4" s="545"/>
      <c r="CL4" s="545"/>
    </row>
    <row r="5" spans="1:90" ht="18" customHeight="1" x14ac:dyDescent="0.2">
      <c r="A5" s="3342" t="s">
        <v>8</v>
      </c>
      <c r="B5" s="3343"/>
      <c r="C5" s="3343"/>
      <c r="D5" s="3343"/>
      <c r="E5" s="3343"/>
      <c r="F5" s="3343"/>
      <c r="G5" s="3343"/>
      <c r="H5" s="3343"/>
      <c r="I5" s="3343"/>
      <c r="J5" s="3343"/>
      <c r="K5" s="3343"/>
      <c r="L5" s="3343"/>
      <c r="M5" s="3343"/>
      <c r="N5" s="1575"/>
      <c r="O5" s="3346" t="s">
        <v>9</v>
      </c>
      <c r="P5" s="3346"/>
      <c r="Q5" s="3346"/>
      <c r="R5" s="3346"/>
      <c r="S5" s="3346"/>
      <c r="T5" s="3346"/>
      <c r="U5" s="3346"/>
      <c r="V5" s="3346"/>
      <c r="W5" s="3346"/>
      <c r="X5" s="3346"/>
      <c r="Y5" s="3346"/>
      <c r="Z5" s="3346"/>
      <c r="AA5" s="3346"/>
      <c r="AB5" s="3346"/>
      <c r="AC5" s="3346"/>
      <c r="AD5" s="3346"/>
      <c r="AE5" s="3346"/>
      <c r="AF5" s="3346"/>
      <c r="AG5" s="3346"/>
      <c r="AH5" s="3346"/>
      <c r="AI5" s="3346"/>
      <c r="AJ5" s="3346"/>
      <c r="AK5" s="3346"/>
      <c r="AL5" s="3346"/>
      <c r="AM5" s="3346"/>
      <c r="AN5" s="3346"/>
      <c r="AO5" s="3346"/>
      <c r="AP5" s="3346"/>
      <c r="AQ5" s="3346"/>
      <c r="AR5" s="3346"/>
      <c r="AS5" s="3346"/>
      <c r="AT5" s="3346"/>
      <c r="AU5" s="3346"/>
      <c r="AV5" s="3346"/>
      <c r="AW5" s="3346"/>
      <c r="AX5" s="3346"/>
      <c r="AY5" s="3346"/>
      <c r="AZ5" s="3346"/>
      <c r="BA5" s="3346"/>
      <c r="BB5" s="3346"/>
      <c r="BC5" s="3346"/>
      <c r="BD5" s="3346"/>
      <c r="BE5" s="3346"/>
      <c r="BF5" s="3346"/>
      <c r="BG5" s="3346"/>
      <c r="BH5" s="3346"/>
      <c r="BI5" s="3346"/>
      <c r="BJ5" s="3346"/>
      <c r="BK5" s="3346"/>
      <c r="BL5" s="3346"/>
      <c r="BM5" s="3346"/>
      <c r="BN5" s="3346"/>
      <c r="BO5" s="3346"/>
      <c r="BP5" s="3346"/>
      <c r="BQ5" s="3347"/>
      <c r="BR5" s="3348"/>
      <c r="BS5" s="545"/>
      <c r="BT5" s="545"/>
      <c r="BU5" s="545"/>
      <c r="BV5" s="545"/>
      <c r="BW5" s="545"/>
      <c r="BX5" s="545"/>
      <c r="BY5" s="545"/>
      <c r="BZ5" s="545"/>
      <c r="CA5" s="545"/>
      <c r="CB5" s="545"/>
      <c r="CC5" s="545"/>
      <c r="CD5" s="545"/>
      <c r="CE5" s="545"/>
      <c r="CF5" s="545"/>
      <c r="CG5" s="545"/>
      <c r="CH5" s="545"/>
      <c r="CI5" s="545"/>
      <c r="CJ5" s="545"/>
      <c r="CK5" s="545"/>
      <c r="CL5" s="545"/>
    </row>
    <row r="6" spans="1:90" ht="18.75" customHeight="1" x14ac:dyDescent="0.2">
      <c r="A6" s="3344"/>
      <c r="B6" s="3345"/>
      <c r="C6" s="3345"/>
      <c r="D6" s="3345"/>
      <c r="E6" s="3345"/>
      <c r="F6" s="3345"/>
      <c r="G6" s="3345"/>
      <c r="H6" s="3345"/>
      <c r="I6" s="3345"/>
      <c r="J6" s="3345"/>
      <c r="K6" s="3345"/>
      <c r="L6" s="3345"/>
      <c r="M6" s="3345"/>
      <c r="N6" s="1576"/>
      <c r="O6" s="1577"/>
      <c r="P6" s="1578"/>
      <c r="Q6" s="1579"/>
      <c r="R6" s="1580"/>
      <c r="S6" s="1580"/>
      <c r="T6" s="1579"/>
      <c r="U6" s="1579"/>
      <c r="V6" s="1581"/>
      <c r="W6" s="1582"/>
      <c r="X6" s="1580"/>
      <c r="Y6" s="1576"/>
      <c r="Z6" s="1576"/>
      <c r="AA6" s="1576"/>
      <c r="AB6" s="3347" t="s">
        <v>129</v>
      </c>
      <c r="AC6" s="3349"/>
      <c r="AD6" s="3349"/>
      <c r="AE6" s="3349"/>
      <c r="AF6" s="3349"/>
      <c r="AG6" s="3349"/>
      <c r="AH6" s="3349"/>
      <c r="AI6" s="3349"/>
      <c r="AJ6" s="3349"/>
      <c r="AK6" s="3349"/>
      <c r="AL6" s="3349"/>
      <c r="AM6" s="3349"/>
      <c r="AN6" s="3349"/>
      <c r="AO6" s="3349"/>
      <c r="AP6" s="3349"/>
      <c r="AQ6" s="3349"/>
      <c r="AR6" s="3349"/>
      <c r="AS6" s="3349"/>
      <c r="AT6" s="3349"/>
      <c r="AU6" s="3349"/>
      <c r="AV6" s="3349"/>
      <c r="AW6" s="3349"/>
      <c r="AX6" s="3349"/>
      <c r="AY6" s="3349"/>
      <c r="AZ6" s="3349"/>
      <c r="BA6" s="3349"/>
      <c r="BB6" s="3349"/>
      <c r="BC6" s="3349"/>
      <c r="BD6" s="3350"/>
      <c r="BE6" s="1576"/>
      <c r="BF6" s="1576"/>
      <c r="BG6" s="1576"/>
      <c r="BH6" s="1576"/>
      <c r="BI6" s="1576"/>
      <c r="BJ6" s="1576"/>
      <c r="BK6" s="1576"/>
      <c r="BL6" s="1576"/>
      <c r="BM6" s="1576"/>
      <c r="BN6" s="1580"/>
      <c r="BO6" s="1580"/>
      <c r="BP6" s="1580"/>
      <c r="BQ6" s="1580"/>
      <c r="BR6" s="1583"/>
      <c r="BS6" s="545"/>
      <c r="BT6" s="545"/>
      <c r="BU6" s="545"/>
      <c r="BV6" s="545"/>
      <c r="BW6" s="545"/>
      <c r="BX6" s="545"/>
      <c r="BY6" s="545"/>
      <c r="BZ6" s="545"/>
      <c r="CA6" s="545"/>
      <c r="CB6" s="545"/>
      <c r="CC6" s="545"/>
      <c r="CD6" s="545"/>
      <c r="CE6" s="545"/>
      <c r="CF6" s="545"/>
      <c r="CG6" s="545"/>
      <c r="CH6" s="545"/>
      <c r="CI6" s="545"/>
      <c r="CJ6" s="545"/>
      <c r="CK6" s="545"/>
      <c r="CL6" s="545"/>
    </row>
    <row r="7" spans="1:90" ht="18.75" customHeight="1" x14ac:dyDescent="0.2">
      <c r="A7" s="1584"/>
      <c r="B7" s="1576"/>
      <c r="C7" s="1576"/>
      <c r="D7" s="1576"/>
      <c r="E7" s="1576"/>
      <c r="F7" s="1576"/>
      <c r="G7" s="1576"/>
      <c r="H7" s="1576"/>
      <c r="I7" s="1576"/>
      <c r="J7" s="1576"/>
      <c r="K7" s="1581"/>
      <c r="L7" s="1576"/>
      <c r="M7" s="1576"/>
      <c r="N7" s="1576"/>
      <c r="O7" s="1577"/>
      <c r="P7" s="1578"/>
      <c r="Q7" s="1579"/>
      <c r="R7" s="1580"/>
      <c r="S7" s="1580"/>
      <c r="T7" s="1579"/>
      <c r="U7" s="1579"/>
      <c r="V7" s="1581"/>
      <c r="W7" s="1582"/>
      <c r="X7" s="1580"/>
      <c r="Y7" s="1576"/>
      <c r="Z7" s="1576"/>
      <c r="AA7" s="1576"/>
      <c r="AB7" s="3353" t="s">
        <v>25</v>
      </c>
      <c r="AC7" s="3354"/>
      <c r="AD7" s="3354"/>
      <c r="AE7" s="3355"/>
      <c r="AF7" s="3321" t="s">
        <v>26</v>
      </c>
      <c r="AG7" s="3322"/>
      <c r="AH7" s="3322"/>
      <c r="AI7" s="3322"/>
      <c r="AJ7" s="3322"/>
      <c r="AK7" s="3322"/>
      <c r="AL7" s="3322"/>
      <c r="AM7" s="3323"/>
      <c r="AN7" s="3356" t="s">
        <v>27</v>
      </c>
      <c r="AO7" s="3357"/>
      <c r="AP7" s="3357"/>
      <c r="AQ7" s="3357"/>
      <c r="AR7" s="3357"/>
      <c r="AS7" s="3357"/>
      <c r="AT7" s="3357"/>
      <c r="AU7" s="3357"/>
      <c r="AV7" s="3357"/>
      <c r="AW7" s="3357"/>
      <c r="AX7" s="3357"/>
      <c r="AY7" s="3358"/>
      <c r="AZ7" s="3321" t="s">
        <v>28</v>
      </c>
      <c r="BA7" s="3322"/>
      <c r="BB7" s="3322"/>
      <c r="BC7" s="3322"/>
      <c r="BD7" s="3322"/>
      <c r="BE7" s="3323"/>
      <c r="BF7" s="3324" t="s">
        <v>29</v>
      </c>
      <c r="BG7" s="3325"/>
      <c r="BH7" s="1568"/>
      <c r="BI7" s="1568"/>
      <c r="BJ7" s="1568"/>
      <c r="BK7" s="1568"/>
      <c r="BL7" s="1568"/>
      <c r="BM7" s="1568"/>
      <c r="BN7" s="930"/>
      <c r="BO7" s="930"/>
      <c r="BP7" s="930"/>
      <c r="BQ7" s="930"/>
      <c r="BR7" s="1583"/>
      <c r="BS7" s="545"/>
      <c r="BT7" s="545"/>
      <c r="BU7" s="545"/>
      <c r="BV7" s="545"/>
      <c r="BW7" s="545"/>
      <c r="BX7" s="545"/>
      <c r="BY7" s="545"/>
      <c r="BZ7" s="545"/>
      <c r="CA7" s="545"/>
      <c r="CB7" s="545"/>
      <c r="CC7" s="545"/>
      <c r="CD7" s="545"/>
      <c r="CE7" s="545"/>
      <c r="CF7" s="545"/>
      <c r="CG7" s="545"/>
      <c r="CH7" s="545"/>
      <c r="CI7" s="545"/>
      <c r="CJ7" s="545"/>
      <c r="CK7" s="545"/>
      <c r="CL7" s="545"/>
    </row>
    <row r="8" spans="1:90" s="405" customFormat="1" ht="74.25" customHeight="1" x14ac:dyDescent="0.25">
      <c r="A8" s="3328" t="s">
        <v>10</v>
      </c>
      <c r="B8" s="3329" t="s">
        <v>11</v>
      </c>
      <c r="C8" s="3329"/>
      <c r="D8" s="3329" t="s">
        <v>10</v>
      </c>
      <c r="E8" s="3329" t="s">
        <v>12</v>
      </c>
      <c r="F8" s="3329"/>
      <c r="G8" s="3329" t="s">
        <v>10</v>
      </c>
      <c r="H8" s="3329" t="s">
        <v>13</v>
      </c>
      <c r="I8" s="3329"/>
      <c r="J8" s="3329" t="s">
        <v>10</v>
      </c>
      <c r="K8" s="3329" t="s">
        <v>14</v>
      </c>
      <c r="L8" s="3329" t="s">
        <v>15</v>
      </c>
      <c r="M8" s="3351" t="s">
        <v>1348</v>
      </c>
      <c r="N8" s="3352"/>
      <c r="O8" s="3329" t="s">
        <v>17</v>
      </c>
      <c r="P8" s="3329" t="s">
        <v>130</v>
      </c>
      <c r="Q8" s="3329" t="s">
        <v>9</v>
      </c>
      <c r="R8" s="3390" t="s">
        <v>19</v>
      </c>
      <c r="S8" s="3391" t="s">
        <v>20</v>
      </c>
      <c r="T8" s="3329" t="s">
        <v>21</v>
      </c>
      <c r="U8" s="3329" t="s">
        <v>22</v>
      </c>
      <c r="V8" s="3329" t="s">
        <v>23</v>
      </c>
      <c r="W8" s="3391" t="s">
        <v>1349</v>
      </c>
      <c r="X8" s="3391"/>
      <c r="Y8" s="3391"/>
      <c r="Z8" s="3392" t="s">
        <v>1350</v>
      </c>
      <c r="AA8" s="3394" t="s">
        <v>1351</v>
      </c>
      <c r="AB8" s="3383" t="s">
        <v>34</v>
      </c>
      <c r="AC8" s="3384"/>
      <c r="AD8" s="3383" t="s">
        <v>35</v>
      </c>
      <c r="AE8" s="3384"/>
      <c r="AF8" s="3383" t="s">
        <v>36</v>
      </c>
      <c r="AG8" s="3384"/>
      <c r="AH8" s="3383" t="s">
        <v>37</v>
      </c>
      <c r="AI8" s="3384"/>
      <c r="AJ8" s="3383" t="s">
        <v>1352</v>
      </c>
      <c r="AK8" s="3384"/>
      <c r="AL8" s="3383" t="s">
        <v>39</v>
      </c>
      <c r="AM8" s="3384"/>
      <c r="AN8" s="3383" t="s">
        <v>40</v>
      </c>
      <c r="AO8" s="3384"/>
      <c r="AP8" s="3383" t="s">
        <v>41</v>
      </c>
      <c r="AQ8" s="3384"/>
      <c r="AR8" s="3383" t="s">
        <v>42</v>
      </c>
      <c r="AS8" s="3384"/>
      <c r="AT8" s="3383" t="s">
        <v>43</v>
      </c>
      <c r="AU8" s="3384"/>
      <c r="AV8" s="3383" t="s">
        <v>44</v>
      </c>
      <c r="AW8" s="3384"/>
      <c r="AX8" s="3383" t="s">
        <v>45</v>
      </c>
      <c r="AY8" s="3384"/>
      <c r="AZ8" s="3383" t="s">
        <v>46</v>
      </c>
      <c r="BA8" s="3384"/>
      <c r="BB8" s="3383" t="s">
        <v>47</v>
      </c>
      <c r="BC8" s="3384"/>
      <c r="BD8" s="3383" t="s">
        <v>48</v>
      </c>
      <c r="BE8" s="3384"/>
      <c r="BF8" s="3326"/>
      <c r="BG8" s="3327"/>
      <c r="BH8" s="3385" t="s">
        <v>30</v>
      </c>
      <c r="BI8" s="3386"/>
      <c r="BJ8" s="3386"/>
      <c r="BK8" s="3386"/>
      <c r="BL8" s="3386"/>
      <c r="BM8" s="3387"/>
      <c r="BN8" s="3388" t="s">
        <v>31</v>
      </c>
      <c r="BO8" s="3389"/>
      <c r="BP8" s="3366" t="s">
        <v>1353</v>
      </c>
      <c r="BQ8" s="3366"/>
      <c r="BR8" s="3367" t="s">
        <v>33</v>
      </c>
      <c r="BS8" s="1585"/>
      <c r="BT8" s="1585"/>
      <c r="BU8" s="1585"/>
      <c r="BV8" s="1585"/>
      <c r="BW8" s="1585"/>
      <c r="BX8" s="1585"/>
      <c r="BY8" s="1585"/>
      <c r="BZ8" s="1585"/>
      <c r="CA8" s="1585"/>
      <c r="CB8" s="1585"/>
      <c r="CC8" s="1585"/>
      <c r="CD8" s="1585"/>
      <c r="CE8" s="1585"/>
      <c r="CF8" s="1585"/>
      <c r="CG8" s="1585"/>
      <c r="CH8" s="1585"/>
      <c r="CI8" s="1585"/>
      <c r="CJ8" s="1585"/>
      <c r="CK8" s="1585"/>
      <c r="CL8" s="1585"/>
    </row>
    <row r="9" spans="1:90" s="405" customFormat="1" ht="47.25" customHeight="1" x14ac:dyDescent="0.25">
      <c r="A9" s="3328"/>
      <c r="B9" s="3329"/>
      <c r="C9" s="3329"/>
      <c r="D9" s="3329"/>
      <c r="E9" s="3329"/>
      <c r="F9" s="3329"/>
      <c r="G9" s="3329"/>
      <c r="H9" s="3329"/>
      <c r="I9" s="3329"/>
      <c r="J9" s="3329"/>
      <c r="K9" s="3329"/>
      <c r="L9" s="3329"/>
      <c r="M9" s="1586" t="s">
        <v>55</v>
      </c>
      <c r="N9" s="1586" t="s">
        <v>56</v>
      </c>
      <c r="O9" s="3329"/>
      <c r="P9" s="3329"/>
      <c r="Q9" s="3329"/>
      <c r="R9" s="3390"/>
      <c r="S9" s="3391"/>
      <c r="T9" s="3329"/>
      <c r="U9" s="3329"/>
      <c r="V9" s="3329"/>
      <c r="W9" s="1587" t="s">
        <v>57</v>
      </c>
      <c r="X9" s="1586" t="s">
        <v>58</v>
      </c>
      <c r="Y9" s="1586" t="s">
        <v>59</v>
      </c>
      <c r="Z9" s="3393"/>
      <c r="AA9" s="3395"/>
      <c r="AB9" s="118" t="s">
        <v>55</v>
      </c>
      <c r="AC9" s="118" t="s">
        <v>56</v>
      </c>
      <c r="AD9" s="118" t="s">
        <v>55</v>
      </c>
      <c r="AE9" s="118" t="s">
        <v>56</v>
      </c>
      <c r="AF9" s="118" t="s">
        <v>55</v>
      </c>
      <c r="AG9" s="118" t="s">
        <v>56</v>
      </c>
      <c r="AH9" s="118" t="s">
        <v>55</v>
      </c>
      <c r="AI9" s="118" t="s">
        <v>56</v>
      </c>
      <c r="AJ9" s="118" t="s">
        <v>55</v>
      </c>
      <c r="AK9" s="118" t="s">
        <v>56</v>
      </c>
      <c r="AL9" s="118" t="s">
        <v>55</v>
      </c>
      <c r="AM9" s="118" t="s">
        <v>56</v>
      </c>
      <c r="AN9" s="118" t="s">
        <v>55</v>
      </c>
      <c r="AO9" s="118" t="s">
        <v>56</v>
      </c>
      <c r="AP9" s="118" t="s">
        <v>55</v>
      </c>
      <c r="AQ9" s="118" t="s">
        <v>56</v>
      </c>
      <c r="AR9" s="118" t="s">
        <v>55</v>
      </c>
      <c r="AS9" s="118" t="s">
        <v>56</v>
      </c>
      <c r="AT9" s="118" t="s">
        <v>55</v>
      </c>
      <c r="AU9" s="118" t="s">
        <v>56</v>
      </c>
      <c r="AV9" s="118" t="s">
        <v>55</v>
      </c>
      <c r="AW9" s="118" t="s">
        <v>56</v>
      </c>
      <c r="AX9" s="118" t="s">
        <v>55</v>
      </c>
      <c r="AY9" s="118" t="s">
        <v>56</v>
      </c>
      <c r="AZ9" s="118" t="s">
        <v>55</v>
      </c>
      <c r="BA9" s="118" t="s">
        <v>56</v>
      </c>
      <c r="BB9" s="118" t="s">
        <v>55</v>
      </c>
      <c r="BC9" s="118" t="s">
        <v>56</v>
      </c>
      <c r="BD9" s="118" t="s">
        <v>55</v>
      </c>
      <c r="BE9" s="118" t="s">
        <v>56</v>
      </c>
      <c r="BF9" s="118" t="s">
        <v>55</v>
      </c>
      <c r="BG9" s="118" t="s">
        <v>56</v>
      </c>
      <c r="BH9" s="1588" t="s">
        <v>49</v>
      </c>
      <c r="BI9" s="1588" t="s">
        <v>50</v>
      </c>
      <c r="BJ9" s="1588" t="s">
        <v>51</v>
      </c>
      <c r="BK9" s="1588" t="s">
        <v>52</v>
      </c>
      <c r="BL9" s="1588" t="s">
        <v>53</v>
      </c>
      <c r="BM9" s="1588" t="s">
        <v>54</v>
      </c>
      <c r="BN9" s="393" t="s">
        <v>55</v>
      </c>
      <c r="BO9" s="393" t="s">
        <v>56</v>
      </c>
      <c r="BP9" s="393" t="s">
        <v>55</v>
      </c>
      <c r="BQ9" s="393" t="s">
        <v>56</v>
      </c>
      <c r="BR9" s="3367"/>
      <c r="BS9" s="1585"/>
      <c r="BT9" s="1585"/>
      <c r="BU9" s="1585"/>
      <c r="BV9" s="1585"/>
      <c r="BW9" s="1585"/>
      <c r="BX9" s="1585"/>
      <c r="BY9" s="1585"/>
      <c r="BZ9" s="1585"/>
      <c r="CA9" s="1585"/>
      <c r="CB9" s="1585"/>
      <c r="CC9" s="1585"/>
      <c r="CD9" s="1585"/>
      <c r="CE9" s="1585"/>
      <c r="CF9" s="1585"/>
      <c r="CG9" s="1585"/>
      <c r="CH9" s="1585"/>
      <c r="CI9" s="1585"/>
      <c r="CJ9" s="1585"/>
      <c r="CK9" s="1585"/>
      <c r="CL9" s="1585"/>
    </row>
    <row r="10" spans="1:90" s="1596" customFormat="1" ht="18.75" customHeight="1" x14ac:dyDescent="0.2">
      <c r="A10" s="1589">
        <v>4</v>
      </c>
      <c r="B10" s="241" t="s">
        <v>1071</v>
      </c>
      <c r="C10" s="241"/>
      <c r="D10" s="302"/>
      <c r="E10" s="302"/>
      <c r="F10" s="302"/>
      <c r="G10" s="302"/>
      <c r="H10" s="302"/>
      <c r="I10" s="302"/>
      <c r="J10" s="245"/>
      <c r="K10" s="1590"/>
      <c r="L10" s="1591"/>
      <c r="M10" s="302"/>
      <c r="N10" s="302"/>
      <c r="O10" s="244"/>
      <c r="P10" s="245"/>
      <c r="Q10" s="1591"/>
      <c r="R10" s="1592"/>
      <c r="S10" s="1593"/>
      <c r="T10" s="1591"/>
      <c r="U10" s="1590"/>
      <c r="V10" s="1590"/>
      <c r="W10" s="1590"/>
      <c r="X10" s="1590"/>
      <c r="Y10" s="1590"/>
      <c r="Z10" s="1590"/>
      <c r="AA10" s="1590"/>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2"/>
      <c r="AY10" s="302"/>
      <c r="AZ10" s="1594"/>
      <c r="BA10" s="1594"/>
      <c r="BB10" s="1594"/>
      <c r="BC10" s="1594"/>
      <c r="BD10" s="1591"/>
      <c r="BE10" s="1591"/>
      <c r="BF10" s="1591"/>
      <c r="BG10" s="1591"/>
      <c r="BH10" s="1591"/>
      <c r="BI10" s="1591"/>
      <c r="BJ10" s="1591"/>
      <c r="BK10" s="1591"/>
      <c r="BL10" s="1591"/>
      <c r="BM10" s="1591"/>
      <c r="BN10" s="1591"/>
      <c r="BO10" s="1591"/>
      <c r="BP10" s="1591"/>
      <c r="BQ10" s="1591"/>
      <c r="BR10" s="1595"/>
    </row>
    <row r="11" spans="1:90" s="1569" customFormat="1" ht="21.75" customHeight="1" x14ac:dyDescent="0.2">
      <c r="A11" s="3368"/>
      <c r="B11" s="3371"/>
      <c r="C11" s="3372"/>
      <c r="D11" s="1597">
        <v>23</v>
      </c>
      <c r="E11" s="1062" t="s">
        <v>1354</v>
      </c>
      <c r="F11" s="1062"/>
      <c r="G11" s="1598"/>
      <c r="H11" s="1598"/>
      <c r="I11" s="1598"/>
      <c r="J11" s="1599"/>
      <c r="K11" s="1600"/>
      <c r="L11" s="1601"/>
      <c r="M11" s="1598"/>
      <c r="N11" s="1598"/>
      <c r="O11" s="1602"/>
      <c r="P11" s="1599"/>
      <c r="Q11" s="1601"/>
      <c r="R11" s="1603"/>
      <c r="S11" s="1604"/>
      <c r="T11" s="1601"/>
      <c r="U11" s="1600"/>
      <c r="V11" s="1600"/>
      <c r="W11" s="1605"/>
      <c r="X11" s="1605"/>
      <c r="Y11" s="1606"/>
      <c r="Z11" s="1606"/>
      <c r="AA11" s="1606"/>
      <c r="AB11" s="1598"/>
      <c r="AC11" s="1598"/>
      <c r="AD11" s="1598"/>
      <c r="AE11" s="1598"/>
      <c r="AF11" s="1598"/>
      <c r="AG11" s="1598"/>
      <c r="AH11" s="1598"/>
      <c r="AI11" s="1598"/>
      <c r="AJ11" s="1598"/>
      <c r="AK11" s="1598"/>
      <c r="AL11" s="1598"/>
      <c r="AM11" s="1598"/>
      <c r="AN11" s="1598"/>
      <c r="AO11" s="1598"/>
      <c r="AP11" s="1598"/>
      <c r="AQ11" s="1598"/>
      <c r="AR11" s="1598"/>
      <c r="AS11" s="1598"/>
      <c r="AT11" s="1598"/>
      <c r="AU11" s="1598"/>
      <c r="AV11" s="1598"/>
      <c r="AW11" s="1598"/>
      <c r="AX11" s="1598"/>
      <c r="AY11" s="1598"/>
      <c r="AZ11" s="1607"/>
      <c r="BA11" s="1607"/>
      <c r="BB11" s="1607"/>
      <c r="BC11" s="1607"/>
      <c r="BD11" s="1601"/>
      <c r="BE11" s="1601"/>
      <c r="BF11" s="1601"/>
      <c r="BG11" s="1601"/>
      <c r="BH11" s="1601"/>
      <c r="BI11" s="1601"/>
      <c r="BJ11" s="1601"/>
      <c r="BK11" s="1601"/>
      <c r="BL11" s="1601"/>
      <c r="BM11" s="1601"/>
      <c r="BN11" s="1601"/>
      <c r="BO11" s="1601"/>
      <c r="BP11" s="1601"/>
      <c r="BQ11" s="1601"/>
      <c r="BR11" s="1608"/>
    </row>
    <row r="12" spans="1:90" s="1569" customFormat="1" ht="15.75" customHeight="1" x14ac:dyDescent="0.2">
      <c r="A12" s="3369"/>
      <c r="B12" s="3373"/>
      <c r="C12" s="3374"/>
      <c r="D12" s="3377"/>
      <c r="E12" s="3378"/>
      <c r="F12" s="3378"/>
      <c r="G12" s="1609">
        <v>75</v>
      </c>
      <c r="H12" s="151" t="s">
        <v>1355</v>
      </c>
      <c r="I12" s="151"/>
      <c r="J12" s="1610"/>
      <c r="K12" s="1611"/>
      <c r="L12" s="1612"/>
      <c r="M12" s="270"/>
      <c r="N12" s="270"/>
      <c r="O12" s="272"/>
      <c r="P12" s="278"/>
      <c r="Q12" s="153"/>
      <c r="R12" s="1613"/>
      <c r="S12" s="1614"/>
      <c r="T12" s="1612"/>
      <c r="U12" s="1611"/>
      <c r="V12" s="1611"/>
      <c r="W12" s="1615"/>
      <c r="X12" s="1615"/>
      <c r="Y12" s="1024"/>
      <c r="Z12" s="1024"/>
      <c r="AA12" s="1024"/>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0"/>
      <c r="AZ12" s="1616"/>
      <c r="BA12" s="1616"/>
      <c r="BB12" s="1616"/>
      <c r="BC12" s="1616"/>
      <c r="BD12" s="1612"/>
      <c r="BE12" s="1612"/>
      <c r="BF12" s="1612"/>
      <c r="BG12" s="1612"/>
      <c r="BH12" s="1612"/>
      <c r="BI12" s="1612"/>
      <c r="BJ12" s="1612"/>
      <c r="BK12" s="1612"/>
      <c r="BL12" s="1612"/>
      <c r="BM12" s="1612"/>
      <c r="BN12" s="1612"/>
      <c r="BO12" s="1612"/>
      <c r="BP12" s="1612"/>
      <c r="BQ12" s="1612"/>
      <c r="BR12" s="1617"/>
    </row>
    <row r="13" spans="1:90" s="571" customFormat="1" ht="33.75" customHeight="1" x14ac:dyDescent="0.2">
      <c r="A13" s="3369"/>
      <c r="B13" s="3373"/>
      <c r="C13" s="3374"/>
      <c r="D13" s="3377"/>
      <c r="E13" s="3378"/>
      <c r="F13" s="3378"/>
      <c r="G13" s="1569"/>
      <c r="H13" s="1618"/>
      <c r="I13" s="1619"/>
      <c r="J13" s="3379">
        <v>214</v>
      </c>
      <c r="K13" s="3381" t="s">
        <v>1356</v>
      </c>
      <c r="L13" s="3414" t="s">
        <v>1357</v>
      </c>
      <c r="M13" s="3416">
        <v>1</v>
      </c>
      <c r="N13" s="3416">
        <v>0</v>
      </c>
      <c r="O13" s="3418"/>
      <c r="P13" s="3479" t="s">
        <v>1358</v>
      </c>
      <c r="Q13" s="3359" t="s">
        <v>1359</v>
      </c>
      <c r="R13" s="3472">
        <f>SUM(W13:W14)/S13</f>
        <v>5.2487744082888388E-3</v>
      </c>
      <c r="S13" s="3475">
        <f>SUM(W13:W49)</f>
        <v>6668223337</v>
      </c>
      <c r="T13" s="3401" t="s">
        <v>1360</v>
      </c>
      <c r="U13" s="3401" t="s">
        <v>1361</v>
      </c>
      <c r="V13" s="3359" t="s">
        <v>1362</v>
      </c>
      <c r="W13" s="1620">
        <v>15000000</v>
      </c>
      <c r="X13" s="1621">
        <v>0</v>
      </c>
      <c r="Y13" s="1620">
        <v>0</v>
      </c>
      <c r="Z13" s="1622">
        <v>20</v>
      </c>
      <c r="AA13" s="1623" t="s">
        <v>1363</v>
      </c>
      <c r="AB13" s="3361">
        <v>292684</v>
      </c>
      <c r="AC13" s="3361">
        <v>400</v>
      </c>
      <c r="AD13" s="3448">
        <v>282326</v>
      </c>
      <c r="AE13" s="3361">
        <v>300</v>
      </c>
      <c r="AF13" s="3454">
        <v>174947</v>
      </c>
      <c r="AG13" s="3451">
        <v>0</v>
      </c>
      <c r="AH13" s="3454">
        <v>128988</v>
      </c>
      <c r="AI13" s="3451">
        <v>200</v>
      </c>
      <c r="AJ13" s="3454">
        <v>197432</v>
      </c>
      <c r="AK13" s="3451">
        <v>150</v>
      </c>
      <c r="AL13" s="3420">
        <v>73643</v>
      </c>
      <c r="AM13" s="3423">
        <v>350</v>
      </c>
      <c r="AN13" s="3426"/>
      <c r="AO13" s="3448"/>
      <c r="AP13" s="3426"/>
      <c r="AQ13" s="1624"/>
      <c r="AR13" s="3427"/>
      <c r="AS13" s="1625"/>
      <c r="AT13" s="3430"/>
      <c r="AU13" s="3427"/>
      <c r="AV13" s="3430"/>
      <c r="AW13" s="3427"/>
      <c r="AX13" s="3430"/>
      <c r="AY13" s="3427"/>
      <c r="AZ13" s="3430"/>
      <c r="BA13" s="3427"/>
      <c r="BB13" s="3430"/>
      <c r="BC13" s="3427"/>
      <c r="BD13" s="3430"/>
      <c r="BE13" s="1625"/>
      <c r="BF13" s="3361">
        <v>575010</v>
      </c>
      <c r="BG13" s="3445">
        <v>700</v>
      </c>
      <c r="BH13" s="3445">
        <v>7</v>
      </c>
      <c r="BI13" s="3408">
        <f>SUM(X13:X49)</f>
        <v>93536366</v>
      </c>
      <c r="BJ13" s="3408">
        <f>SUM(Y13:Y49)</f>
        <v>31172000</v>
      </c>
      <c r="BK13" s="3411">
        <f>BJ13/BI13</f>
        <v>0.33326075550123468</v>
      </c>
      <c r="BL13" s="1626"/>
      <c r="BM13" s="1626"/>
      <c r="BN13" s="3406">
        <v>43539</v>
      </c>
      <c r="BO13" s="3406"/>
      <c r="BP13" s="3406">
        <v>43728</v>
      </c>
      <c r="BQ13" s="3406"/>
      <c r="BR13" s="3396" t="s">
        <v>1364</v>
      </c>
      <c r="BS13" s="3398"/>
      <c r="BT13" s="3399"/>
    </row>
    <row r="14" spans="1:90" s="571" customFormat="1" ht="49.5" customHeight="1" x14ac:dyDescent="0.2">
      <c r="A14" s="3369"/>
      <c r="B14" s="3373"/>
      <c r="C14" s="3374"/>
      <c r="D14" s="3377"/>
      <c r="E14" s="3378"/>
      <c r="F14" s="3378"/>
      <c r="G14" s="1569"/>
      <c r="H14" s="1627"/>
      <c r="I14" s="1628"/>
      <c r="J14" s="3380"/>
      <c r="K14" s="3382"/>
      <c r="L14" s="3415"/>
      <c r="M14" s="3417"/>
      <c r="N14" s="3417"/>
      <c r="O14" s="3419"/>
      <c r="P14" s="3479"/>
      <c r="Q14" s="3471"/>
      <c r="R14" s="3474"/>
      <c r="S14" s="3476"/>
      <c r="T14" s="3401"/>
      <c r="U14" s="3401"/>
      <c r="V14" s="3360"/>
      <c r="W14" s="1620">
        <v>20000000</v>
      </c>
      <c r="X14" s="1621">
        <v>0</v>
      </c>
      <c r="Y14" s="1620">
        <v>0</v>
      </c>
      <c r="Z14" s="1622">
        <v>92</v>
      </c>
      <c r="AA14" s="1623" t="s">
        <v>1365</v>
      </c>
      <c r="AB14" s="3362"/>
      <c r="AC14" s="3362"/>
      <c r="AD14" s="3449"/>
      <c r="AE14" s="3362"/>
      <c r="AF14" s="3455"/>
      <c r="AG14" s="3452"/>
      <c r="AH14" s="3455"/>
      <c r="AI14" s="3452"/>
      <c r="AJ14" s="3455"/>
      <c r="AK14" s="3452"/>
      <c r="AL14" s="3421"/>
      <c r="AM14" s="3424"/>
      <c r="AN14" s="3426"/>
      <c r="AO14" s="3449"/>
      <c r="AP14" s="3426"/>
      <c r="AQ14" s="1629"/>
      <c r="AR14" s="3428"/>
      <c r="AS14" s="1630"/>
      <c r="AT14" s="3430"/>
      <c r="AU14" s="3428"/>
      <c r="AV14" s="3430"/>
      <c r="AW14" s="3428"/>
      <c r="AX14" s="3430"/>
      <c r="AY14" s="3428"/>
      <c r="AZ14" s="3430"/>
      <c r="BA14" s="3428"/>
      <c r="BB14" s="3430"/>
      <c r="BC14" s="3428"/>
      <c r="BD14" s="3430"/>
      <c r="BE14" s="1630"/>
      <c r="BF14" s="3362"/>
      <c r="BG14" s="3446"/>
      <c r="BH14" s="3446"/>
      <c r="BI14" s="3409"/>
      <c r="BJ14" s="3409"/>
      <c r="BK14" s="3412"/>
      <c r="BL14" s="1631"/>
      <c r="BM14" s="1631"/>
      <c r="BN14" s="3407"/>
      <c r="BO14" s="3407"/>
      <c r="BP14" s="3407"/>
      <c r="BQ14" s="3407"/>
      <c r="BR14" s="3396"/>
      <c r="BS14" s="3398"/>
      <c r="BT14" s="3399"/>
    </row>
    <row r="15" spans="1:90" s="571" customFormat="1" ht="60" customHeight="1" x14ac:dyDescent="0.2">
      <c r="A15" s="3369"/>
      <c r="B15" s="3373"/>
      <c r="C15" s="3374"/>
      <c r="D15" s="3377"/>
      <c r="E15" s="3378"/>
      <c r="F15" s="3378"/>
      <c r="G15" s="1569"/>
      <c r="H15" s="1627"/>
      <c r="I15" s="1628"/>
      <c r="J15" s="1632">
        <v>215</v>
      </c>
      <c r="K15" s="1633" t="s">
        <v>1366</v>
      </c>
      <c r="L15" s="1634" t="s">
        <v>1367</v>
      </c>
      <c r="M15" s="1635">
        <v>2</v>
      </c>
      <c r="N15" s="1636">
        <v>0.25</v>
      </c>
      <c r="O15" s="3419"/>
      <c r="P15" s="3479"/>
      <c r="Q15" s="3471"/>
      <c r="R15" s="1637">
        <f>SUM(W15)/S13</f>
        <v>2.2494747464095024E-3</v>
      </c>
      <c r="S15" s="3476"/>
      <c r="T15" s="3401"/>
      <c r="U15" s="3401"/>
      <c r="V15" s="1638" t="s">
        <v>1368</v>
      </c>
      <c r="W15" s="959">
        <v>15000000</v>
      </c>
      <c r="X15" s="1050">
        <v>14332000</v>
      </c>
      <c r="Y15" s="959">
        <v>3583000</v>
      </c>
      <c r="Z15" s="1622">
        <v>20</v>
      </c>
      <c r="AA15" s="1623" t="s">
        <v>1369</v>
      </c>
      <c r="AB15" s="3362"/>
      <c r="AC15" s="3362"/>
      <c r="AD15" s="3449"/>
      <c r="AE15" s="3362"/>
      <c r="AF15" s="3455"/>
      <c r="AG15" s="3452"/>
      <c r="AH15" s="3455"/>
      <c r="AI15" s="3452"/>
      <c r="AJ15" s="3455"/>
      <c r="AK15" s="3452"/>
      <c r="AL15" s="3421"/>
      <c r="AM15" s="3424"/>
      <c r="AN15" s="3426"/>
      <c r="AO15" s="3449"/>
      <c r="AP15" s="3426"/>
      <c r="AQ15" s="1629"/>
      <c r="AR15" s="3449"/>
      <c r="AS15" s="1629"/>
      <c r="AT15" s="3426"/>
      <c r="AU15" s="3428"/>
      <c r="AV15" s="3426"/>
      <c r="AW15" s="3428"/>
      <c r="AX15" s="3426"/>
      <c r="AY15" s="3428"/>
      <c r="AZ15" s="3426"/>
      <c r="BA15" s="3428"/>
      <c r="BB15" s="3426"/>
      <c r="BC15" s="3428"/>
      <c r="BD15" s="3426"/>
      <c r="BE15" s="1629"/>
      <c r="BF15" s="3362"/>
      <c r="BG15" s="3446"/>
      <c r="BH15" s="3446"/>
      <c r="BI15" s="3409"/>
      <c r="BJ15" s="3409"/>
      <c r="BK15" s="3412"/>
      <c r="BL15" s="1631"/>
      <c r="BM15" s="1631"/>
      <c r="BN15" s="1639">
        <v>43661</v>
      </c>
      <c r="BO15" s="1639">
        <v>43506</v>
      </c>
      <c r="BP15" s="1640">
        <v>43819</v>
      </c>
      <c r="BQ15" s="1640">
        <v>43626</v>
      </c>
      <c r="BR15" s="3397"/>
      <c r="BS15" s="3398"/>
      <c r="BT15" s="3399"/>
    </row>
    <row r="16" spans="1:90" s="571" customFormat="1" ht="41.25" customHeight="1" x14ac:dyDescent="0.2">
      <c r="A16" s="3369"/>
      <c r="B16" s="3373"/>
      <c r="C16" s="3374"/>
      <c r="D16" s="3377"/>
      <c r="E16" s="3378"/>
      <c r="F16" s="3378"/>
      <c r="G16" s="1569"/>
      <c r="H16" s="1627"/>
      <c r="I16" s="1628"/>
      <c r="J16" s="3400">
        <v>216</v>
      </c>
      <c r="K16" s="3401" t="s">
        <v>1370</v>
      </c>
      <c r="L16" s="3402" t="s">
        <v>1371</v>
      </c>
      <c r="M16" s="3403">
        <v>1.994</v>
      </c>
      <c r="N16" s="3404">
        <v>0</v>
      </c>
      <c r="O16" s="3419"/>
      <c r="P16" s="3479"/>
      <c r="Q16" s="3471"/>
      <c r="R16" s="3405">
        <f>SUM(W16:W19)/S13</f>
        <v>0.16121235682601434</v>
      </c>
      <c r="S16" s="3476"/>
      <c r="T16" s="3401"/>
      <c r="U16" s="3401"/>
      <c r="V16" s="1638" t="s">
        <v>1372</v>
      </c>
      <c r="W16" s="959">
        <v>15000000</v>
      </c>
      <c r="X16" s="1641">
        <v>0</v>
      </c>
      <c r="Y16" s="1236">
        <v>0</v>
      </c>
      <c r="Z16" s="1642">
        <v>20</v>
      </c>
      <c r="AA16" s="1643" t="s">
        <v>1363</v>
      </c>
      <c r="AB16" s="3362"/>
      <c r="AC16" s="3362"/>
      <c r="AD16" s="3449"/>
      <c r="AE16" s="3362"/>
      <c r="AF16" s="3455"/>
      <c r="AG16" s="3452"/>
      <c r="AH16" s="3455"/>
      <c r="AI16" s="3452"/>
      <c r="AJ16" s="3455"/>
      <c r="AK16" s="3452"/>
      <c r="AL16" s="3421"/>
      <c r="AM16" s="3424"/>
      <c r="AN16" s="3426"/>
      <c r="AO16" s="3449"/>
      <c r="AP16" s="3426"/>
      <c r="AQ16" s="1629"/>
      <c r="AR16" s="3449"/>
      <c r="AS16" s="1629"/>
      <c r="AT16" s="3426"/>
      <c r="AU16" s="3428"/>
      <c r="AV16" s="3426"/>
      <c r="AW16" s="3428"/>
      <c r="AX16" s="3426"/>
      <c r="AY16" s="3428"/>
      <c r="AZ16" s="3426"/>
      <c r="BA16" s="3428"/>
      <c r="BB16" s="3426"/>
      <c r="BC16" s="3428"/>
      <c r="BD16" s="3426"/>
      <c r="BE16" s="1629"/>
      <c r="BF16" s="3362"/>
      <c r="BG16" s="3446"/>
      <c r="BH16" s="3446"/>
      <c r="BI16" s="3409"/>
      <c r="BJ16" s="3409"/>
      <c r="BK16" s="3412"/>
      <c r="BL16" s="1631"/>
      <c r="BM16" s="1631"/>
      <c r="BN16" s="1639">
        <v>43631</v>
      </c>
      <c r="BO16" s="1639"/>
      <c r="BP16" s="1640">
        <v>43819</v>
      </c>
      <c r="BQ16" s="1640"/>
      <c r="BR16" s="3397"/>
      <c r="BS16" s="3398"/>
      <c r="BT16" s="3399"/>
    </row>
    <row r="17" spans="1:72" s="571" customFormat="1" ht="44.25" customHeight="1" x14ac:dyDescent="0.2">
      <c r="A17" s="3369"/>
      <c r="B17" s="3373"/>
      <c r="C17" s="3374"/>
      <c r="D17" s="3377"/>
      <c r="E17" s="3378"/>
      <c r="F17" s="3378"/>
      <c r="G17" s="1569"/>
      <c r="H17" s="1627"/>
      <c r="I17" s="1628"/>
      <c r="J17" s="3400"/>
      <c r="K17" s="3401"/>
      <c r="L17" s="3402"/>
      <c r="M17" s="3403"/>
      <c r="N17" s="3404"/>
      <c r="O17" s="3419"/>
      <c r="P17" s="3479"/>
      <c r="Q17" s="3471"/>
      <c r="R17" s="3405"/>
      <c r="S17" s="3476"/>
      <c r="T17" s="3401"/>
      <c r="U17" s="3401"/>
      <c r="V17" s="1638" t="s">
        <v>1373</v>
      </c>
      <c r="W17" s="959">
        <v>850000000</v>
      </c>
      <c r="X17" s="1644">
        <v>0</v>
      </c>
      <c r="Y17" s="959">
        <v>0</v>
      </c>
      <c r="Z17" s="1645">
        <v>92</v>
      </c>
      <c r="AA17" s="1646" t="s">
        <v>1365</v>
      </c>
      <c r="AB17" s="3362"/>
      <c r="AC17" s="3362"/>
      <c r="AD17" s="3449"/>
      <c r="AE17" s="3362"/>
      <c r="AF17" s="3455"/>
      <c r="AG17" s="3452"/>
      <c r="AH17" s="3455"/>
      <c r="AI17" s="3452"/>
      <c r="AJ17" s="3455"/>
      <c r="AK17" s="3452"/>
      <c r="AL17" s="3421"/>
      <c r="AM17" s="3424"/>
      <c r="AN17" s="3426"/>
      <c r="AO17" s="3449"/>
      <c r="AP17" s="3426"/>
      <c r="AQ17" s="1629"/>
      <c r="AR17" s="3449"/>
      <c r="AS17" s="1629"/>
      <c r="AT17" s="3426"/>
      <c r="AU17" s="3428"/>
      <c r="AV17" s="3426"/>
      <c r="AW17" s="3428"/>
      <c r="AX17" s="3426"/>
      <c r="AY17" s="3428"/>
      <c r="AZ17" s="3426"/>
      <c r="BA17" s="3428"/>
      <c r="BB17" s="3426"/>
      <c r="BC17" s="3428"/>
      <c r="BD17" s="3426"/>
      <c r="BE17" s="1629"/>
      <c r="BF17" s="3362"/>
      <c r="BG17" s="3446"/>
      <c r="BH17" s="3446"/>
      <c r="BI17" s="3409"/>
      <c r="BJ17" s="3409"/>
      <c r="BK17" s="3412"/>
      <c r="BL17" s="1631"/>
      <c r="BM17" s="1631"/>
      <c r="BN17" s="1639">
        <v>43626</v>
      </c>
      <c r="BO17" s="1639"/>
      <c r="BP17" s="1640">
        <v>43723</v>
      </c>
      <c r="BQ17" s="1640"/>
      <c r="BR17" s="3397"/>
      <c r="BS17" s="1412"/>
      <c r="BT17" s="1647"/>
    </row>
    <row r="18" spans="1:72" s="571" customFormat="1" ht="36" customHeight="1" x14ac:dyDescent="0.2">
      <c r="A18" s="3369"/>
      <c r="B18" s="3373"/>
      <c r="C18" s="3374"/>
      <c r="D18" s="3377"/>
      <c r="E18" s="3378"/>
      <c r="F18" s="3378"/>
      <c r="G18" s="1569"/>
      <c r="H18" s="1627"/>
      <c r="I18" s="1628"/>
      <c r="J18" s="3400"/>
      <c r="K18" s="3401"/>
      <c r="L18" s="3402"/>
      <c r="M18" s="3403"/>
      <c r="N18" s="3404"/>
      <c r="O18" s="3419"/>
      <c r="P18" s="3479"/>
      <c r="Q18" s="3471"/>
      <c r="R18" s="3405"/>
      <c r="S18" s="3476"/>
      <c r="T18" s="3401"/>
      <c r="U18" s="3401"/>
      <c r="V18" s="3359" t="s">
        <v>1374</v>
      </c>
      <c r="W18" s="1620">
        <v>10000000</v>
      </c>
      <c r="X18" s="1235">
        <v>0</v>
      </c>
      <c r="Y18" s="1648">
        <v>0</v>
      </c>
      <c r="Z18" s="1642">
        <v>20</v>
      </c>
      <c r="AA18" s="1649" t="s">
        <v>1375</v>
      </c>
      <c r="AB18" s="3362"/>
      <c r="AC18" s="3362"/>
      <c r="AD18" s="3449"/>
      <c r="AE18" s="3362"/>
      <c r="AF18" s="3455"/>
      <c r="AG18" s="3452"/>
      <c r="AH18" s="3455"/>
      <c r="AI18" s="3452"/>
      <c r="AJ18" s="3455"/>
      <c r="AK18" s="3452"/>
      <c r="AL18" s="3421"/>
      <c r="AM18" s="3424"/>
      <c r="AN18" s="3426"/>
      <c r="AO18" s="3449"/>
      <c r="AP18" s="3426"/>
      <c r="AQ18" s="1629"/>
      <c r="AR18" s="3449"/>
      <c r="AS18" s="1629"/>
      <c r="AT18" s="3426"/>
      <c r="AU18" s="3428"/>
      <c r="AV18" s="3426"/>
      <c r="AW18" s="3428"/>
      <c r="AX18" s="3426"/>
      <c r="AY18" s="3428"/>
      <c r="AZ18" s="3426"/>
      <c r="BA18" s="3428"/>
      <c r="BB18" s="3426"/>
      <c r="BC18" s="3428"/>
      <c r="BD18" s="3426"/>
      <c r="BE18" s="1629"/>
      <c r="BF18" s="3362"/>
      <c r="BG18" s="3446"/>
      <c r="BH18" s="3446"/>
      <c r="BI18" s="3409"/>
      <c r="BJ18" s="3409"/>
      <c r="BK18" s="3412"/>
      <c r="BL18" s="1631"/>
      <c r="BM18" s="1631"/>
      <c r="BN18" s="3406">
        <v>43678</v>
      </c>
      <c r="BO18" s="3406"/>
      <c r="BP18" s="3406">
        <v>43819</v>
      </c>
      <c r="BQ18" s="3406"/>
      <c r="BR18" s="3397"/>
      <c r="BS18" s="1412"/>
      <c r="BT18" s="1647"/>
    </row>
    <row r="19" spans="1:72" s="571" customFormat="1" ht="42" customHeight="1" x14ac:dyDescent="0.2">
      <c r="A19" s="3369"/>
      <c r="B19" s="3373"/>
      <c r="C19" s="3374"/>
      <c r="D19" s="3377"/>
      <c r="E19" s="3378"/>
      <c r="F19" s="3378"/>
      <c r="G19" s="1569"/>
      <c r="H19" s="1627"/>
      <c r="I19" s="1628"/>
      <c r="J19" s="3400"/>
      <c r="K19" s="3401"/>
      <c r="L19" s="3402"/>
      <c r="M19" s="3403"/>
      <c r="N19" s="3404"/>
      <c r="O19" s="3419"/>
      <c r="P19" s="3479"/>
      <c r="Q19" s="3471"/>
      <c r="R19" s="3405"/>
      <c r="S19" s="3476"/>
      <c r="T19" s="3401"/>
      <c r="U19" s="3401"/>
      <c r="V19" s="3360"/>
      <c r="W19" s="1620">
        <v>200000000</v>
      </c>
      <c r="X19" s="1235"/>
      <c r="Y19" s="1648"/>
      <c r="Z19" s="1642">
        <v>92</v>
      </c>
      <c r="AA19" s="1646" t="s">
        <v>1365</v>
      </c>
      <c r="AB19" s="3362"/>
      <c r="AC19" s="3362"/>
      <c r="AD19" s="3449"/>
      <c r="AE19" s="3362"/>
      <c r="AF19" s="3455"/>
      <c r="AG19" s="3452"/>
      <c r="AH19" s="3455"/>
      <c r="AI19" s="3452"/>
      <c r="AJ19" s="3455"/>
      <c r="AK19" s="3452"/>
      <c r="AL19" s="3421"/>
      <c r="AM19" s="3424"/>
      <c r="AN19" s="3426"/>
      <c r="AO19" s="3449"/>
      <c r="AP19" s="3426"/>
      <c r="AQ19" s="1629"/>
      <c r="AR19" s="3449"/>
      <c r="AS19" s="1629"/>
      <c r="AT19" s="3426"/>
      <c r="AU19" s="3428"/>
      <c r="AV19" s="3426"/>
      <c r="AW19" s="3428"/>
      <c r="AX19" s="3426"/>
      <c r="AY19" s="3428"/>
      <c r="AZ19" s="3426"/>
      <c r="BA19" s="3428"/>
      <c r="BB19" s="3426"/>
      <c r="BC19" s="3428"/>
      <c r="BD19" s="3426"/>
      <c r="BE19" s="1629"/>
      <c r="BF19" s="3362"/>
      <c r="BG19" s="3446"/>
      <c r="BH19" s="3446"/>
      <c r="BI19" s="3409"/>
      <c r="BJ19" s="3409"/>
      <c r="BK19" s="3412"/>
      <c r="BL19" s="1631"/>
      <c r="BM19" s="1631"/>
      <c r="BN19" s="3407"/>
      <c r="BO19" s="3407"/>
      <c r="BP19" s="3407"/>
      <c r="BQ19" s="3407"/>
      <c r="BR19" s="3397"/>
      <c r="BS19" s="1569"/>
      <c r="BT19" s="1569"/>
    </row>
    <row r="20" spans="1:72" s="571" customFormat="1" ht="35.25" customHeight="1" x14ac:dyDescent="0.2">
      <c r="A20" s="3369"/>
      <c r="B20" s="3373"/>
      <c r="C20" s="3374"/>
      <c r="D20" s="3377"/>
      <c r="E20" s="3378"/>
      <c r="F20" s="3378"/>
      <c r="G20" s="1569"/>
      <c r="H20" s="1627"/>
      <c r="I20" s="1628"/>
      <c r="J20" s="3379">
        <v>217</v>
      </c>
      <c r="K20" s="3432" t="s">
        <v>1376</v>
      </c>
      <c r="L20" s="3435" t="s">
        <v>1377</v>
      </c>
      <c r="M20" s="3416">
        <v>5</v>
      </c>
      <c r="N20" s="3439">
        <v>0.1</v>
      </c>
      <c r="O20" s="1650"/>
      <c r="P20" s="3479"/>
      <c r="Q20" s="3471"/>
      <c r="R20" s="3442">
        <f>SUM(W20:W46)/S13</f>
        <v>0.81260375712577904</v>
      </c>
      <c r="S20" s="3476"/>
      <c r="T20" s="3401"/>
      <c r="U20" s="3478"/>
      <c r="V20" s="3364" t="s">
        <v>1378</v>
      </c>
      <c r="W20" s="1621">
        <v>2300000000</v>
      </c>
      <c r="X20" s="1621">
        <v>3360000</v>
      </c>
      <c r="Y20" s="1621">
        <v>3100000</v>
      </c>
      <c r="Z20" s="1622">
        <v>42</v>
      </c>
      <c r="AA20" s="1623" t="s">
        <v>1379</v>
      </c>
      <c r="AB20" s="3362"/>
      <c r="AC20" s="3362"/>
      <c r="AD20" s="3449"/>
      <c r="AE20" s="3362"/>
      <c r="AF20" s="3455"/>
      <c r="AG20" s="3452"/>
      <c r="AH20" s="3455"/>
      <c r="AI20" s="3452"/>
      <c r="AJ20" s="3455"/>
      <c r="AK20" s="3452"/>
      <c r="AL20" s="3421"/>
      <c r="AM20" s="3424"/>
      <c r="AN20" s="3426"/>
      <c r="AO20" s="3449"/>
      <c r="AP20" s="3426"/>
      <c r="AQ20" s="1629"/>
      <c r="AR20" s="3449"/>
      <c r="AS20" s="1629"/>
      <c r="AT20" s="3426"/>
      <c r="AU20" s="3428"/>
      <c r="AV20" s="3426"/>
      <c r="AW20" s="3428"/>
      <c r="AX20" s="3426"/>
      <c r="AY20" s="3428"/>
      <c r="AZ20" s="3426"/>
      <c r="BA20" s="3428"/>
      <c r="BB20" s="3426"/>
      <c r="BC20" s="3428"/>
      <c r="BD20" s="3426"/>
      <c r="BE20" s="1629"/>
      <c r="BF20" s="3362"/>
      <c r="BG20" s="3446"/>
      <c r="BH20" s="3446"/>
      <c r="BI20" s="3409"/>
      <c r="BJ20" s="3409"/>
      <c r="BK20" s="3412"/>
      <c r="BL20" s="1631"/>
      <c r="BM20" s="1631"/>
      <c r="BN20" s="3406">
        <v>43647</v>
      </c>
      <c r="BO20" s="3406">
        <v>43491</v>
      </c>
      <c r="BP20" s="3406">
        <v>43819</v>
      </c>
      <c r="BQ20" s="3406" t="s">
        <v>1380</v>
      </c>
      <c r="BR20" s="3397"/>
      <c r="BS20" s="1569"/>
      <c r="BT20" s="1569"/>
    </row>
    <row r="21" spans="1:72" s="571" customFormat="1" ht="42.75" x14ac:dyDescent="0.2">
      <c r="A21" s="3369"/>
      <c r="B21" s="3373"/>
      <c r="C21" s="3374"/>
      <c r="D21" s="3377"/>
      <c r="E21" s="3378"/>
      <c r="F21" s="3378"/>
      <c r="G21" s="1569"/>
      <c r="H21" s="1627"/>
      <c r="I21" s="1628"/>
      <c r="J21" s="3431"/>
      <c r="K21" s="3433"/>
      <c r="L21" s="3436"/>
      <c r="M21" s="3438"/>
      <c r="N21" s="3440"/>
      <c r="O21" s="1650"/>
      <c r="P21" s="3479"/>
      <c r="Q21" s="3471"/>
      <c r="R21" s="3443"/>
      <c r="S21" s="3476"/>
      <c r="T21" s="3401"/>
      <c r="U21" s="3478"/>
      <c r="V21" s="3365"/>
      <c r="W21" s="1621">
        <v>2200000000</v>
      </c>
      <c r="X21" s="1621"/>
      <c r="Y21" s="1621"/>
      <c r="Z21" s="1622">
        <v>92</v>
      </c>
      <c r="AA21" s="1623" t="s">
        <v>1365</v>
      </c>
      <c r="AB21" s="3362"/>
      <c r="AC21" s="3362"/>
      <c r="AD21" s="3449"/>
      <c r="AE21" s="3362"/>
      <c r="AF21" s="3455"/>
      <c r="AG21" s="3452"/>
      <c r="AH21" s="3455"/>
      <c r="AI21" s="3452"/>
      <c r="AJ21" s="3455"/>
      <c r="AK21" s="3452"/>
      <c r="AL21" s="3421"/>
      <c r="AM21" s="3424"/>
      <c r="AN21" s="3426"/>
      <c r="AO21" s="3449"/>
      <c r="AP21" s="3426"/>
      <c r="AQ21" s="1629"/>
      <c r="AR21" s="3449"/>
      <c r="AS21" s="1629"/>
      <c r="AT21" s="3426"/>
      <c r="AU21" s="3428"/>
      <c r="AV21" s="3426"/>
      <c r="AW21" s="3428"/>
      <c r="AX21" s="3426"/>
      <c r="AY21" s="3428"/>
      <c r="AZ21" s="3426"/>
      <c r="BA21" s="3428"/>
      <c r="BB21" s="3426"/>
      <c r="BC21" s="3428"/>
      <c r="BD21" s="3426"/>
      <c r="BE21" s="1629"/>
      <c r="BF21" s="3362"/>
      <c r="BG21" s="3446"/>
      <c r="BH21" s="3446"/>
      <c r="BI21" s="3409"/>
      <c r="BJ21" s="3409"/>
      <c r="BK21" s="3412"/>
      <c r="BL21" s="1631"/>
      <c r="BM21" s="1631"/>
      <c r="BN21" s="3407"/>
      <c r="BO21" s="3407"/>
      <c r="BP21" s="3407"/>
      <c r="BQ21" s="3407"/>
      <c r="BR21" s="3397"/>
      <c r="BS21" s="1569"/>
      <c r="BT21" s="1569"/>
    </row>
    <row r="22" spans="1:72" s="571" customFormat="1" ht="37.5" customHeight="1" x14ac:dyDescent="0.2">
      <c r="A22" s="3369"/>
      <c r="B22" s="3373"/>
      <c r="C22" s="3374"/>
      <c r="D22" s="3377"/>
      <c r="E22" s="3378"/>
      <c r="F22" s="3378"/>
      <c r="G22" s="1569"/>
      <c r="H22" s="1627"/>
      <c r="I22" s="1628"/>
      <c r="J22" s="3431"/>
      <c r="K22" s="3433"/>
      <c r="L22" s="3436"/>
      <c r="M22" s="3438"/>
      <c r="N22" s="3440"/>
      <c r="O22" s="1650"/>
      <c r="P22" s="3479"/>
      <c r="Q22" s="3471"/>
      <c r="R22" s="3443"/>
      <c r="S22" s="3476"/>
      <c r="T22" s="3401"/>
      <c r="U22" s="3478"/>
      <c r="V22" s="3364" t="s">
        <v>1381</v>
      </c>
      <c r="W22" s="1620">
        <v>100000000</v>
      </c>
      <c r="X22" s="1621">
        <v>3382366</v>
      </c>
      <c r="Y22" s="1621">
        <v>3382366</v>
      </c>
      <c r="Z22" s="1622">
        <v>42</v>
      </c>
      <c r="AA22" s="1623" t="s">
        <v>1379</v>
      </c>
      <c r="AB22" s="3362"/>
      <c r="AC22" s="3362"/>
      <c r="AD22" s="3449"/>
      <c r="AE22" s="3362"/>
      <c r="AF22" s="3455"/>
      <c r="AG22" s="3452"/>
      <c r="AH22" s="3455"/>
      <c r="AI22" s="3452"/>
      <c r="AJ22" s="3455"/>
      <c r="AK22" s="3452"/>
      <c r="AL22" s="3421"/>
      <c r="AM22" s="3424"/>
      <c r="AN22" s="3426"/>
      <c r="AO22" s="3449"/>
      <c r="AP22" s="3426"/>
      <c r="AQ22" s="1629"/>
      <c r="AR22" s="3449"/>
      <c r="AS22" s="1629"/>
      <c r="AT22" s="3426"/>
      <c r="AU22" s="3428"/>
      <c r="AV22" s="3426"/>
      <c r="AW22" s="3428"/>
      <c r="AX22" s="3426"/>
      <c r="AY22" s="3428"/>
      <c r="AZ22" s="3426"/>
      <c r="BA22" s="3428"/>
      <c r="BB22" s="3426"/>
      <c r="BC22" s="3428"/>
      <c r="BD22" s="3426"/>
      <c r="BE22" s="1629"/>
      <c r="BF22" s="3362"/>
      <c r="BG22" s="3446"/>
      <c r="BH22" s="3446"/>
      <c r="BI22" s="3409"/>
      <c r="BJ22" s="3409"/>
      <c r="BK22" s="3412"/>
      <c r="BL22" s="1631"/>
      <c r="BM22" s="1631"/>
      <c r="BN22" s="3406">
        <v>43539</v>
      </c>
      <c r="BO22" s="3406">
        <v>43491</v>
      </c>
      <c r="BP22" s="3406">
        <v>43819</v>
      </c>
      <c r="BQ22" s="3406">
        <v>43820</v>
      </c>
      <c r="BR22" s="3397"/>
      <c r="BS22" s="1569"/>
      <c r="BT22" s="1569"/>
    </row>
    <row r="23" spans="1:72" s="571" customFormat="1" ht="48" customHeight="1" x14ac:dyDescent="0.2">
      <c r="A23" s="3369"/>
      <c r="B23" s="3373"/>
      <c r="C23" s="3374"/>
      <c r="D23" s="3377"/>
      <c r="E23" s="3378"/>
      <c r="F23" s="3378"/>
      <c r="G23" s="1569"/>
      <c r="H23" s="1627"/>
      <c r="I23" s="1628"/>
      <c r="J23" s="3431"/>
      <c r="K23" s="3433"/>
      <c r="L23" s="3436"/>
      <c r="M23" s="3438"/>
      <c r="N23" s="3440"/>
      <c r="O23" s="1650"/>
      <c r="P23" s="3479"/>
      <c r="Q23" s="3471"/>
      <c r="R23" s="3443"/>
      <c r="S23" s="3476"/>
      <c r="T23" s="3401"/>
      <c r="U23" s="3478"/>
      <c r="V23" s="3365"/>
      <c r="W23" s="1651">
        <v>98623337</v>
      </c>
      <c r="X23" s="1621"/>
      <c r="Y23" s="1621"/>
      <c r="Z23" s="1622">
        <v>92</v>
      </c>
      <c r="AA23" s="1623" t="s">
        <v>1365</v>
      </c>
      <c r="AB23" s="3362"/>
      <c r="AC23" s="3362"/>
      <c r="AD23" s="3449"/>
      <c r="AE23" s="3362"/>
      <c r="AF23" s="3455"/>
      <c r="AG23" s="3452"/>
      <c r="AH23" s="3455"/>
      <c r="AI23" s="3452"/>
      <c r="AJ23" s="3455"/>
      <c r="AK23" s="3452"/>
      <c r="AL23" s="3421"/>
      <c r="AM23" s="3424"/>
      <c r="AN23" s="3426"/>
      <c r="AO23" s="3449"/>
      <c r="AP23" s="3426"/>
      <c r="AQ23" s="1629"/>
      <c r="AR23" s="3449"/>
      <c r="AS23" s="1629"/>
      <c r="AT23" s="3426"/>
      <c r="AU23" s="3428"/>
      <c r="AV23" s="3426"/>
      <c r="AW23" s="3428"/>
      <c r="AX23" s="3426"/>
      <c r="AY23" s="3428"/>
      <c r="AZ23" s="3426"/>
      <c r="BA23" s="3428"/>
      <c r="BB23" s="3426"/>
      <c r="BC23" s="3428"/>
      <c r="BD23" s="3426"/>
      <c r="BE23" s="1629"/>
      <c r="BF23" s="3362"/>
      <c r="BG23" s="3446"/>
      <c r="BH23" s="3446"/>
      <c r="BI23" s="3409"/>
      <c r="BJ23" s="3409"/>
      <c r="BK23" s="3412"/>
      <c r="BL23" s="1631"/>
      <c r="BM23" s="1631"/>
      <c r="BN23" s="3407"/>
      <c r="BO23" s="3407"/>
      <c r="BP23" s="3407"/>
      <c r="BQ23" s="3407"/>
      <c r="BR23" s="3397"/>
      <c r="BS23" s="1569"/>
      <c r="BT23" s="1569"/>
    </row>
    <row r="24" spans="1:72" s="571" customFormat="1" ht="34.5" customHeight="1" x14ac:dyDescent="0.2">
      <c r="A24" s="3369"/>
      <c r="B24" s="3373"/>
      <c r="C24" s="3374"/>
      <c r="D24" s="3377"/>
      <c r="E24" s="3378"/>
      <c r="F24" s="3378"/>
      <c r="G24" s="1569"/>
      <c r="H24" s="1627"/>
      <c r="I24" s="1628"/>
      <c r="J24" s="3431"/>
      <c r="K24" s="3433"/>
      <c r="L24" s="3436"/>
      <c r="M24" s="3438"/>
      <c r="N24" s="3440"/>
      <c r="O24" s="1650"/>
      <c r="P24" s="3479"/>
      <c r="Q24" s="3471"/>
      <c r="R24" s="3443"/>
      <c r="S24" s="3476"/>
      <c r="T24" s="3401"/>
      <c r="U24" s="3478"/>
      <c r="V24" s="3364" t="s">
        <v>1382</v>
      </c>
      <c r="W24" s="1620">
        <v>100000000</v>
      </c>
      <c r="X24" s="1621">
        <v>0</v>
      </c>
      <c r="Y24" s="1620">
        <v>0</v>
      </c>
      <c r="Z24" s="1622">
        <v>42</v>
      </c>
      <c r="AA24" s="1623" t="s">
        <v>1379</v>
      </c>
      <c r="AB24" s="3362"/>
      <c r="AC24" s="3362"/>
      <c r="AD24" s="3449"/>
      <c r="AE24" s="3362"/>
      <c r="AF24" s="3455"/>
      <c r="AG24" s="3452"/>
      <c r="AH24" s="3455"/>
      <c r="AI24" s="3452"/>
      <c r="AJ24" s="3455"/>
      <c r="AK24" s="3452"/>
      <c r="AL24" s="3421"/>
      <c r="AM24" s="3424"/>
      <c r="AN24" s="3426"/>
      <c r="AO24" s="3449"/>
      <c r="AP24" s="3426"/>
      <c r="AQ24" s="1629"/>
      <c r="AR24" s="3449"/>
      <c r="AS24" s="1629"/>
      <c r="AT24" s="3426"/>
      <c r="AU24" s="3428"/>
      <c r="AV24" s="3426"/>
      <c r="AW24" s="3428"/>
      <c r="AX24" s="3426"/>
      <c r="AY24" s="3428"/>
      <c r="AZ24" s="3426"/>
      <c r="BA24" s="3428"/>
      <c r="BB24" s="3426"/>
      <c r="BC24" s="3428"/>
      <c r="BD24" s="3426"/>
      <c r="BE24" s="1629"/>
      <c r="BF24" s="3362"/>
      <c r="BG24" s="3446"/>
      <c r="BH24" s="3446"/>
      <c r="BI24" s="3409"/>
      <c r="BJ24" s="3409"/>
      <c r="BK24" s="3412"/>
      <c r="BL24" s="1631"/>
      <c r="BM24" s="1631"/>
      <c r="BN24" s="3406">
        <v>43539</v>
      </c>
      <c r="BO24" s="3406"/>
      <c r="BP24" s="3406">
        <v>43819</v>
      </c>
      <c r="BQ24" s="3406"/>
      <c r="BR24" s="3397"/>
      <c r="BS24" s="1569"/>
      <c r="BT24" s="1569"/>
    </row>
    <row r="25" spans="1:72" s="571" customFormat="1" ht="39" customHeight="1" x14ac:dyDescent="0.2">
      <c r="A25" s="3369"/>
      <c r="B25" s="3373"/>
      <c r="C25" s="3374"/>
      <c r="D25" s="3377"/>
      <c r="E25" s="3378"/>
      <c r="F25" s="3378"/>
      <c r="G25" s="1569"/>
      <c r="H25" s="1627"/>
      <c r="I25" s="1628"/>
      <c r="J25" s="3431"/>
      <c r="K25" s="3433"/>
      <c r="L25" s="3436"/>
      <c r="M25" s="3438"/>
      <c r="N25" s="3440"/>
      <c r="O25" s="1652"/>
      <c r="P25" s="3479"/>
      <c r="Q25" s="3471"/>
      <c r="R25" s="3443"/>
      <c r="S25" s="3476"/>
      <c r="T25" s="3401"/>
      <c r="U25" s="3478"/>
      <c r="V25" s="3365"/>
      <c r="W25" s="1620">
        <v>20000000</v>
      </c>
      <c r="X25" s="1621">
        <v>0</v>
      </c>
      <c r="Y25" s="1620">
        <v>0</v>
      </c>
      <c r="Z25" s="1622">
        <v>92</v>
      </c>
      <c r="AA25" s="1623" t="s">
        <v>1365</v>
      </c>
      <c r="AB25" s="3362"/>
      <c r="AC25" s="3362"/>
      <c r="AD25" s="3449"/>
      <c r="AE25" s="3362"/>
      <c r="AF25" s="3455"/>
      <c r="AG25" s="3452"/>
      <c r="AH25" s="3455"/>
      <c r="AI25" s="3452"/>
      <c r="AJ25" s="3455"/>
      <c r="AK25" s="3452"/>
      <c r="AL25" s="3421"/>
      <c r="AM25" s="3424"/>
      <c r="AN25" s="3426"/>
      <c r="AO25" s="3449"/>
      <c r="AP25" s="3426"/>
      <c r="AQ25" s="1629"/>
      <c r="AR25" s="3449"/>
      <c r="AS25" s="1629"/>
      <c r="AT25" s="3426"/>
      <c r="AU25" s="3428"/>
      <c r="AV25" s="3426"/>
      <c r="AW25" s="3428"/>
      <c r="AX25" s="3426"/>
      <c r="AY25" s="3428"/>
      <c r="AZ25" s="3426"/>
      <c r="BA25" s="3428"/>
      <c r="BB25" s="3426"/>
      <c r="BC25" s="3428"/>
      <c r="BD25" s="3426"/>
      <c r="BE25" s="1629"/>
      <c r="BF25" s="3362"/>
      <c r="BG25" s="3446"/>
      <c r="BH25" s="3446"/>
      <c r="BI25" s="3409"/>
      <c r="BJ25" s="3409"/>
      <c r="BK25" s="3412"/>
      <c r="BL25" s="1631"/>
      <c r="BM25" s="1631"/>
      <c r="BN25" s="3407"/>
      <c r="BO25" s="3407"/>
      <c r="BP25" s="3407"/>
      <c r="BQ25" s="3407"/>
      <c r="BR25" s="3397"/>
      <c r="BS25" s="1569"/>
      <c r="BT25" s="1569"/>
    </row>
    <row r="26" spans="1:72" s="571" customFormat="1" ht="54" customHeight="1" x14ac:dyDescent="0.2">
      <c r="A26" s="3369"/>
      <c r="B26" s="3373"/>
      <c r="C26" s="3374"/>
      <c r="D26" s="3377"/>
      <c r="E26" s="3378"/>
      <c r="F26" s="3378"/>
      <c r="G26" s="1569"/>
      <c r="H26" s="1627"/>
      <c r="I26" s="1628"/>
      <c r="J26" s="3431"/>
      <c r="K26" s="3433"/>
      <c r="L26" s="3436"/>
      <c r="M26" s="3438"/>
      <c r="N26" s="3440"/>
      <c r="O26" s="1652"/>
      <c r="P26" s="3479"/>
      <c r="Q26" s="3471"/>
      <c r="R26" s="3443"/>
      <c r="S26" s="3476"/>
      <c r="T26" s="3401"/>
      <c r="U26" s="3478"/>
      <c r="V26" s="999" t="s">
        <v>1383</v>
      </c>
      <c r="W26" s="959">
        <v>3000000</v>
      </c>
      <c r="X26" s="1050">
        <v>0</v>
      </c>
      <c r="Y26" s="959">
        <v>0</v>
      </c>
      <c r="Z26" s="1622">
        <v>42</v>
      </c>
      <c r="AA26" s="1623" t="s">
        <v>1379</v>
      </c>
      <c r="AB26" s="3362"/>
      <c r="AC26" s="3362"/>
      <c r="AD26" s="3449"/>
      <c r="AE26" s="3362"/>
      <c r="AF26" s="3455"/>
      <c r="AG26" s="3452"/>
      <c r="AH26" s="3455"/>
      <c r="AI26" s="3452"/>
      <c r="AJ26" s="3455"/>
      <c r="AK26" s="3452"/>
      <c r="AL26" s="3421"/>
      <c r="AM26" s="3424"/>
      <c r="AN26" s="3426"/>
      <c r="AO26" s="3449"/>
      <c r="AP26" s="3426"/>
      <c r="AQ26" s="1629"/>
      <c r="AR26" s="3449"/>
      <c r="AS26" s="1629"/>
      <c r="AT26" s="3426"/>
      <c r="AU26" s="3428"/>
      <c r="AV26" s="3426"/>
      <c r="AW26" s="3428"/>
      <c r="AX26" s="3426"/>
      <c r="AY26" s="3428"/>
      <c r="AZ26" s="3426"/>
      <c r="BA26" s="3428"/>
      <c r="BB26" s="3426"/>
      <c r="BC26" s="3428"/>
      <c r="BD26" s="3426"/>
      <c r="BE26" s="1629"/>
      <c r="BF26" s="3362"/>
      <c r="BG26" s="3446"/>
      <c r="BH26" s="3446"/>
      <c r="BI26" s="3409"/>
      <c r="BJ26" s="3409"/>
      <c r="BK26" s="3412"/>
      <c r="BL26" s="1653">
        <v>20</v>
      </c>
      <c r="BM26" s="1654"/>
      <c r="BN26" s="1639">
        <v>43539</v>
      </c>
      <c r="BO26" s="1639"/>
      <c r="BP26" s="1640">
        <v>43646</v>
      </c>
      <c r="BQ26" s="1640"/>
      <c r="BR26" s="3397"/>
      <c r="BS26" s="1569"/>
      <c r="BT26" s="1569"/>
    </row>
    <row r="27" spans="1:72" s="571" customFormat="1" ht="33" customHeight="1" x14ac:dyDescent="0.2">
      <c r="A27" s="3369"/>
      <c r="B27" s="3373"/>
      <c r="C27" s="3374"/>
      <c r="D27" s="3377"/>
      <c r="E27" s="3378"/>
      <c r="F27" s="3378"/>
      <c r="G27" s="1569"/>
      <c r="H27" s="1627"/>
      <c r="I27" s="1628"/>
      <c r="J27" s="3431"/>
      <c r="K27" s="3433"/>
      <c r="L27" s="3436"/>
      <c r="M27" s="3438"/>
      <c r="N27" s="3440"/>
      <c r="O27" s="1652" t="s">
        <v>1384</v>
      </c>
      <c r="P27" s="3479"/>
      <c r="Q27" s="3471"/>
      <c r="R27" s="3443"/>
      <c r="S27" s="3476"/>
      <c r="T27" s="3401"/>
      <c r="U27" s="3478"/>
      <c r="V27" s="3364" t="s">
        <v>1385</v>
      </c>
      <c r="W27" s="1620">
        <v>50000000</v>
      </c>
      <c r="X27" s="1621">
        <v>0</v>
      </c>
      <c r="Y27" s="1620">
        <v>0</v>
      </c>
      <c r="Z27" s="1622">
        <v>42</v>
      </c>
      <c r="AA27" s="1623" t="s">
        <v>1379</v>
      </c>
      <c r="AB27" s="3362"/>
      <c r="AC27" s="3362"/>
      <c r="AD27" s="3449"/>
      <c r="AE27" s="3362"/>
      <c r="AF27" s="3455"/>
      <c r="AG27" s="3452"/>
      <c r="AH27" s="3455"/>
      <c r="AI27" s="3452"/>
      <c r="AJ27" s="3455"/>
      <c r="AK27" s="3452"/>
      <c r="AL27" s="3421"/>
      <c r="AM27" s="3424"/>
      <c r="AN27" s="3426"/>
      <c r="AO27" s="3449"/>
      <c r="AP27" s="3426"/>
      <c r="AQ27" s="1629"/>
      <c r="AR27" s="3449"/>
      <c r="AS27" s="1629"/>
      <c r="AT27" s="3426"/>
      <c r="AU27" s="3428"/>
      <c r="AV27" s="3426"/>
      <c r="AW27" s="3428"/>
      <c r="AX27" s="3426"/>
      <c r="AY27" s="3428"/>
      <c r="AZ27" s="3426"/>
      <c r="BA27" s="3428"/>
      <c r="BB27" s="3426"/>
      <c r="BC27" s="3428"/>
      <c r="BD27" s="3426"/>
      <c r="BE27" s="1629"/>
      <c r="BF27" s="3362"/>
      <c r="BG27" s="3446"/>
      <c r="BH27" s="3446"/>
      <c r="BI27" s="3409"/>
      <c r="BJ27" s="3409"/>
      <c r="BK27" s="3412"/>
      <c r="BL27" s="3431">
        <v>42</v>
      </c>
      <c r="BM27" s="1631"/>
      <c r="BN27" s="3406">
        <v>43570</v>
      </c>
      <c r="BO27" s="3406"/>
      <c r="BP27" s="3406">
        <v>43819</v>
      </c>
      <c r="BQ27" s="3406"/>
      <c r="BR27" s="3397"/>
      <c r="BS27" s="1569"/>
      <c r="BT27" s="1569"/>
    </row>
    <row r="28" spans="1:72" s="571" customFormat="1" ht="40.5" customHeight="1" x14ac:dyDescent="0.2">
      <c r="A28" s="3369"/>
      <c r="B28" s="3373"/>
      <c r="C28" s="3374"/>
      <c r="D28" s="3377"/>
      <c r="E28" s="3378"/>
      <c r="F28" s="3378"/>
      <c r="G28" s="1569"/>
      <c r="H28" s="1627"/>
      <c r="I28" s="1628"/>
      <c r="J28" s="3431"/>
      <c r="K28" s="3433"/>
      <c r="L28" s="3436"/>
      <c r="M28" s="3438"/>
      <c r="N28" s="3440"/>
      <c r="O28" s="1652"/>
      <c r="P28" s="3479"/>
      <c r="Q28" s="3471"/>
      <c r="R28" s="3443"/>
      <c r="S28" s="3476"/>
      <c r="T28" s="3401"/>
      <c r="U28" s="3478"/>
      <c r="V28" s="3365"/>
      <c r="W28" s="1620">
        <v>47000000</v>
      </c>
      <c r="X28" s="1621">
        <v>0</v>
      </c>
      <c r="Y28" s="1620">
        <v>0</v>
      </c>
      <c r="Z28" s="1622">
        <v>92</v>
      </c>
      <c r="AA28" s="1623" t="s">
        <v>1365</v>
      </c>
      <c r="AB28" s="3362"/>
      <c r="AC28" s="3362"/>
      <c r="AD28" s="3449"/>
      <c r="AE28" s="3362"/>
      <c r="AF28" s="3455"/>
      <c r="AG28" s="3452"/>
      <c r="AH28" s="3455"/>
      <c r="AI28" s="3452"/>
      <c r="AJ28" s="3455"/>
      <c r="AK28" s="3452"/>
      <c r="AL28" s="3421"/>
      <c r="AM28" s="3424"/>
      <c r="AN28" s="3426"/>
      <c r="AO28" s="3449"/>
      <c r="AP28" s="3426"/>
      <c r="AQ28" s="1629"/>
      <c r="AR28" s="3449"/>
      <c r="AS28" s="1629"/>
      <c r="AT28" s="3426"/>
      <c r="AU28" s="3428"/>
      <c r="AV28" s="3426"/>
      <c r="AW28" s="3428"/>
      <c r="AX28" s="3426"/>
      <c r="AY28" s="3428"/>
      <c r="AZ28" s="3426"/>
      <c r="BA28" s="3428"/>
      <c r="BB28" s="3426"/>
      <c r="BC28" s="3428"/>
      <c r="BD28" s="3426"/>
      <c r="BE28" s="1629"/>
      <c r="BF28" s="3362"/>
      <c r="BG28" s="3446"/>
      <c r="BH28" s="3446"/>
      <c r="BI28" s="3409"/>
      <c r="BJ28" s="3409"/>
      <c r="BK28" s="3412"/>
      <c r="BL28" s="3431"/>
      <c r="BM28" s="1654" t="s">
        <v>1386</v>
      </c>
      <c r="BN28" s="3407"/>
      <c r="BO28" s="3407"/>
      <c r="BP28" s="3407"/>
      <c r="BQ28" s="3407"/>
      <c r="BR28" s="3397"/>
      <c r="BS28" s="1569"/>
      <c r="BT28" s="1569"/>
    </row>
    <row r="29" spans="1:72" s="571" customFormat="1" ht="28.5" x14ac:dyDescent="0.2">
      <c r="A29" s="3369"/>
      <c r="B29" s="3373"/>
      <c r="C29" s="3374"/>
      <c r="D29" s="3377"/>
      <c r="E29" s="3378"/>
      <c r="F29" s="3378"/>
      <c r="G29" s="1569"/>
      <c r="H29" s="1627"/>
      <c r="I29" s="1628"/>
      <c r="J29" s="3431"/>
      <c r="K29" s="3433"/>
      <c r="L29" s="3436"/>
      <c r="M29" s="3438"/>
      <c r="N29" s="3440"/>
      <c r="O29" s="1652"/>
      <c r="P29" s="3479"/>
      <c r="Q29" s="3471"/>
      <c r="R29" s="3443"/>
      <c r="S29" s="3476"/>
      <c r="T29" s="3401"/>
      <c r="U29" s="3478"/>
      <c r="V29" s="3364" t="s">
        <v>1387</v>
      </c>
      <c r="W29" s="1651">
        <v>35100000</v>
      </c>
      <c r="X29" s="1621">
        <v>0</v>
      </c>
      <c r="Y29" s="1620">
        <v>0</v>
      </c>
      <c r="Z29" s="1622">
        <v>42</v>
      </c>
      <c r="AA29" s="1623" t="s">
        <v>1379</v>
      </c>
      <c r="AB29" s="3362"/>
      <c r="AC29" s="3362"/>
      <c r="AD29" s="3449"/>
      <c r="AE29" s="3362"/>
      <c r="AF29" s="3455"/>
      <c r="AG29" s="3452"/>
      <c r="AH29" s="3455"/>
      <c r="AI29" s="3452"/>
      <c r="AJ29" s="3455"/>
      <c r="AK29" s="3452"/>
      <c r="AL29" s="3421"/>
      <c r="AM29" s="3424"/>
      <c r="AN29" s="3426"/>
      <c r="AO29" s="3449"/>
      <c r="AP29" s="3426"/>
      <c r="AQ29" s="1629"/>
      <c r="AR29" s="3449"/>
      <c r="AS29" s="1629"/>
      <c r="AT29" s="3426"/>
      <c r="AU29" s="3428"/>
      <c r="AV29" s="3426"/>
      <c r="AW29" s="3428"/>
      <c r="AX29" s="3426"/>
      <c r="AY29" s="3428"/>
      <c r="AZ29" s="3426"/>
      <c r="BA29" s="3428"/>
      <c r="BB29" s="3426"/>
      <c r="BC29" s="3428"/>
      <c r="BD29" s="3426"/>
      <c r="BE29" s="1629"/>
      <c r="BF29" s="3362"/>
      <c r="BG29" s="3446"/>
      <c r="BH29" s="3446"/>
      <c r="BI29" s="3409"/>
      <c r="BJ29" s="3409"/>
      <c r="BK29" s="3412"/>
      <c r="BL29" s="3431"/>
      <c r="BM29" s="1631"/>
      <c r="BN29" s="3406">
        <v>43539</v>
      </c>
      <c r="BO29" s="3406"/>
      <c r="BP29" s="3406">
        <v>43819</v>
      </c>
      <c r="BQ29" s="3406"/>
      <c r="BR29" s="3397"/>
      <c r="BS29" s="1569"/>
      <c r="BT29" s="1569"/>
    </row>
    <row r="30" spans="1:72" s="571" customFormat="1" ht="39.75" customHeight="1" x14ac:dyDescent="0.2">
      <c r="A30" s="3369"/>
      <c r="B30" s="3373"/>
      <c r="C30" s="3374"/>
      <c r="D30" s="3377"/>
      <c r="E30" s="3378"/>
      <c r="F30" s="3378"/>
      <c r="G30" s="1569"/>
      <c r="H30" s="1627"/>
      <c r="I30" s="1628"/>
      <c r="J30" s="3431"/>
      <c r="K30" s="3433"/>
      <c r="L30" s="3436"/>
      <c r="M30" s="3438"/>
      <c r="N30" s="3440"/>
      <c r="O30" s="1652"/>
      <c r="P30" s="3479"/>
      <c r="Q30" s="3471"/>
      <c r="R30" s="3443"/>
      <c r="S30" s="3476"/>
      <c r="T30" s="3401"/>
      <c r="U30" s="3478"/>
      <c r="V30" s="3365"/>
      <c r="W30" s="1651">
        <v>85000000</v>
      </c>
      <c r="X30" s="1621">
        <v>0</v>
      </c>
      <c r="Y30" s="1620">
        <v>0</v>
      </c>
      <c r="Z30" s="1622">
        <v>92</v>
      </c>
      <c r="AA30" s="1623" t="s">
        <v>1365</v>
      </c>
      <c r="AB30" s="3362"/>
      <c r="AC30" s="3362"/>
      <c r="AD30" s="3449"/>
      <c r="AE30" s="3362"/>
      <c r="AF30" s="3455"/>
      <c r="AG30" s="3452"/>
      <c r="AH30" s="3455"/>
      <c r="AI30" s="3452"/>
      <c r="AJ30" s="3455"/>
      <c r="AK30" s="3452"/>
      <c r="AL30" s="3421"/>
      <c r="AM30" s="3424"/>
      <c r="AN30" s="3426"/>
      <c r="AO30" s="3449"/>
      <c r="AP30" s="3426"/>
      <c r="AQ30" s="1629"/>
      <c r="AR30" s="3449"/>
      <c r="AS30" s="1629"/>
      <c r="AT30" s="3426"/>
      <c r="AU30" s="3428"/>
      <c r="AV30" s="3426"/>
      <c r="AW30" s="3428"/>
      <c r="AX30" s="3426"/>
      <c r="AY30" s="3428"/>
      <c r="AZ30" s="3426"/>
      <c r="BA30" s="3428"/>
      <c r="BB30" s="3426"/>
      <c r="BC30" s="3428"/>
      <c r="BD30" s="3426"/>
      <c r="BE30" s="1629"/>
      <c r="BF30" s="3362"/>
      <c r="BG30" s="3446"/>
      <c r="BH30" s="3446"/>
      <c r="BI30" s="3409"/>
      <c r="BJ30" s="3409"/>
      <c r="BK30" s="3412"/>
      <c r="BL30" s="1653">
        <v>92</v>
      </c>
      <c r="BM30" s="1654" t="s">
        <v>1388</v>
      </c>
      <c r="BN30" s="3407"/>
      <c r="BO30" s="3407"/>
      <c r="BP30" s="3407"/>
      <c r="BQ30" s="3407"/>
      <c r="BR30" s="3397"/>
      <c r="BS30" s="1569"/>
      <c r="BT30" s="1569"/>
    </row>
    <row r="31" spans="1:72" s="571" customFormat="1" ht="28.5" x14ac:dyDescent="0.2">
      <c r="A31" s="3369"/>
      <c r="B31" s="3373"/>
      <c r="C31" s="3374"/>
      <c r="D31" s="3377"/>
      <c r="E31" s="3378"/>
      <c r="F31" s="3378"/>
      <c r="G31" s="1569"/>
      <c r="H31" s="1627"/>
      <c r="I31" s="1628"/>
      <c r="J31" s="3431"/>
      <c r="K31" s="3433"/>
      <c r="L31" s="3436"/>
      <c r="M31" s="3438"/>
      <c r="N31" s="3440"/>
      <c r="O31" s="1652" t="s">
        <v>1389</v>
      </c>
      <c r="P31" s="3479"/>
      <c r="Q31" s="3471"/>
      <c r="R31" s="3443"/>
      <c r="S31" s="3476"/>
      <c r="T31" s="3401"/>
      <c r="U31" s="3478"/>
      <c r="V31" s="3364" t="s">
        <v>1390</v>
      </c>
      <c r="W31" s="1651">
        <v>20000000</v>
      </c>
      <c r="X31" s="1621">
        <v>0</v>
      </c>
      <c r="Y31" s="1620">
        <v>0</v>
      </c>
      <c r="Z31" s="1622">
        <v>42</v>
      </c>
      <c r="AA31" s="1623" t="s">
        <v>1379</v>
      </c>
      <c r="AB31" s="3362"/>
      <c r="AC31" s="3362"/>
      <c r="AD31" s="3449"/>
      <c r="AE31" s="3362"/>
      <c r="AF31" s="3455"/>
      <c r="AG31" s="3452"/>
      <c r="AH31" s="3455"/>
      <c r="AI31" s="3452"/>
      <c r="AJ31" s="3455"/>
      <c r="AK31" s="3452"/>
      <c r="AL31" s="3421"/>
      <c r="AM31" s="3424"/>
      <c r="AN31" s="3426"/>
      <c r="AO31" s="3449"/>
      <c r="AP31" s="3426"/>
      <c r="AQ31" s="1629"/>
      <c r="AR31" s="3449"/>
      <c r="AS31" s="1629"/>
      <c r="AT31" s="3426"/>
      <c r="AU31" s="3428"/>
      <c r="AV31" s="3426"/>
      <c r="AW31" s="3428"/>
      <c r="AX31" s="3426"/>
      <c r="AY31" s="3428"/>
      <c r="AZ31" s="3426"/>
      <c r="BA31" s="3428"/>
      <c r="BB31" s="3426"/>
      <c r="BC31" s="3428"/>
      <c r="BD31" s="3426"/>
      <c r="BE31" s="1629"/>
      <c r="BF31" s="3362"/>
      <c r="BG31" s="3446"/>
      <c r="BH31" s="3446"/>
      <c r="BI31" s="3409"/>
      <c r="BJ31" s="3409"/>
      <c r="BK31" s="3412"/>
      <c r="BL31" s="1631"/>
      <c r="BM31" s="1631"/>
      <c r="BN31" s="3406">
        <v>43570</v>
      </c>
      <c r="BO31" s="3406"/>
      <c r="BP31" s="3406">
        <v>43819</v>
      </c>
      <c r="BQ31" s="3406"/>
      <c r="BR31" s="3397"/>
      <c r="BS31" s="1569"/>
      <c r="BT31" s="1569"/>
    </row>
    <row r="32" spans="1:72" s="571" customFormat="1" ht="29.25" customHeight="1" x14ac:dyDescent="0.2">
      <c r="A32" s="3369"/>
      <c r="B32" s="3373"/>
      <c r="C32" s="3374"/>
      <c r="D32" s="3377"/>
      <c r="E32" s="3378"/>
      <c r="F32" s="3378"/>
      <c r="G32" s="1569"/>
      <c r="H32" s="1627"/>
      <c r="I32" s="1628"/>
      <c r="J32" s="3431"/>
      <c r="K32" s="3433"/>
      <c r="L32" s="3436"/>
      <c r="M32" s="3438"/>
      <c r="N32" s="3440"/>
      <c r="O32" s="1652"/>
      <c r="P32" s="3479"/>
      <c r="Q32" s="3471"/>
      <c r="R32" s="3443"/>
      <c r="S32" s="3476"/>
      <c r="T32" s="3401"/>
      <c r="U32" s="3478"/>
      <c r="V32" s="3365"/>
      <c r="W32" s="1651">
        <v>53000000</v>
      </c>
      <c r="X32" s="1621"/>
      <c r="Y32" s="1620"/>
      <c r="Z32" s="1622">
        <v>92</v>
      </c>
      <c r="AA32" s="1623" t="s">
        <v>1365</v>
      </c>
      <c r="AB32" s="3362"/>
      <c r="AC32" s="3362"/>
      <c r="AD32" s="3449"/>
      <c r="AE32" s="3362"/>
      <c r="AF32" s="3455"/>
      <c r="AG32" s="3452"/>
      <c r="AH32" s="3455"/>
      <c r="AI32" s="3452"/>
      <c r="AJ32" s="3455"/>
      <c r="AK32" s="3452"/>
      <c r="AL32" s="3421"/>
      <c r="AM32" s="3424"/>
      <c r="AN32" s="3426"/>
      <c r="AO32" s="3449"/>
      <c r="AP32" s="3426"/>
      <c r="AQ32" s="1629"/>
      <c r="AR32" s="3449"/>
      <c r="AS32" s="1629"/>
      <c r="AT32" s="3426"/>
      <c r="AU32" s="3428"/>
      <c r="AV32" s="3426"/>
      <c r="AW32" s="3428"/>
      <c r="AX32" s="3426"/>
      <c r="AY32" s="3428"/>
      <c r="AZ32" s="3426"/>
      <c r="BA32" s="3428"/>
      <c r="BB32" s="3426"/>
      <c r="BC32" s="3428"/>
      <c r="BD32" s="3426"/>
      <c r="BE32" s="1629"/>
      <c r="BF32" s="3362"/>
      <c r="BG32" s="3446"/>
      <c r="BH32" s="3446"/>
      <c r="BI32" s="3409"/>
      <c r="BJ32" s="3409"/>
      <c r="BK32" s="3412"/>
      <c r="BL32" s="1631"/>
      <c r="BM32" s="1631"/>
      <c r="BN32" s="3407"/>
      <c r="BO32" s="3407"/>
      <c r="BP32" s="3407"/>
      <c r="BQ32" s="3407"/>
      <c r="BR32" s="3397"/>
      <c r="BS32" s="1569"/>
      <c r="BT32" s="1569"/>
    </row>
    <row r="33" spans="1:72" s="571" customFormat="1" ht="43.5" customHeight="1" x14ac:dyDescent="0.2">
      <c r="A33" s="3369"/>
      <c r="B33" s="3373"/>
      <c r="C33" s="3374"/>
      <c r="D33" s="3377"/>
      <c r="E33" s="3378"/>
      <c r="F33" s="3378"/>
      <c r="G33" s="1569"/>
      <c r="H33" s="1627"/>
      <c r="I33" s="1628"/>
      <c r="J33" s="3431"/>
      <c r="K33" s="3433"/>
      <c r="L33" s="3436"/>
      <c r="M33" s="3438"/>
      <c r="N33" s="3440"/>
      <c r="O33" s="572"/>
      <c r="P33" s="3479"/>
      <c r="Q33" s="3471"/>
      <c r="R33" s="3443"/>
      <c r="S33" s="3476"/>
      <c r="T33" s="3401"/>
      <c r="U33" s="3478"/>
      <c r="V33" s="3364" t="s">
        <v>1391</v>
      </c>
      <c r="W33" s="1651">
        <v>45000000</v>
      </c>
      <c r="X33" s="1621">
        <v>0</v>
      </c>
      <c r="Y33" s="1620">
        <v>0</v>
      </c>
      <c r="Z33" s="1622">
        <v>42</v>
      </c>
      <c r="AA33" s="1623" t="s">
        <v>1379</v>
      </c>
      <c r="AB33" s="3362"/>
      <c r="AC33" s="3362"/>
      <c r="AD33" s="3449"/>
      <c r="AE33" s="3362"/>
      <c r="AF33" s="3455"/>
      <c r="AG33" s="3452"/>
      <c r="AH33" s="3455"/>
      <c r="AI33" s="3452"/>
      <c r="AJ33" s="3455"/>
      <c r="AK33" s="3452"/>
      <c r="AL33" s="3421"/>
      <c r="AM33" s="3424"/>
      <c r="AN33" s="3426"/>
      <c r="AO33" s="3449"/>
      <c r="AP33" s="3426"/>
      <c r="AQ33" s="1629"/>
      <c r="AR33" s="3449"/>
      <c r="AS33" s="1629"/>
      <c r="AT33" s="3426"/>
      <c r="AU33" s="3428"/>
      <c r="AV33" s="3426"/>
      <c r="AW33" s="3428"/>
      <c r="AX33" s="3426"/>
      <c r="AY33" s="3428"/>
      <c r="AZ33" s="3426"/>
      <c r="BA33" s="3428"/>
      <c r="BB33" s="3426"/>
      <c r="BC33" s="3428"/>
      <c r="BD33" s="3426"/>
      <c r="BE33" s="1629"/>
      <c r="BF33" s="3362"/>
      <c r="BG33" s="3446"/>
      <c r="BH33" s="3446"/>
      <c r="BI33" s="3409"/>
      <c r="BJ33" s="3409"/>
      <c r="BK33" s="3412"/>
      <c r="BL33" s="1631"/>
      <c r="BM33" s="1631"/>
      <c r="BN33" s="3406">
        <v>43480</v>
      </c>
      <c r="BO33" s="3406"/>
      <c r="BP33" s="3406">
        <v>43646</v>
      </c>
      <c r="BQ33" s="3406"/>
      <c r="BR33" s="3397"/>
      <c r="BS33" s="1569"/>
      <c r="BT33" s="1569"/>
    </row>
    <row r="34" spans="1:72" s="571" customFormat="1" ht="33" customHeight="1" x14ac:dyDescent="0.2">
      <c r="A34" s="3369"/>
      <c r="B34" s="3373"/>
      <c r="C34" s="3374"/>
      <c r="D34" s="3377"/>
      <c r="E34" s="3378"/>
      <c r="F34" s="3378"/>
      <c r="G34" s="1569"/>
      <c r="H34" s="1627"/>
      <c r="I34" s="1628"/>
      <c r="J34" s="3431"/>
      <c r="K34" s="3433"/>
      <c r="L34" s="3436"/>
      <c r="M34" s="3438"/>
      <c r="N34" s="3440"/>
      <c r="O34" s="1652"/>
      <c r="P34" s="3479"/>
      <c r="Q34" s="3471"/>
      <c r="R34" s="3443"/>
      <c r="S34" s="3476"/>
      <c r="T34" s="3401"/>
      <c r="U34" s="3478"/>
      <c r="V34" s="3365"/>
      <c r="W34" s="1651">
        <v>50000000</v>
      </c>
      <c r="X34" s="1621">
        <v>0</v>
      </c>
      <c r="Y34" s="1620">
        <v>0</v>
      </c>
      <c r="Z34" s="1622">
        <v>92</v>
      </c>
      <c r="AA34" s="1623" t="s">
        <v>1365</v>
      </c>
      <c r="AB34" s="3362"/>
      <c r="AC34" s="3362"/>
      <c r="AD34" s="3449"/>
      <c r="AE34" s="3362"/>
      <c r="AF34" s="3455"/>
      <c r="AG34" s="3452"/>
      <c r="AH34" s="3455"/>
      <c r="AI34" s="3452"/>
      <c r="AJ34" s="3455"/>
      <c r="AK34" s="3452"/>
      <c r="AL34" s="3421"/>
      <c r="AM34" s="3424"/>
      <c r="AN34" s="3426"/>
      <c r="AO34" s="3449"/>
      <c r="AP34" s="3426"/>
      <c r="AQ34" s="1629"/>
      <c r="AR34" s="3449"/>
      <c r="AS34" s="1629"/>
      <c r="AT34" s="3426"/>
      <c r="AU34" s="3428"/>
      <c r="AV34" s="3426"/>
      <c r="AW34" s="3428"/>
      <c r="AX34" s="3426"/>
      <c r="AY34" s="3428"/>
      <c r="AZ34" s="3426"/>
      <c r="BA34" s="3428"/>
      <c r="BB34" s="3426"/>
      <c r="BC34" s="3428"/>
      <c r="BD34" s="3426"/>
      <c r="BE34" s="1629"/>
      <c r="BF34" s="3362"/>
      <c r="BG34" s="3446"/>
      <c r="BH34" s="3446"/>
      <c r="BI34" s="3409"/>
      <c r="BJ34" s="3409"/>
      <c r="BK34" s="3412"/>
      <c r="BL34" s="1631"/>
      <c r="BM34" s="1631"/>
      <c r="BN34" s="3407"/>
      <c r="BO34" s="3407"/>
      <c r="BP34" s="3407"/>
      <c r="BQ34" s="3407"/>
      <c r="BR34" s="3397"/>
      <c r="BS34" s="1569"/>
      <c r="BT34" s="1569"/>
    </row>
    <row r="35" spans="1:72" s="571" customFormat="1" ht="36.75" customHeight="1" x14ac:dyDescent="0.2">
      <c r="A35" s="3369"/>
      <c r="B35" s="3373"/>
      <c r="C35" s="3374"/>
      <c r="D35" s="3377"/>
      <c r="E35" s="3378"/>
      <c r="F35" s="3378"/>
      <c r="G35" s="1569"/>
      <c r="H35" s="1627"/>
      <c r="I35" s="1628"/>
      <c r="J35" s="3431"/>
      <c r="K35" s="3433"/>
      <c r="L35" s="3436"/>
      <c r="M35" s="3438"/>
      <c r="N35" s="3440"/>
      <c r="O35" s="1652" t="s">
        <v>1392</v>
      </c>
      <c r="P35" s="3479"/>
      <c r="Q35" s="3471"/>
      <c r="R35" s="3443"/>
      <c r="S35" s="3476"/>
      <c r="T35" s="3401"/>
      <c r="U35" s="3478"/>
      <c r="V35" s="999" t="s">
        <v>1393</v>
      </c>
      <c r="W35" s="959">
        <v>50000000</v>
      </c>
      <c r="X35" s="1050">
        <v>0</v>
      </c>
      <c r="Y35" s="959">
        <v>0</v>
      </c>
      <c r="Z35" s="1622">
        <v>42</v>
      </c>
      <c r="AA35" s="1623" t="s">
        <v>1379</v>
      </c>
      <c r="AB35" s="3362"/>
      <c r="AC35" s="3362"/>
      <c r="AD35" s="3449"/>
      <c r="AE35" s="3362"/>
      <c r="AF35" s="3455"/>
      <c r="AG35" s="3452"/>
      <c r="AH35" s="3455"/>
      <c r="AI35" s="3452"/>
      <c r="AJ35" s="3455"/>
      <c r="AK35" s="3452"/>
      <c r="AL35" s="3421"/>
      <c r="AM35" s="3424"/>
      <c r="AN35" s="3426"/>
      <c r="AO35" s="3449"/>
      <c r="AP35" s="3426"/>
      <c r="AQ35" s="1629"/>
      <c r="AR35" s="3449"/>
      <c r="AS35" s="1629"/>
      <c r="AT35" s="3426"/>
      <c r="AU35" s="3428"/>
      <c r="AV35" s="3426"/>
      <c r="AW35" s="3428"/>
      <c r="AX35" s="3426"/>
      <c r="AY35" s="3428"/>
      <c r="AZ35" s="3426"/>
      <c r="BA35" s="3428"/>
      <c r="BB35" s="3426"/>
      <c r="BC35" s="3428"/>
      <c r="BD35" s="3426"/>
      <c r="BE35" s="1629"/>
      <c r="BF35" s="3362"/>
      <c r="BG35" s="3446"/>
      <c r="BH35" s="3446"/>
      <c r="BI35" s="3409"/>
      <c r="BJ35" s="3409"/>
      <c r="BK35" s="3412"/>
      <c r="BL35" s="1631"/>
      <c r="BM35" s="1631"/>
      <c r="BN35" s="1639">
        <v>43480</v>
      </c>
      <c r="BO35" s="1639"/>
      <c r="BP35" s="1640">
        <v>43646</v>
      </c>
      <c r="BQ35" s="1640"/>
      <c r="BR35" s="3397"/>
      <c r="BS35" s="1569"/>
      <c r="BT35" s="1569"/>
    </row>
    <row r="36" spans="1:72" s="571" customFormat="1" ht="28.5" x14ac:dyDescent="0.2">
      <c r="A36" s="3369"/>
      <c r="B36" s="3373"/>
      <c r="C36" s="3374"/>
      <c r="D36" s="3377"/>
      <c r="E36" s="3378"/>
      <c r="F36" s="3378"/>
      <c r="G36" s="1569"/>
      <c r="H36" s="1627"/>
      <c r="I36" s="1628"/>
      <c r="J36" s="3431"/>
      <c r="K36" s="3433"/>
      <c r="L36" s="3436"/>
      <c r="M36" s="3438"/>
      <c r="N36" s="3440"/>
      <c r="O36" s="1652"/>
      <c r="P36" s="3479"/>
      <c r="Q36" s="3471"/>
      <c r="R36" s="3443"/>
      <c r="S36" s="3476"/>
      <c r="T36" s="3401"/>
      <c r="U36" s="3478"/>
      <c r="V36" s="3364" t="s">
        <v>1394</v>
      </c>
      <c r="W36" s="1620">
        <v>15000000</v>
      </c>
      <c r="X36" s="1621">
        <v>0</v>
      </c>
      <c r="Y36" s="1620">
        <v>0</v>
      </c>
      <c r="Z36" s="1622">
        <v>42</v>
      </c>
      <c r="AA36" s="1623" t="s">
        <v>1379</v>
      </c>
      <c r="AB36" s="3362"/>
      <c r="AC36" s="3362"/>
      <c r="AD36" s="3449"/>
      <c r="AE36" s="3362"/>
      <c r="AF36" s="3455"/>
      <c r="AG36" s="3452"/>
      <c r="AH36" s="3455"/>
      <c r="AI36" s="3452"/>
      <c r="AJ36" s="3455"/>
      <c r="AK36" s="3452"/>
      <c r="AL36" s="3421"/>
      <c r="AM36" s="3424"/>
      <c r="AN36" s="3426"/>
      <c r="AO36" s="3449"/>
      <c r="AP36" s="3426"/>
      <c r="AQ36" s="1629"/>
      <c r="AR36" s="3449"/>
      <c r="AS36" s="1629"/>
      <c r="AT36" s="3426"/>
      <c r="AU36" s="3428"/>
      <c r="AV36" s="3426"/>
      <c r="AW36" s="3428"/>
      <c r="AX36" s="3426"/>
      <c r="AY36" s="3428"/>
      <c r="AZ36" s="3426"/>
      <c r="BA36" s="3428"/>
      <c r="BB36" s="3426"/>
      <c r="BC36" s="3428"/>
      <c r="BD36" s="3426"/>
      <c r="BE36" s="1629"/>
      <c r="BF36" s="3362"/>
      <c r="BG36" s="3446"/>
      <c r="BH36" s="3446"/>
      <c r="BI36" s="3409"/>
      <c r="BJ36" s="3409"/>
      <c r="BK36" s="3412"/>
      <c r="BL36" s="1631"/>
      <c r="BM36" s="1631"/>
      <c r="BN36" s="3406">
        <v>43580</v>
      </c>
      <c r="BO36" s="3406"/>
      <c r="BP36" s="3406">
        <v>43631</v>
      </c>
      <c r="BQ36" s="3406"/>
      <c r="BR36" s="3397"/>
      <c r="BS36" s="1569"/>
      <c r="BT36" s="1569"/>
    </row>
    <row r="37" spans="1:72" s="571" customFormat="1" ht="34.5" customHeight="1" x14ac:dyDescent="0.2">
      <c r="A37" s="3369"/>
      <c r="B37" s="3373"/>
      <c r="C37" s="3374"/>
      <c r="D37" s="3377"/>
      <c r="E37" s="3378"/>
      <c r="F37" s="3378"/>
      <c r="G37" s="1569"/>
      <c r="H37" s="1627"/>
      <c r="I37" s="1628"/>
      <c r="J37" s="3431"/>
      <c r="K37" s="3433"/>
      <c r="L37" s="3436"/>
      <c r="M37" s="3438"/>
      <c r="N37" s="3440"/>
      <c r="O37" s="1652"/>
      <c r="P37" s="3479"/>
      <c r="Q37" s="3471"/>
      <c r="R37" s="3443"/>
      <c r="S37" s="3476"/>
      <c r="T37" s="3401"/>
      <c r="U37" s="3478"/>
      <c r="V37" s="3365"/>
      <c r="W37" s="1620">
        <v>15000000</v>
      </c>
      <c r="X37" s="1621"/>
      <c r="Y37" s="1620"/>
      <c r="Z37" s="1622">
        <v>92</v>
      </c>
      <c r="AA37" s="1623" t="s">
        <v>1365</v>
      </c>
      <c r="AB37" s="3362"/>
      <c r="AC37" s="3362"/>
      <c r="AD37" s="3449"/>
      <c r="AE37" s="3362"/>
      <c r="AF37" s="3455"/>
      <c r="AG37" s="3452"/>
      <c r="AH37" s="3455"/>
      <c r="AI37" s="3452"/>
      <c r="AJ37" s="3455"/>
      <c r="AK37" s="3452"/>
      <c r="AL37" s="3421"/>
      <c r="AM37" s="3424"/>
      <c r="AN37" s="3426"/>
      <c r="AO37" s="3449"/>
      <c r="AP37" s="3426"/>
      <c r="AQ37" s="1629"/>
      <c r="AR37" s="3449"/>
      <c r="AS37" s="1629"/>
      <c r="AT37" s="3426"/>
      <c r="AU37" s="3428"/>
      <c r="AV37" s="3426"/>
      <c r="AW37" s="3428"/>
      <c r="AX37" s="3426"/>
      <c r="AY37" s="3428"/>
      <c r="AZ37" s="3426"/>
      <c r="BA37" s="3428"/>
      <c r="BB37" s="3426"/>
      <c r="BC37" s="3428"/>
      <c r="BD37" s="3426"/>
      <c r="BE37" s="1629"/>
      <c r="BF37" s="3362"/>
      <c r="BG37" s="3446"/>
      <c r="BH37" s="3446"/>
      <c r="BI37" s="3409"/>
      <c r="BJ37" s="3409"/>
      <c r="BK37" s="3412"/>
      <c r="BL37" s="1631"/>
      <c r="BM37" s="1631"/>
      <c r="BN37" s="3407"/>
      <c r="BO37" s="3407"/>
      <c r="BP37" s="3407"/>
      <c r="BQ37" s="3407"/>
      <c r="BR37" s="3397"/>
      <c r="BS37" s="1569"/>
      <c r="BT37" s="1569"/>
    </row>
    <row r="38" spans="1:72" s="571" customFormat="1" ht="51.75" customHeight="1" x14ac:dyDescent="0.2">
      <c r="A38" s="3369"/>
      <c r="B38" s="3373"/>
      <c r="C38" s="3374"/>
      <c r="D38" s="3377"/>
      <c r="E38" s="3378"/>
      <c r="F38" s="3378"/>
      <c r="G38" s="1569"/>
      <c r="H38" s="1627"/>
      <c r="I38" s="1628"/>
      <c r="J38" s="3431"/>
      <c r="K38" s="3433"/>
      <c r="L38" s="3436"/>
      <c r="M38" s="3438"/>
      <c r="N38" s="3440"/>
      <c r="O38" s="1655"/>
      <c r="P38" s="3479"/>
      <c r="Q38" s="3471"/>
      <c r="R38" s="3443"/>
      <c r="S38" s="3476"/>
      <c r="T38" s="3401"/>
      <c r="U38" s="3478"/>
      <c r="V38" s="174" t="s">
        <v>1395</v>
      </c>
      <c r="W38" s="959">
        <v>30000000</v>
      </c>
      <c r="X38" s="1050">
        <v>0</v>
      </c>
      <c r="Y38" s="959">
        <v>0</v>
      </c>
      <c r="Z38" s="1622">
        <v>92</v>
      </c>
      <c r="AA38" s="1623" t="s">
        <v>1365</v>
      </c>
      <c r="AB38" s="3362"/>
      <c r="AC38" s="3362"/>
      <c r="AD38" s="3449"/>
      <c r="AE38" s="3362"/>
      <c r="AF38" s="3455"/>
      <c r="AG38" s="3452"/>
      <c r="AH38" s="3455"/>
      <c r="AI38" s="3452"/>
      <c r="AJ38" s="3455"/>
      <c r="AK38" s="3452"/>
      <c r="AL38" s="3421"/>
      <c r="AM38" s="3424"/>
      <c r="AN38" s="3426"/>
      <c r="AO38" s="3449"/>
      <c r="AP38" s="3426"/>
      <c r="AQ38" s="1629"/>
      <c r="AR38" s="3449"/>
      <c r="AS38" s="1629"/>
      <c r="AT38" s="3426"/>
      <c r="AU38" s="3428"/>
      <c r="AV38" s="3426"/>
      <c r="AW38" s="3428"/>
      <c r="AX38" s="3426"/>
      <c r="AY38" s="3428"/>
      <c r="AZ38" s="3426"/>
      <c r="BA38" s="3428"/>
      <c r="BB38" s="3426"/>
      <c r="BC38" s="3428"/>
      <c r="BD38" s="3426"/>
      <c r="BE38" s="1629"/>
      <c r="BF38" s="3362"/>
      <c r="BG38" s="3446"/>
      <c r="BH38" s="3446"/>
      <c r="BI38" s="3409"/>
      <c r="BJ38" s="3409"/>
      <c r="BK38" s="3412"/>
      <c r="BL38" s="1631"/>
      <c r="BM38" s="1631"/>
      <c r="BN38" s="1639"/>
      <c r="BO38" s="1639"/>
      <c r="BP38" s="1640"/>
      <c r="BQ38" s="1640"/>
      <c r="BR38" s="3397"/>
      <c r="BS38" s="1569"/>
      <c r="BT38" s="1569"/>
    </row>
    <row r="39" spans="1:72" s="571" customFormat="1" ht="33" customHeight="1" x14ac:dyDescent="0.2">
      <c r="A39" s="3369"/>
      <c r="B39" s="3373"/>
      <c r="C39" s="3374"/>
      <c r="D39" s="3377"/>
      <c r="E39" s="3378"/>
      <c r="F39" s="3378"/>
      <c r="G39" s="1569"/>
      <c r="H39" s="1627"/>
      <c r="I39" s="1628"/>
      <c r="J39" s="3431"/>
      <c r="K39" s="3433"/>
      <c r="L39" s="3436"/>
      <c r="M39" s="3438"/>
      <c r="N39" s="3440"/>
      <c r="O39" s="1655"/>
      <c r="P39" s="3479"/>
      <c r="Q39" s="3471"/>
      <c r="R39" s="3443"/>
      <c r="S39" s="3476"/>
      <c r="T39" s="3401"/>
      <c r="U39" s="3478"/>
      <c r="V39" s="3364" t="s">
        <v>1396</v>
      </c>
      <c r="W39" s="1651">
        <v>10900000</v>
      </c>
      <c r="X39" s="1621">
        <v>10900000</v>
      </c>
      <c r="Y39" s="1621">
        <v>3100000</v>
      </c>
      <c r="Z39" s="1622">
        <v>42</v>
      </c>
      <c r="AA39" s="1623" t="s">
        <v>1379</v>
      </c>
      <c r="AB39" s="3362"/>
      <c r="AC39" s="3362"/>
      <c r="AD39" s="3449"/>
      <c r="AE39" s="3362"/>
      <c r="AF39" s="3455"/>
      <c r="AG39" s="3452"/>
      <c r="AH39" s="3455"/>
      <c r="AI39" s="3452"/>
      <c r="AJ39" s="3455"/>
      <c r="AK39" s="3452"/>
      <c r="AL39" s="3421"/>
      <c r="AM39" s="3424"/>
      <c r="AN39" s="3426"/>
      <c r="AO39" s="3449"/>
      <c r="AP39" s="3426"/>
      <c r="AQ39" s="1629"/>
      <c r="AR39" s="3449"/>
      <c r="AS39" s="1629"/>
      <c r="AT39" s="3426"/>
      <c r="AU39" s="3428"/>
      <c r="AV39" s="3426"/>
      <c r="AW39" s="3428"/>
      <c r="AX39" s="3426"/>
      <c r="AY39" s="3428"/>
      <c r="AZ39" s="3426"/>
      <c r="BA39" s="3428"/>
      <c r="BB39" s="3426"/>
      <c r="BC39" s="3428"/>
      <c r="BD39" s="3426"/>
      <c r="BE39" s="1629"/>
      <c r="BF39" s="3362"/>
      <c r="BG39" s="3446"/>
      <c r="BH39" s="3446"/>
      <c r="BI39" s="3409"/>
      <c r="BJ39" s="3409"/>
      <c r="BK39" s="3412"/>
      <c r="BL39" s="1631"/>
      <c r="BM39" s="1631"/>
      <c r="BN39" s="3406">
        <v>43480</v>
      </c>
      <c r="BO39" s="3406">
        <v>43491</v>
      </c>
      <c r="BP39" s="3406">
        <v>43814</v>
      </c>
      <c r="BQ39" s="3406">
        <v>43814</v>
      </c>
      <c r="BR39" s="3397"/>
      <c r="BS39" s="1569"/>
      <c r="BT39" s="1569"/>
    </row>
    <row r="40" spans="1:72" s="571" customFormat="1" ht="42" customHeight="1" x14ac:dyDescent="0.2">
      <c r="A40" s="3369"/>
      <c r="B40" s="3373"/>
      <c r="C40" s="3374"/>
      <c r="D40" s="3377"/>
      <c r="E40" s="3378"/>
      <c r="F40" s="3378"/>
      <c r="G40" s="1569"/>
      <c r="H40" s="1627"/>
      <c r="I40" s="1628"/>
      <c r="J40" s="3431"/>
      <c r="K40" s="3433"/>
      <c r="L40" s="3436"/>
      <c r="M40" s="3438"/>
      <c r="N40" s="3440"/>
      <c r="O40" s="1655"/>
      <c r="P40" s="3479"/>
      <c r="Q40" s="3471"/>
      <c r="R40" s="3443"/>
      <c r="S40" s="3476"/>
      <c r="T40" s="3401"/>
      <c r="U40" s="3478"/>
      <c r="V40" s="3365"/>
      <c r="W40" s="1651">
        <v>10000000</v>
      </c>
      <c r="X40" s="1621">
        <v>0</v>
      </c>
      <c r="Y40" s="1621">
        <v>0</v>
      </c>
      <c r="Z40" s="1622">
        <v>92</v>
      </c>
      <c r="AA40" s="1623" t="s">
        <v>1365</v>
      </c>
      <c r="AB40" s="3362"/>
      <c r="AC40" s="3362"/>
      <c r="AD40" s="3449"/>
      <c r="AE40" s="3362"/>
      <c r="AF40" s="3455"/>
      <c r="AG40" s="3452"/>
      <c r="AH40" s="3455"/>
      <c r="AI40" s="3452"/>
      <c r="AJ40" s="3455"/>
      <c r="AK40" s="3452"/>
      <c r="AL40" s="3421"/>
      <c r="AM40" s="3424"/>
      <c r="AN40" s="3426"/>
      <c r="AO40" s="3449"/>
      <c r="AP40" s="3426"/>
      <c r="AQ40" s="1629"/>
      <c r="AR40" s="3449"/>
      <c r="AS40" s="1629"/>
      <c r="AT40" s="3426"/>
      <c r="AU40" s="3428"/>
      <c r="AV40" s="3426"/>
      <c r="AW40" s="3428"/>
      <c r="AX40" s="3426"/>
      <c r="AY40" s="3428"/>
      <c r="AZ40" s="3426"/>
      <c r="BA40" s="3428"/>
      <c r="BB40" s="3426"/>
      <c r="BC40" s="3428"/>
      <c r="BD40" s="3426"/>
      <c r="BE40" s="1629"/>
      <c r="BF40" s="3362"/>
      <c r="BG40" s="3446"/>
      <c r="BH40" s="3446"/>
      <c r="BI40" s="3409"/>
      <c r="BJ40" s="3409"/>
      <c r="BK40" s="3412"/>
      <c r="BL40" s="1631"/>
      <c r="BM40" s="1631"/>
      <c r="BN40" s="3407"/>
      <c r="BO40" s="3407"/>
      <c r="BP40" s="3407"/>
      <c r="BQ40" s="3407"/>
      <c r="BR40" s="3397"/>
      <c r="BS40" s="1569"/>
      <c r="BT40" s="1569"/>
    </row>
    <row r="41" spans="1:72" s="571" customFormat="1" ht="35.25" customHeight="1" x14ac:dyDescent="0.2">
      <c r="A41" s="3369"/>
      <c r="B41" s="3373"/>
      <c r="C41" s="3374"/>
      <c r="D41" s="3377"/>
      <c r="E41" s="3378"/>
      <c r="F41" s="3378"/>
      <c r="G41" s="1569"/>
      <c r="H41" s="1627"/>
      <c r="I41" s="1628"/>
      <c r="J41" s="3431"/>
      <c r="K41" s="3433"/>
      <c r="L41" s="3436"/>
      <c r="M41" s="3438"/>
      <c r="N41" s="3440"/>
      <c r="O41" s="1655"/>
      <c r="P41" s="3479"/>
      <c r="Q41" s="3471"/>
      <c r="R41" s="3443"/>
      <c r="S41" s="3476"/>
      <c r="T41" s="3401"/>
      <c r="U41" s="3478"/>
      <c r="V41" s="3364" t="s">
        <v>1397</v>
      </c>
      <c r="W41" s="1620">
        <v>10000000</v>
      </c>
      <c r="X41" s="1621">
        <v>10000000</v>
      </c>
      <c r="Y41" s="1621">
        <v>803634</v>
      </c>
      <c r="Z41" s="1622">
        <v>42</v>
      </c>
      <c r="AA41" s="1623" t="s">
        <v>1379</v>
      </c>
      <c r="AB41" s="3362"/>
      <c r="AC41" s="3362"/>
      <c r="AD41" s="3449"/>
      <c r="AE41" s="3362"/>
      <c r="AF41" s="3455"/>
      <c r="AG41" s="3452"/>
      <c r="AH41" s="3455"/>
      <c r="AI41" s="3452"/>
      <c r="AJ41" s="3455"/>
      <c r="AK41" s="3452"/>
      <c r="AL41" s="3421"/>
      <c r="AM41" s="3424"/>
      <c r="AN41" s="3426"/>
      <c r="AO41" s="3449"/>
      <c r="AP41" s="3426"/>
      <c r="AQ41" s="1629"/>
      <c r="AR41" s="3449"/>
      <c r="AS41" s="1629"/>
      <c r="AT41" s="3426"/>
      <c r="AU41" s="3428"/>
      <c r="AV41" s="3426"/>
      <c r="AW41" s="3428"/>
      <c r="AX41" s="3426"/>
      <c r="AY41" s="3428"/>
      <c r="AZ41" s="3426"/>
      <c r="BA41" s="3428"/>
      <c r="BB41" s="3426"/>
      <c r="BC41" s="3428"/>
      <c r="BD41" s="3426"/>
      <c r="BE41" s="1629"/>
      <c r="BF41" s="3362"/>
      <c r="BG41" s="3446"/>
      <c r="BH41" s="3446"/>
      <c r="BI41" s="3409"/>
      <c r="BJ41" s="3409"/>
      <c r="BK41" s="3412"/>
      <c r="BL41" s="1631"/>
      <c r="BM41" s="1631"/>
      <c r="BN41" s="3406">
        <v>43480</v>
      </c>
      <c r="BO41" s="3406">
        <v>43491</v>
      </c>
      <c r="BP41" s="3406">
        <v>43814</v>
      </c>
      <c r="BQ41" s="3406">
        <v>43814</v>
      </c>
      <c r="BR41" s="3397"/>
      <c r="BS41" s="1569"/>
      <c r="BT41" s="1569"/>
    </row>
    <row r="42" spans="1:72" s="571" customFormat="1" ht="42.75" x14ac:dyDescent="0.2">
      <c r="A42" s="3369"/>
      <c r="B42" s="3373"/>
      <c r="C42" s="3374"/>
      <c r="D42" s="3377"/>
      <c r="E42" s="3378"/>
      <c r="F42" s="3378"/>
      <c r="G42" s="1569"/>
      <c r="H42" s="1627"/>
      <c r="I42" s="1628"/>
      <c r="J42" s="3431"/>
      <c r="K42" s="3433"/>
      <c r="L42" s="3436"/>
      <c r="M42" s="3438"/>
      <c r="N42" s="3440"/>
      <c r="O42" s="1655"/>
      <c r="P42" s="3479"/>
      <c r="Q42" s="3471"/>
      <c r="R42" s="3443"/>
      <c r="S42" s="3476"/>
      <c r="T42" s="3401"/>
      <c r="U42" s="3478"/>
      <c r="V42" s="3365"/>
      <c r="W42" s="1620">
        <v>10000000</v>
      </c>
      <c r="X42" s="1621">
        <v>0</v>
      </c>
      <c r="Y42" s="1621">
        <v>0</v>
      </c>
      <c r="Z42" s="1622">
        <v>92</v>
      </c>
      <c r="AA42" s="1623" t="s">
        <v>1365</v>
      </c>
      <c r="AB42" s="3362"/>
      <c r="AC42" s="3362"/>
      <c r="AD42" s="3449"/>
      <c r="AE42" s="3362"/>
      <c r="AF42" s="3455"/>
      <c r="AG42" s="3452"/>
      <c r="AH42" s="3455"/>
      <c r="AI42" s="3452"/>
      <c r="AJ42" s="3455"/>
      <c r="AK42" s="3452"/>
      <c r="AL42" s="3421"/>
      <c r="AM42" s="3424"/>
      <c r="AN42" s="3426"/>
      <c r="AO42" s="3449"/>
      <c r="AP42" s="3426"/>
      <c r="AQ42" s="1629"/>
      <c r="AR42" s="3449"/>
      <c r="AS42" s="1629"/>
      <c r="AT42" s="3426"/>
      <c r="AU42" s="3428"/>
      <c r="AV42" s="3426"/>
      <c r="AW42" s="3428"/>
      <c r="AX42" s="3426"/>
      <c r="AY42" s="3428"/>
      <c r="AZ42" s="3426"/>
      <c r="BA42" s="3428"/>
      <c r="BB42" s="3426"/>
      <c r="BC42" s="3428"/>
      <c r="BD42" s="3426"/>
      <c r="BE42" s="1629"/>
      <c r="BF42" s="3362"/>
      <c r="BG42" s="3446"/>
      <c r="BH42" s="3446"/>
      <c r="BI42" s="3409"/>
      <c r="BJ42" s="3409"/>
      <c r="BK42" s="3412"/>
      <c r="BL42" s="1631"/>
      <c r="BM42" s="1631"/>
      <c r="BN42" s="3407"/>
      <c r="BO42" s="3407"/>
      <c r="BP42" s="3407"/>
      <c r="BQ42" s="3407"/>
      <c r="BR42" s="3397"/>
      <c r="BS42" s="1569"/>
      <c r="BT42" s="1569"/>
    </row>
    <row r="43" spans="1:72" s="571" customFormat="1" ht="42.75" customHeight="1" x14ac:dyDescent="0.2">
      <c r="A43" s="3369"/>
      <c r="B43" s="3373"/>
      <c r="C43" s="3374"/>
      <c r="D43" s="3377"/>
      <c r="E43" s="3378"/>
      <c r="F43" s="3378"/>
      <c r="G43" s="1569"/>
      <c r="H43" s="1627"/>
      <c r="I43" s="1628"/>
      <c r="J43" s="3431"/>
      <c r="K43" s="3433"/>
      <c r="L43" s="3436"/>
      <c r="M43" s="3438"/>
      <c r="N43" s="3440"/>
      <c r="O43" s="1655"/>
      <c r="P43" s="3479"/>
      <c r="Q43" s="3471"/>
      <c r="R43" s="3443"/>
      <c r="S43" s="3476"/>
      <c r="T43" s="3401"/>
      <c r="U43" s="3478"/>
      <c r="V43" s="3364" t="s">
        <v>1398</v>
      </c>
      <c r="W43" s="1620">
        <v>10000000</v>
      </c>
      <c r="X43" s="1621">
        <f>4020000+3000000+2980000</f>
        <v>10000000</v>
      </c>
      <c r="Y43" s="1621">
        <f>4020000+2980000</f>
        <v>7000000</v>
      </c>
      <c r="Z43" s="1622">
        <v>42</v>
      </c>
      <c r="AA43" s="1623" t="s">
        <v>1379</v>
      </c>
      <c r="AB43" s="3362"/>
      <c r="AC43" s="3362"/>
      <c r="AD43" s="3449"/>
      <c r="AE43" s="3362"/>
      <c r="AF43" s="3455"/>
      <c r="AG43" s="3452"/>
      <c r="AH43" s="3455"/>
      <c r="AI43" s="3452"/>
      <c r="AJ43" s="3455"/>
      <c r="AK43" s="3452"/>
      <c r="AL43" s="3421"/>
      <c r="AM43" s="3424"/>
      <c r="AN43" s="3426"/>
      <c r="AO43" s="3449"/>
      <c r="AP43" s="3426"/>
      <c r="AQ43" s="1629"/>
      <c r="AR43" s="3449"/>
      <c r="AS43" s="1629"/>
      <c r="AT43" s="3426"/>
      <c r="AU43" s="3428"/>
      <c r="AV43" s="3426"/>
      <c r="AW43" s="3428"/>
      <c r="AX43" s="3426"/>
      <c r="AY43" s="3428"/>
      <c r="AZ43" s="3426"/>
      <c r="BA43" s="3428"/>
      <c r="BB43" s="3426"/>
      <c r="BC43" s="3428"/>
      <c r="BD43" s="3426"/>
      <c r="BE43" s="1629"/>
      <c r="BF43" s="3362"/>
      <c r="BG43" s="3446"/>
      <c r="BH43" s="3446"/>
      <c r="BI43" s="3409"/>
      <c r="BJ43" s="3409"/>
      <c r="BK43" s="3412"/>
      <c r="BL43" s="1631"/>
      <c r="BM43" s="1631"/>
      <c r="BN43" s="3406">
        <v>43480</v>
      </c>
      <c r="BO43" s="3406">
        <v>43491</v>
      </c>
      <c r="BP43" s="3406">
        <v>43600</v>
      </c>
      <c r="BQ43" s="3406">
        <v>43814</v>
      </c>
      <c r="BR43" s="3397"/>
      <c r="BS43" s="1569"/>
      <c r="BT43" s="1569"/>
    </row>
    <row r="44" spans="1:72" s="571" customFormat="1" ht="54" customHeight="1" x14ac:dyDescent="0.2">
      <c r="A44" s="3369"/>
      <c r="B44" s="3373"/>
      <c r="C44" s="3374"/>
      <c r="D44" s="3377"/>
      <c r="E44" s="3378"/>
      <c r="F44" s="3378"/>
      <c r="G44" s="1569"/>
      <c r="H44" s="1627"/>
      <c r="I44" s="1628"/>
      <c r="J44" s="3431"/>
      <c r="K44" s="3433"/>
      <c r="L44" s="3436"/>
      <c r="M44" s="3438"/>
      <c r="N44" s="3440"/>
      <c r="O44" s="1655"/>
      <c r="P44" s="3479"/>
      <c r="Q44" s="3471"/>
      <c r="R44" s="3443"/>
      <c r="S44" s="3476"/>
      <c r="T44" s="3401"/>
      <c r="U44" s="3478"/>
      <c r="V44" s="3365"/>
      <c r="W44" s="1620">
        <v>10000000</v>
      </c>
      <c r="X44" s="1621">
        <v>0</v>
      </c>
      <c r="Y44" s="1621">
        <v>0</v>
      </c>
      <c r="Z44" s="1622">
        <v>92</v>
      </c>
      <c r="AA44" s="1623" t="s">
        <v>1365</v>
      </c>
      <c r="AB44" s="3362"/>
      <c r="AC44" s="3362"/>
      <c r="AD44" s="3449"/>
      <c r="AE44" s="3362"/>
      <c r="AF44" s="3455"/>
      <c r="AG44" s="3452"/>
      <c r="AH44" s="3455"/>
      <c r="AI44" s="3452"/>
      <c r="AJ44" s="3455"/>
      <c r="AK44" s="3452"/>
      <c r="AL44" s="3421"/>
      <c r="AM44" s="3424"/>
      <c r="AN44" s="3426"/>
      <c r="AO44" s="3449"/>
      <c r="AP44" s="3426"/>
      <c r="AQ44" s="1629"/>
      <c r="AR44" s="3449"/>
      <c r="AS44" s="1629"/>
      <c r="AT44" s="3426"/>
      <c r="AU44" s="3428"/>
      <c r="AV44" s="3426"/>
      <c r="AW44" s="3428"/>
      <c r="AX44" s="3426"/>
      <c r="AY44" s="3428"/>
      <c r="AZ44" s="3426"/>
      <c r="BA44" s="3428"/>
      <c r="BB44" s="3426"/>
      <c r="BC44" s="3428"/>
      <c r="BD44" s="3426"/>
      <c r="BE44" s="1629"/>
      <c r="BF44" s="3362"/>
      <c r="BG44" s="3446"/>
      <c r="BH44" s="3446"/>
      <c r="BI44" s="3409"/>
      <c r="BJ44" s="3409"/>
      <c r="BK44" s="3412"/>
      <c r="BL44" s="1631"/>
      <c r="BM44" s="1631"/>
      <c r="BN44" s="3407"/>
      <c r="BO44" s="3407"/>
      <c r="BP44" s="3407"/>
      <c r="BQ44" s="3407"/>
      <c r="BR44" s="3397"/>
      <c r="BS44" s="1569"/>
      <c r="BT44" s="1569"/>
    </row>
    <row r="45" spans="1:72" s="571" customFormat="1" ht="44.25" customHeight="1" x14ac:dyDescent="0.2">
      <c r="A45" s="3369"/>
      <c r="B45" s="3373"/>
      <c r="C45" s="3374"/>
      <c r="D45" s="3377"/>
      <c r="E45" s="3378"/>
      <c r="F45" s="3378"/>
      <c r="G45" s="1569"/>
      <c r="H45" s="1627"/>
      <c r="I45" s="1628"/>
      <c r="J45" s="3431"/>
      <c r="K45" s="3433"/>
      <c r="L45" s="3436"/>
      <c r="M45" s="3438"/>
      <c r="N45" s="3440"/>
      <c r="O45" s="1655"/>
      <c r="P45" s="3479"/>
      <c r="Q45" s="3471"/>
      <c r="R45" s="3443"/>
      <c r="S45" s="3476"/>
      <c r="T45" s="3401"/>
      <c r="U45" s="3478"/>
      <c r="V45" s="3364" t="s">
        <v>1399</v>
      </c>
      <c r="W45" s="1651">
        <v>11000000</v>
      </c>
      <c r="X45" s="1621">
        <v>0</v>
      </c>
      <c r="Y45" s="1621">
        <v>0</v>
      </c>
      <c r="Z45" s="1622">
        <v>42</v>
      </c>
      <c r="AA45" s="1623" t="s">
        <v>1379</v>
      </c>
      <c r="AB45" s="3362"/>
      <c r="AC45" s="3362"/>
      <c r="AD45" s="3449"/>
      <c r="AE45" s="3362"/>
      <c r="AF45" s="3455"/>
      <c r="AG45" s="3452"/>
      <c r="AH45" s="3455"/>
      <c r="AI45" s="3452"/>
      <c r="AJ45" s="3455"/>
      <c r="AK45" s="3452"/>
      <c r="AL45" s="3421"/>
      <c r="AM45" s="3424"/>
      <c r="AN45" s="3426"/>
      <c r="AO45" s="3449"/>
      <c r="AP45" s="3426"/>
      <c r="AQ45" s="1629"/>
      <c r="AR45" s="3449"/>
      <c r="AS45" s="1629"/>
      <c r="AT45" s="3426"/>
      <c r="AU45" s="3428"/>
      <c r="AV45" s="3426"/>
      <c r="AW45" s="3428"/>
      <c r="AX45" s="3426"/>
      <c r="AY45" s="3428"/>
      <c r="AZ45" s="3426"/>
      <c r="BA45" s="3428"/>
      <c r="BB45" s="3426"/>
      <c r="BC45" s="3428"/>
      <c r="BD45" s="3426"/>
      <c r="BE45" s="1629"/>
      <c r="BF45" s="3362"/>
      <c r="BG45" s="3446"/>
      <c r="BH45" s="3446"/>
      <c r="BI45" s="3409"/>
      <c r="BJ45" s="3409"/>
      <c r="BK45" s="3412"/>
      <c r="BL45" s="1631"/>
      <c r="BM45" s="1631"/>
      <c r="BN45" s="3406">
        <v>43480</v>
      </c>
      <c r="BO45" s="3406"/>
      <c r="BP45" s="3406">
        <v>43646</v>
      </c>
      <c r="BQ45" s="3406"/>
      <c r="BR45" s="3397"/>
      <c r="BS45" s="1569"/>
      <c r="BT45" s="1569"/>
    </row>
    <row r="46" spans="1:72" s="571" customFormat="1" ht="42.75" x14ac:dyDescent="0.2">
      <c r="A46" s="3369"/>
      <c r="B46" s="3373"/>
      <c r="C46" s="3374"/>
      <c r="D46" s="3378"/>
      <c r="E46" s="3378"/>
      <c r="F46" s="3378"/>
      <c r="G46" s="1569"/>
      <c r="H46" s="1627"/>
      <c r="I46" s="1628"/>
      <c r="J46" s="3380"/>
      <c r="K46" s="3434"/>
      <c r="L46" s="3437"/>
      <c r="M46" s="3417"/>
      <c r="N46" s="3441"/>
      <c r="O46" s="1655"/>
      <c r="P46" s="3479"/>
      <c r="Q46" s="3471"/>
      <c r="R46" s="3444"/>
      <c r="S46" s="3476"/>
      <c r="T46" s="3401"/>
      <c r="U46" s="3478"/>
      <c r="V46" s="3365"/>
      <c r="W46" s="1651">
        <v>30000000</v>
      </c>
      <c r="X46" s="1621">
        <v>0</v>
      </c>
      <c r="Y46" s="1621">
        <v>0</v>
      </c>
      <c r="Z46" s="1622">
        <v>92</v>
      </c>
      <c r="AA46" s="1623" t="s">
        <v>1365</v>
      </c>
      <c r="AB46" s="3362"/>
      <c r="AC46" s="3362"/>
      <c r="AD46" s="3449"/>
      <c r="AE46" s="3362"/>
      <c r="AF46" s="3455"/>
      <c r="AG46" s="3452"/>
      <c r="AH46" s="3455"/>
      <c r="AI46" s="3452"/>
      <c r="AJ46" s="3455"/>
      <c r="AK46" s="3452"/>
      <c r="AL46" s="3421"/>
      <c r="AM46" s="3424"/>
      <c r="AN46" s="3426"/>
      <c r="AO46" s="3449"/>
      <c r="AP46" s="3426"/>
      <c r="AQ46" s="1629"/>
      <c r="AR46" s="3449"/>
      <c r="AS46" s="1629"/>
      <c r="AT46" s="3426"/>
      <c r="AU46" s="3428"/>
      <c r="AV46" s="3426"/>
      <c r="AW46" s="3428"/>
      <c r="AX46" s="3426"/>
      <c r="AY46" s="3428"/>
      <c r="AZ46" s="3426"/>
      <c r="BA46" s="3428"/>
      <c r="BB46" s="3426"/>
      <c r="BC46" s="3428"/>
      <c r="BD46" s="3426"/>
      <c r="BE46" s="1629"/>
      <c r="BF46" s="3362"/>
      <c r="BG46" s="3446"/>
      <c r="BH46" s="3446"/>
      <c r="BI46" s="3409"/>
      <c r="BJ46" s="3409"/>
      <c r="BK46" s="3412"/>
      <c r="BL46" s="1631"/>
      <c r="BM46" s="1631"/>
      <c r="BN46" s="3407"/>
      <c r="BO46" s="3407"/>
      <c r="BP46" s="3407"/>
      <c r="BQ46" s="3407"/>
      <c r="BR46" s="3397"/>
      <c r="BS46" s="1569"/>
      <c r="BT46" s="1569"/>
    </row>
    <row r="47" spans="1:72" s="571" customFormat="1" ht="47.25" customHeight="1" x14ac:dyDescent="0.2">
      <c r="A47" s="3369"/>
      <c r="B47" s="3373"/>
      <c r="C47" s="3374"/>
      <c r="D47" s="3378"/>
      <c r="E47" s="3378"/>
      <c r="F47" s="3378"/>
      <c r="G47" s="1569"/>
      <c r="H47" s="1627"/>
      <c r="I47" s="1628"/>
      <c r="J47" s="3400">
        <v>218</v>
      </c>
      <c r="K47" s="3401" t="s">
        <v>1400</v>
      </c>
      <c r="L47" s="3402" t="s">
        <v>1401</v>
      </c>
      <c r="M47" s="3464">
        <v>3</v>
      </c>
      <c r="N47" s="3465">
        <v>1</v>
      </c>
      <c r="O47" s="1655"/>
      <c r="P47" s="3479"/>
      <c r="Q47" s="3471"/>
      <c r="R47" s="3468">
        <f>SUM(W47:W49)/S13</f>
        <v>1.8685636893508266E-2</v>
      </c>
      <c r="S47" s="3476"/>
      <c r="T47" s="3401"/>
      <c r="U47" s="3401"/>
      <c r="V47" s="3364" t="s">
        <v>1402</v>
      </c>
      <c r="W47" s="1656">
        <v>45600000</v>
      </c>
      <c r="X47" s="1621">
        <f>18750000+8480000+14332000</f>
        <v>41562000</v>
      </c>
      <c r="Y47" s="1621">
        <f>4500000+2120000+3583000</f>
        <v>10203000</v>
      </c>
      <c r="Z47" s="1622">
        <v>20</v>
      </c>
      <c r="AA47" s="1623" t="s">
        <v>1369</v>
      </c>
      <c r="AB47" s="3362"/>
      <c r="AC47" s="3362"/>
      <c r="AD47" s="3449"/>
      <c r="AE47" s="3362"/>
      <c r="AF47" s="3455"/>
      <c r="AG47" s="3452"/>
      <c r="AH47" s="3455"/>
      <c r="AI47" s="3452"/>
      <c r="AJ47" s="3455"/>
      <c r="AK47" s="3452"/>
      <c r="AL47" s="3421"/>
      <c r="AM47" s="3424"/>
      <c r="AN47" s="3426"/>
      <c r="AO47" s="3449"/>
      <c r="AP47" s="3426"/>
      <c r="AQ47" s="1629"/>
      <c r="AR47" s="3449"/>
      <c r="AS47" s="1629"/>
      <c r="AT47" s="3426"/>
      <c r="AU47" s="3428"/>
      <c r="AV47" s="3426"/>
      <c r="AW47" s="3428"/>
      <c r="AX47" s="3426"/>
      <c r="AY47" s="3428"/>
      <c r="AZ47" s="3426"/>
      <c r="BA47" s="3428"/>
      <c r="BB47" s="3426"/>
      <c r="BC47" s="3428"/>
      <c r="BD47" s="3426"/>
      <c r="BE47" s="1629"/>
      <c r="BF47" s="3362"/>
      <c r="BG47" s="3446"/>
      <c r="BH47" s="3446"/>
      <c r="BI47" s="3409"/>
      <c r="BJ47" s="3409"/>
      <c r="BK47" s="3412"/>
      <c r="BL47" s="1631"/>
      <c r="BM47" s="1631"/>
      <c r="BN47" s="3406">
        <v>43480</v>
      </c>
      <c r="BO47" s="3406">
        <v>43511</v>
      </c>
      <c r="BP47" s="3406">
        <v>43646</v>
      </c>
      <c r="BQ47" s="3406">
        <v>43814</v>
      </c>
      <c r="BR47" s="3397"/>
      <c r="BS47" s="1569"/>
      <c r="BT47" s="1569"/>
    </row>
    <row r="48" spans="1:72" s="571" customFormat="1" ht="60" customHeight="1" x14ac:dyDescent="0.2">
      <c r="A48" s="3369"/>
      <c r="B48" s="3373"/>
      <c r="C48" s="3374"/>
      <c r="D48" s="3378"/>
      <c r="E48" s="3378"/>
      <c r="F48" s="3378"/>
      <c r="G48" s="1569"/>
      <c r="H48" s="1627"/>
      <c r="I48" s="1628"/>
      <c r="J48" s="3400"/>
      <c r="K48" s="3401"/>
      <c r="L48" s="3402"/>
      <c r="M48" s="3464"/>
      <c r="N48" s="3466"/>
      <c r="O48" s="1655"/>
      <c r="P48" s="3479"/>
      <c r="Q48" s="3471"/>
      <c r="R48" s="3468"/>
      <c r="S48" s="3476"/>
      <c r="T48" s="3401"/>
      <c r="U48" s="3401"/>
      <c r="V48" s="3365"/>
      <c r="W48" s="1656">
        <v>75000000</v>
      </c>
      <c r="X48" s="1621">
        <v>0</v>
      </c>
      <c r="Y48" s="1621">
        <v>0</v>
      </c>
      <c r="Z48" s="1657">
        <v>92</v>
      </c>
      <c r="AA48" s="1623" t="s">
        <v>1365</v>
      </c>
      <c r="AB48" s="3362"/>
      <c r="AC48" s="3362"/>
      <c r="AD48" s="3449"/>
      <c r="AE48" s="3362"/>
      <c r="AF48" s="3455"/>
      <c r="AG48" s="3452"/>
      <c r="AH48" s="3455"/>
      <c r="AI48" s="3452"/>
      <c r="AJ48" s="3455"/>
      <c r="AK48" s="3452"/>
      <c r="AL48" s="3421"/>
      <c r="AM48" s="3424"/>
      <c r="AN48" s="3426"/>
      <c r="AO48" s="3449"/>
      <c r="AP48" s="3426"/>
      <c r="AQ48" s="1629"/>
      <c r="AR48" s="3449"/>
      <c r="AS48" s="1629"/>
      <c r="AT48" s="3426"/>
      <c r="AU48" s="3428"/>
      <c r="AV48" s="3426"/>
      <c r="AW48" s="3428"/>
      <c r="AX48" s="3426"/>
      <c r="AY48" s="3428"/>
      <c r="AZ48" s="3426"/>
      <c r="BA48" s="3428"/>
      <c r="BB48" s="3426"/>
      <c r="BC48" s="3428"/>
      <c r="BD48" s="3426"/>
      <c r="BE48" s="1629"/>
      <c r="BF48" s="3362"/>
      <c r="BG48" s="3446"/>
      <c r="BH48" s="3446"/>
      <c r="BI48" s="3409"/>
      <c r="BJ48" s="3409"/>
      <c r="BK48" s="3412"/>
      <c r="BL48" s="1631"/>
      <c r="BM48" s="1631"/>
      <c r="BN48" s="3407"/>
      <c r="BO48" s="3407"/>
      <c r="BP48" s="3407"/>
      <c r="BQ48" s="3407"/>
      <c r="BR48" s="3397"/>
      <c r="BS48" s="1569"/>
      <c r="BT48" s="1569"/>
    </row>
    <row r="49" spans="1:72" s="571" customFormat="1" ht="75" customHeight="1" x14ac:dyDescent="0.2">
      <c r="A49" s="3369"/>
      <c r="B49" s="3373"/>
      <c r="C49" s="3374"/>
      <c r="D49" s="3378"/>
      <c r="E49" s="3378"/>
      <c r="F49" s="3378"/>
      <c r="G49" s="1569"/>
      <c r="H49" s="1658"/>
      <c r="I49" s="1659"/>
      <c r="J49" s="3400"/>
      <c r="K49" s="3401"/>
      <c r="L49" s="3402"/>
      <c r="M49" s="3416"/>
      <c r="N49" s="3467"/>
      <c r="O49" s="1655"/>
      <c r="P49" s="3479"/>
      <c r="Q49" s="3471"/>
      <c r="R49" s="3468"/>
      <c r="S49" s="3477"/>
      <c r="T49" s="3401"/>
      <c r="U49" s="3401"/>
      <c r="V49" s="999" t="s">
        <v>1403</v>
      </c>
      <c r="W49" s="1644">
        <v>4000000</v>
      </c>
      <c r="X49" s="1050">
        <v>0</v>
      </c>
      <c r="Y49" s="959">
        <v>0</v>
      </c>
      <c r="Z49" s="1657">
        <v>20</v>
      </c>
      <c r="AA49" s="1660" t="s">
        <v>1369</v>
      </c>
      <c r="AB49" s="3363"/>
      <c r="AC49" s="3363"/>
      <c r="AD49" s="3450"/>
      <c r="AE49" s="3363"/>
      <c r="AF49" s="3456"/>
      <c r="AG49" s="3453"/>
      <c r="AH49" s="3456"/>
      <c r="AI49" s="3453"/>
      <c r="AJ49" s="3456"/>
      <c r="AK49" s="3453"/>
      <c r="AL49" s="3422"/>
      <c r="AM49" s="3425"/>
      <c r="AN49" s="3426"/>
      <c r="AO49" s="3450"/>
      <c r="AP49" s="3426"/>
      <c r="AQ49" s="1661"/>
      <c r="AR49" s="3450"/>
      <c r="AS49" s="1661"/>
      <c r="AT49" s="3426"/>
      <c r="AU49" s="3429"/>
      <c r="AV49" s="3426"/>
      <c r="AW49" s="3429"/>
      <c r="AX49" s="3426"/>
      <c r="AY49" s="3429"/>
      <c r="AZ49" s="3426"/>
      <c r="BA49" s="3429"/>
      <c r="BB49" s="3426"/>
      <c r="BC49" s="3429"/>
      <c r="BD49" s="3426"/>
      <c r="BE49" s="1661"/>
      <c r="BF49" s="3363"/>
      <c r="BG49" s="3447"/>
      <c r="BH49" s="3447"/>
      <c r="BI49" s="3410"/>
      <c r="BJ49" s="3410"/>
      <c r="BK49" s="3413"/>
      <c r="BL49" s="1662"/>
      <c r="BM49" s="1662"/>
      <c r="BN49" s="1639">
        <v>43600</v>
      </c>
      <c r="BO49" s="1639"/>
      <c r="BP49" s="1640" t="s">
        <v>1404</v>
      </c>
      <c r="BQ49" s="1640"/>
      <c r="BR49" s="3397"/>
      <c r="BS49" s="1569"/>
      <c r="BT49" s="1569"/>
    </row>
    <row r="50" spans="1:72" s="1569" customFormat="1" ht="15" customHeight="1" x14ac:dyDescent="0.2">
      <c r="A50" s="3369"/>
      <c r="B50" s="3373"/>
      <c r="C50" s="3374"/>
      <c r="D50" s="3378"/>
      <c r="E50" s="3378"/>
      <c r="F50" s="3378"/>
      <c r="G50" s="1609">
        <v>76</v>
      </c>
      <c r="H50" s="151" t="s">
        <v>1405</v>
      </c>
      <c r="I50" s="151"/>
      <c r="J50" s="1663"/>
      <c r="K50" s="1664"/>
      <c r="L50" s="1665"/>
      <c r="M50" s="209"/>
      <c r="N50" s="209"/>
      <c r="O50" s="272"/>
      <c r="P50" s="278"/>
      <c r="Q50" s="153"/>
      <c r="R50" s="1666"/>
      <c r="S50" s="1667"/>
      <c r="T50" s="1665"/>
      <c r="U50" s="1664"/>
      <c r="V50" s="1664"/>
      <c r="W50" s="1668"/>
      <c r="X50" s="1668"/>
      <c r="Y50" s="1669"/>
      <c r="Z50" s="1670"/>
      <c r="AA50" s="1670"/>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9"/>
      <c r="BA50" s="159"/>
      <c r="BB50" s="159"/>
      <c r="BC50" s="159"/>
      <c r="BD50" s="159"/>
      <c r="BE50" s="159"/>
      <c r="BF50" s="159"/>
      <c r="BG50" s="159"/>
      <c r="BH50" s="159"/>
      <c r="BI50" s="287"/>
      <c r="BJ50" s="287"/>
      <c r="BK50" s="159"/>
      <c r="BL50" s="159"/>
      <c r="BM50" s="159"/>
      <c r="BN50" s="159"/>
      <c r="BO50" s="159"/>
      <c r="BP50" s="159"/>
      <c r="BQ50" s="159"/>
      <c r="BR50" s="159"/>
    </row>
    <row r="51" spans="1:72" s="571" customFormat="1" ht="58.5" customHeight="1" x14ac:dyDescent="0.2">
      <c r="A51" s="3369"/>
      <c r="B51" s="3373"/>
      <c r="C51" s="3374"/>
      <c r="D51" s="3378"/>
      <c r="E51" s="3378"/>
      <c r="F51" s="3378"/>
      <c r="G51" s="1569"/>
      <c r="H51" s="1618"/>
      <c r="I51" s="1619"/>
      <c r="J51" s="3457">
        <v>219</v>
      </c>
      <c r="K51" s="3381" t="s">
        <v>1406</v>
      </c>
      <c r="L51" s="3381" t="s">
        <v>1407</v>
      </c>
      <c r="M51" s="3461">
        <v>11</v>
      </c>
      <c r="N51" s="3463">
        <v>2</v>
      </c>
      <c r="O51" s="1671"/>
      <c r="P51" s="3469" t="s">
        <v>1408</v>
      </c>
      <c r="Q51" s="3359" t="s">
        <v>1409</v>
      </c>
      <c r="R51" s="3472">
        <f>SUM(W51:W57)/S51</f>
        <v>0.48485153703513656</v>
      </c>
      <c r="S51" s="3475">
        <f>SUM(W51:W65)</f>
        <v>718838837</v>
      </c>
      <c r="T51" s="3401" t="s">
        <v>1410</v>
      </c>
      <c r="U51" s="3478" t="s">
        <v>1411</v>
      </c>
      <c r="V51" s="3489" t="s">
        <v>1412</v>
      </c>
      <c r="W51" s="1672">
        <v>50000000</v>
      </c>
      <c r="X51" s="1673">
        <v>41244366</v>
      </c>
      <c r="Y51" s="1621">
        <f>9000000+7166000</f>
        <v>16166000</v>
      </c>
      <c r="Z51" s="1674" t="s">
        <v>1413</v>
      </c>
      <c r="AA51" s="1675" t="s">
        <v>1414</v>
      </c>
      <c r="AB51" s="3491">
        <v>7650</v>
      </c>
      <c r="AC51" s="3491" t="s">
        <v>1415</v>
      </c>
      <c r="AD51" s="3491">
        <v>7350</v>
      </c>
      <c r="AE51" s="3491" t="s">
        <v>1416</v>
      </c>
      <c r="AF51" s="3491">
        <v>4564</v>
      </c>
      <c r="AG51" s="3491" t="s">
        <v>1417</v>
      </c>
      <c r="AH51" s="3491">
        <v>3365</v>
      </c>
      <c r="AI51" s="3491" t="s">
        <v>1418</v>
      </c>
      <c r="AJ51" s="3491">
        <v>1921</v>
      </c>
      <c r="AK51" s="3491" t="s">
        <v>1419</v>
      </c>
      <c r="AL51" s="3491">
        <v>5150</v>
      </c>
      <c r="AM51" s="3491" t="s">
        <v>1420</v>
      </c>
      <c r="AN51" s="3495"/>
      <c r="AO51" s="1676"/>
      <c r="AP51" s="3495"/>
      <c r="AQ51" s="1676"/>
      <c r="AR51" s="3495"/>
      <c r="AS51" s="1676"/>
      <c r="AT51" s="3495"/>
      <c r="AU51" s="1676"/>
      <c r="AV51" s="3495"/>
      <c r="AW51" s="1676"/>
      <c r="AX51" s="3495"/>
      <c r="AY51" s="1676"/>
      <c r="AZ51" s="3495"/>
      <c r="BA51" s="1676"/>
      <c r="BB51" s="3495"/>
      <c r="BC51" s="1676"/>
      <c r="BD51" s="3495"/>
      <c r="BE51" s="1676"/>
      <c r="BF51" s="3491">
        <v>15000</v>
      </c>
      <c r="BG51" s="3491">
        <v>1241</v>
      </c>
      <c r="BH51" s="3491">
        <v>21</v>
      </c>
      <c r="BI51" s="3205">
        <f>SUM(X51:X65)</f>
        <v>234311217</v>
      </c>
      <c r="BJ51" s="3205">
        <f>SUM(Y51:Y65)</f>
        <v>53715585</v>
      </c>
      <c r="BK51" s="3265">
        <f>BJ51/BI51</f>
        <v>0.22924888397468399</v>
      </c>
      <c r="BL51" s="1677"/>
      <c r="BM51" s="1677"/>
      <c r="BN51" s="3483">
        <v>43480</v>
      </c>
      <c r="BO51" s="3483">
        <v>43516</v>
      </c>
      <c r="BP51" s="3483">
        <v>43600</v>
      </c>
      <c r="BQ51" s="3483">
        <v>43809</v>
      </c>
      <c r="BR51" s="3485" t="s">
        <v>1421</v>
      </c>
      <c r="BS51" s="1569"/>
      <c r="BT51" s="1569"/>
    </row>
    <row r="52" spans="1:72" s="571" customFormat="1" ht="51" customHeight="1" x14ac:dyDescent="0.2">
      <c r="A52" s="3369"/>
      <c r="B52" s="3373"/>
      <c r="C52" s="3374"/>
      <c r="D52" s="3378"/>
      <c r="E52" s="3378"/>
      <c r="F52" s="3378"/>
      <c r="G52" s="1569"/>
      <c r="H52" s="1627"/>
      <c r="I52" s="1628"/>
      <c r="J52" s="3458"/>
      <c r="K52" s="3460"/>
      <c r="L52" s="3460"/>
      <c r="M52" s="3461"/>
      <c r="N52" s="3463"/>
      <c r="O52" s="1678"/>
      <c r="P52" s="3470"/>
      <c r="Q52" s="3471"/>
      <c r="R52" s="3473"/>
      <c r="S52" s="3476"/>
      <c r="T52" s="3401"/>
      <c r="U52" s="3478"/>
      <c r="V52" s="3490"/>
      <c r="W52" s="1672">
        <v>130657749</v>
      </c>
      <c r="X52" s="1673">
        <v>8394000</v>
      </c>
      <c r="Y52" s="1621">
        <v>0</v>
      </c>
      <c r="Z52" s="1674" t="s">
        <v>1422</v>
      </c>
      <c r="AA52" s="1675" t="s">
        <v>1365</v>
      </c>
      <c r="AB52" s="3492"/>
      <c r="AC52" s="3492"/>
      <c r="AD52" s="3492"/>
      <c r="AE52" s="3492"/>
      <c r="AF52" s="3492"/>
      <c r="AG52" s="3492"/>
      <c r="AH52" s="3492"/>
      <c r="AI52" s="3492"/>
      <c r="AJ52" s="3492"/>
      <c r="AK52" s="3492"/>
      <c r="AL52" s="3492"/>
      <c r="AM52" s="3492"/>
      <c r="AN52" s="3496"/>
      <c r="AO52" s="1679"/>
      <c r="AP52" s="3496"/>
      <c r="AQ52" s="1679"/>
      <c r="AR52" s="3496"/>
      <c r="AS52" s="1679"/>
      <c r="AT52" s="3496"/>
      <c r="AU52" s="1679"/>
      <c r="AV52" s="3496"/>
      <c r="AW52" s="1679"/>
      <c r="AX52" s="3496"/>
      <c r="AY52" s="1679"/>
      <c r="AZ52" s="3496"/>
      <c r="BA52" s="1679"/>
      <c r="BB52" s="3496"/>
      <c r="BC52" s="1679"/>
      <c r="BD52" s="3496"/>
      <c r="BE52" s="1679"/>
      <c r="BF52" s="3492"/>
      <c r="BG52" s="3492"/>
      <c r="BH52" s="3492"/>
      <c r="BI52" s="3206"/>
      <c r="BJ52" s="3206"/>
      <c r="BK52" s="3493"/>
      <c r="BL52" s="1680"/>
      <c r="BM52" s="1680"/>
      <c r="BN52" s="3484"/>
      <c r="BO52" s="3484"/>
      <c r="BP52" s="3484"/>
      <c r="BQ52" s="3484"/>
      <c r="BR52" s="3486"/>
      <c r="BS52" s="1569"/>
      <c r="BT52" s="1569"/>
    </row>
    <row r="53" spans="1:72" s="571" customFormat="1" ht="50.25" customHeight="1" x14ac:dyDescent="0.2">
      <c r="A53" s="3369"/>
      <c r="B53" s="3373"/>
      <c r="C53" s="3374"/>
      <c r="D53" s="3378"/>
      <c r="E53" s="3378"/>
      <c r="F53" s="3378"/>
      <c r="G53" s="1569"/>
      <c r="H53" s="1627"/>
      <c r="I53" s="1628"/>
      <c r="J53" s="3458"/>
      <c r="K53" s="3460"/>
      <c r="L53" s="3460"/>
      <c r="M53" s="3461"/>
      <c r="N53" s="3463"/>
      <c r="O53" s="1678"/>
      <c r="P53" s="3470"/>
      <c r="Q53" s="3471"/>
      <c r="R53" s="3473"/>
      <c r="S53" s="3476"/>
      <c r="T53" s="3401"/>
      <c r="U53" s="3478"/>
      <c r="V53" s="3489" t="s">
        <v>1423</v>
      </c>
      <c r="W53" s="1672">
        <v>23500000</v>
      </c>
      <c r="X53" s="1673">
        <v>23292000</v>
      </c>
      <c r="Y53" s="1673">
        <v>5648000</v>
      </c>
      <c r="Z53" s="1681">
        <v>20</v>
      </c>
      <c r="AA53" s="1682" t="s">
        <v>1424</v>
      </c>
      <c r="AB53" s="3492"/>
      <c r="AC53" s="3492"/>
      <c r="AD53" s="3492"/>
      <c r="AE53" s="3492"/>
      <c r="AF53" s="3492"/>
      <c r="AG53" s="3492"/>
      <c r="AH53" s="3492"/>
      <c r="AI53" s="3492"/>
      <c r="AJ53" s="3492"/>
      <c r="AK53" s="3492"/>
      <c r="AL53" s="3492"/>
      <c r="AM53" s="3492"/>
      <c r="AN53" s="3496"/>
      <c r="AO53" s="1679"/>
      <c r="AP53" s="3496"/>
      <c r="AQ53" s="1679"/>
      <c r="AR53" s="3496"/>
      <c r="AS53" s="1679"/>
      <c r="AT53" s="3496"/>
      <c r="AU53" s="1679"/>
      <c r="AV53" s="3496"/>
      <c r="AW53" s="1679"/>
      <c r="AX53" s="3496"/>
      <c r="AY53" s="1679"/>
      <c r="AZ53" s="3496"/>
      <c r="BA53" s="1679"/>
      <c r="BB53" s="3496"/>
      <c r="BC53" s="1679"/>
      <c r="BD53" s="3496"/>
      <c r="BE53" s="1679"/>
      <c r="BF53" s="3492"/>
      <c r="BG53" s="3492"/>
      <c r="BH53" s="3492"/>
      <c r="BI53" s="3206"/>
      <c r="BJ53" s="3206"/>
      <c r="BK53" s="3493"/>
      <c r="BL53" s="1680"/>
      <c r="BM53" s="1680"/>
      <c r="BN53" s="3483">
        <v>43480</v>
      </c>
      <c r="BO53" s="3483">
        <v>43516</v>
      </c>
      <c r="BP53" s="3483">
        <v>43600</v>
      </c>
      <c r="BQ53" s="3483">
        <v>43809</v>
      </c>
      <c r="BR53" s="3486"/>
      <c r="BS53" s="1569"/>
      <c r="BT53" s="1569"/>
    </row>
    <row r="54" spans="1:72" s="571" customFormat="1" ht="41.25" customHeight="1" x14ac:dyDescent="0.2">
      <c r="A54" s="3369"/>
      <c r="B54" s="3373"/>
      <c r="C54" s="3374"/>
      <c r="D54" s="3378"/>
      <c r="E54" s="3378"/>
      <c r="F54" s="3378"/>
      <c r="G54" s="1569"/>
      <c r="H54" s="1627"/>
      <c r="I54" s="1628"/>
      <c r="J54" s="3458"/>
      <c r="K54" s="3460"/>
      <c r="L54" s="3460"/>
      <c r="M54" s="3461"/>
      <c r="N54" s="3463"/>
      <c r="O54" s="1678"/>
      <c r="P54" s="3470"/>
      <c r="Q54" s="3471"/>
      <c r="R54" s="3473"/>
      <c r="S54" s="3476"/>
      <c r="T54" s="3401"/>
      <c r="U54" s="3478"/>
      <c r="V54" s="3490"/>
      <c r="W54" s="1672">
        <v>55000000</v>
      </c>
      <c r="X54" s="1673">
        <v>8394000</v>
      </c>
      <c r="Y54" s="1621">
        <v>0</v>
      </c>
      <c r="Z54" s="1683">
        <v>92</v>
      </c>
      <c r="AA54" s="1675" t="s">
        <v>1379</v>
      </c>
      <c r="AB54" s="3492"/>
      <c r="AC54" s="3492"/>
      <c r="AD54" s="3492"/>
      <c r="AE54" s="3492"/>
      <c r="AF54" s="3492"/>
      <c r="AG54" s="3492"/>
      <c r="AH54" s="3492"/>
      <c r="AI54" s="3492"/>
      <c r="AJ54" s="3492"/>
      <c r="AK54" s="3492"/>
      <c r="AL54" s="3492"/>
      <c r="AM54" s="3492"/>
      <c r="AN54" s="3496"/>
      <c r="AO54" s="1679"/>
      <c r="AP54" s="3496"/>
      <c r="AQ54" s="1679"/>
      <c r="AR54" s="3496"/>
      <c r="AS54" s="1679"/>
      <c r="AT54" s="3496"/>
      <c r="AU54" s="1679"/>
      <c r="AV54" s="3496"/>
      <c r="AW54" s="1679"/>
      <c r="AX54" s="3496"/>
      <c r="AY54" s="1679"/>
      <c r="AZ54" s="3496"/>
      <c r="BA54" s="1679"/>
      <c r="BB54" s="3496"/>
      <c r="BC54" s="1679"/>
      <c r="BD54" s="3496"/>
      <c r="BE54" s="1679"/>
      <c r="BF54" s="3492"/>
      <c r="BG54" s="3492"/>
      <c r="BH54" s="3492"/>
      <c r="BI54" s="3206"/>
      <c r="BJ54" s="3206"/>
      <c r="BK54" s="3493"/>
      <c r="BL54" s="1680"/>
      <c r="BM54" s="1680"/>
      <c r="BN54" s="3484"/>
      <c r="BO54" s="3484"/>
      <c r="BP54" s="3484"/>
      <c r="BQ54" s="3484"/>
      <c r="BR54" s="3486"/>
      <c r="BS54" s="1569"/>
      <c r="BT54" s="1569"/>
    </row>
    <row r="55" spans="1:72" s="571" customFormat="1" ht="48" customHeight="1" x14ac:dyDescent="0.2">
      <c r="A55" s="3369"/>
      <c r="B55" s="3373"/>
      <c r="C55" s="3374"/>
      <c r="D55" s="3378"/>
      <c r="E55" s="3378"/>
      <c r="F55" s="3378"/>
      <c r="G55" s="1569"/>
      <c r="H55" s="1627"/>
      <c r="I55" s="1628"/>
      <c r="J55" s="3458"/>
      <c r="K55" s="3460"/>
      <c r="L55" s="3460"/>
      <c r="M55" s="3461"/>
      <c r="N55" s="3463"/>
      <c r="O55" s="1678"/>
      <c r="P55" s="3470"/>
      <c r="Q55" s="3471"/>
      <c r="R55" s="3473"/>
      <c r="S55" s="3476"/>
      <c r="T55" s="3401"/>
      <c r="U55" s="3478"/>
      <c r="V55" s="3489" t="s">
        <v>1425</v>
      </c>
      <c r="W55" s="1672">
        <v>23500000</v>
      </c>
      <c r="X55" s="1673">
        <v>17117251</v>
      </c>
      <c r="Y55" s="1673">
        <v>9183585</v>
      </c>
      <c r="Z55" s="1681">
        <v>20</v>
      </c>
      <c r="AA55" s="1682" t="s">
        <v>1424</v>
      </c>
      <c r="AB55" s="3492"/>
      <c r="AC55" s="3492"/>
      <c r="AD55" s="3492"/>
      <c r="AE55" s="3492"/>
      <c r="AF55" s="3492"/>
      <c r="AG55" s="3492"/>
      <c r="AH55" s="3492"/>
      <c r="AI55" s="3492"/>
      <c r="AJ55" s="3492"/>
      <c r="AK55" s="3492"/>
      <c r="AL55" s="3492"/>
      <c r="AM55" s="3492"/>
      <c r="AN55" s="3496"/>
      <c r="AO55" s="1679"/>
      <c r="AP55" s="3496"/>
      <c r="AQ55" s="1679"/>
      <c r="AR55" s="3496"/>
      <c r="AS55" s="1679"/>
      <c r="AT55" s="3496"/>
      <c r="AU55" s="1679"/>
      <c r="AV55" s="3496"/>
      <c r="AW55" s="1679"/>
      <c r="AX55" s="3496"/>
      <c r="AY55" s="1679"/>
      <c r="AZ55" s="3496"/>
      <c r="BA55" s="1679"/>
      <c r="BB55" s="3496"/>
      <c r="BC55" s="1679"/>
      <c r="BD55" s="3496"/>
      <c r="BE55" s="1679"/>
      <c r="BF55" s="3492"/>
      <c r="BG55" s="3492"/>
      <c r="BH55" s="3492"/>
      <c r="BI55" s="3206"/>
      <c r="BJ55" s="3206"/>
      <c r="BK55" s="3493"/>
      <c r="BL55" s="1680"/>
      <c r="BM55" s="1680"/>
      <c r="BN55" s="3483">
        <v>43480</v>
      </c>
      <c r="BO55" s="3483">
        <v>43516</v>
      </c>
      <c r="BP55" s="3483">
        <v>43600</v>
      </c>
      <c r="BQ55" s="3483">
        <v>43809</v>
      </c>
      <c r="BR55" s="3486"/>
      <c r="BS55" s="3398"/>
      <c r="BT55" s="1569"/>
    </row>
    <row r="56" spans="1:72" s="571" customFormat="1" ht="42" customHeight="1" x14ac:dyDescent="0.2">
      <c r="A56" s="3369"/>
      <c r="B56" s="3373"/>
      <c r="C56" s="3374"/>
      <c r="D56" s="3378"/>
      <c r="E56" s="3378"/>
      <c r="F56" s="3378"/>
      <c r="G56" s="1569"/>
      <c r="H56" s="1627"/>
      <c r="I56" s="1628"/>
      <c r="J56" s="3458"/>
      <c r="K56" s="3460"/>
      <c r="L56" s="3460"/>
      <c r="M56" s="3461"/>
      <c r="N56" s="3463"/>
      <c r="O56" s="1678" t="s">
        <v>1426</v>
      </c>
      <c r="P56" s="3470"/>
      <c r="Q56" s="3471"/>
      <c r="R56" s="3473"/>
      <c r="S56" s="3476"/>
      <c r="T56" s="3401"/>
      <c r="U56" s="3478"/>
      <c r="V56" s="3490"/>
      <c r="W56" s="1672">
        <v>62872366</v>
      </c>
      <c r="X56" s="1673">
        <v>13500000</v>
      </c>
      <c r="Y56" s="1621">
        <v>0</v>
      </c>
      <c r="Z56" s="1683" t="s">
        <v>1422</v>
      </c>
      <c r="AA56" s="1675" t="s">
        <v>1365</v>
      </c>
      <c r="AB56" s="3492"/>
      <c r="AC56" s="3492"/>
      <c r="AD56" s="3492"/>
      <c r="AE56" s="3492"/>
      <c r="AF56" s="3492"/>
      <c r="AG56" s="3492"/>
      <c r="AH56" s="3492"/>
      <c r="AI56" s="3492"/>
      <c r="AJ56" s="3492"/>
      <c r="AK56" s="3492"/>
      <c r="AL56" s="3492"/>
      <c r="AM56" s="3492"/>
      <c r="AN56" s="3496"/>
      <c r="AO56" s="1679"/>
      <c r="AP56" s="3496"/>
      <c r="AQ56" s="1679"/>
      <c r="AR56" s="3496"/>
      <c r="AS56" s="1679"/>
      <c r="AT56" s="3496"/>
      <c r="AU56" s="1679"/>
      <c r="AV56" s="3496"/>
      <c r="AW56" s="1679"/>
      <c r="AX56" s="3496"/>
      <c r="AY56" s="1679"/>
      <c r="AZ56" s="3496"/>
      <c r="BA56" s="1679"/>
      <c r="BB56" s="3496"/>
      <c r="BC56" s="1679"/>
      <c r="BD56" s="3496"/>
      <c r="BE56" s="1679"/>
      <c r="BF56" s="3492"/>
      <c r="BG56" s="3492"/>
      <c r="BH56" s="3492"/>
      <c r="BI56" s="3206"/>
      <c r="BJ56" s="3206"/>
      <c r="BK56" s="3493"/>
      <c r="BL56" s="1680"/>
      <c r="BM56" s="1680"/>
      <c r="BN56" s="3484"/>
      <c r="BO56" s="3484"/>
      <c r="BP56" s="3484"/>
      <c r="BQ56" s="3484"/>
      <c r="BR56" s="3486"/>
      <c r="BS56" s="3398"/>
      <c r="BT56" s="1569"/>
    </row>
    <row r="57" spans="1:72" s="571" customFormat="1" ht="48.75" customHeight="1" x14ac:dyDescent="0.2">
      <c r="A57" s="3369"/>
      <c r="B57" s="3373"/>
      <c r="C57" s="3374"/>
      <c r="D57" s="3378"/>
      <c r="E57" s="3378"/>
      <c r="F57" s="3378"/>
      <c r="G57" s="1569"/>
      <c r="H57" s="1627"/>
      <c r="I57" s="1628"/>
      <c r="J57" s="3459"/>
      <c r="K57" s="3382"/>
      <c r="L57" s="3382"/>
      <c r="M57" s="3462"/>
      <c r="N57" s="3463"/>
      <c r="O57" s="1678"/>
      <c r="P57" s="3470"/>
      <c r="Q57" s="3471"/>
      <c r="R57" s="3474"/>
      <c r="S57" s="3476"/>
      <c r="T57" s="3401"/>
      <c r="U57" s="3478"/>
      <c r="V57" s="1684" t="s">
        <v>1427</v>
      </c>
      <c r="W57" s="1685">
        <v>3000000</v>
      </c>
      <c r="X57" s="1686">
        <v>0</v>
      </c>
      <c r="Y57" s="1050">
        <v>0</v>
      </c>
      <c r="Z57" s="1681">
        <v>20</v>
      </c>
      <c r="AA57" s="1682" t="s">
        <v>1424</v>
      </c>
      <c r="AB57" s="3492"/>
      <c r="AC57" s="3492"/>
      <c r="AD57" s="3492"/>
      <c r="AE57" s="3492"/>
      <c r="AF57" s="3492"/>
      <c r="AG57" s="3492"/>
      <c r="AH57" s="3492"/>
      <c r="AI57" s="3492"/>
      <c r="AJ57" s="3492"/>
      <c r="AK57" s="3492"/>
      <c r="AL57" s="3492"/>
      <c r="AM57" s="3492"/>
      <c r="AN57" s="3496"/>
      <c r="AO57" s="1679"/>
      <c r="AP57" s="3496"/>
      <c r="AQ57" s="1679"/>
      <c r="AR57" s="3496"/>
      <c r="AS57" s="1679"/>
      <c r="AT57" s="3496"/>
      <c r="AU57" s="1679"/>
      <c r="AV57" s="3496"/>
      <c r="AW57" s="1679"/>
      <c r="AX57" s="3496"/>
      <c r="AY57" s="1679"/>
      <c r="AZ57" s="3496"/>
      <c r="BA57" s="1679"/>
      <c r="BB57" s="3496"/>
      <c r="BC57" s="1679"/>
      <c r="BD57" s="3496"/>
      <c r="BE57" s="1679"/>
      <c r="BF57" s="3492"/>
      <c r="BG57" s="3492"/>
      <c r="BH57" s="3492"/>
      <c r="BI57" s="3206"/>
      <c r="BJ57" s="3206"/>
      <c r="BK57" s="3493"/>
      <c r="BL57" s="1687">
        <v>20</v>
      </c>
      <c r="BM57" s="1654" t="s">
        <v>1386</v>
      </c>
      <c r="BN57" s="1688">
        <v>43480</v>
      </c>
      <c r="BO57" s="1688"/>
      <c r="BP57" s="1688">
        <v>43600</v>
      </c>
      <c r="BQ57" s="1688"/>
      <c r="BR57" s="3486"/>
      <c r="BS57" s="3398"/>
      <c r="BT57" s="1569"/>
    </row>
    <row r="58" spans="1:72" s="571" customFormat="1" ht="66" customHeight="1" x14ac:dyDescent="0.2">
      <c r="A58" s="3369"/>
      <c r="B58" s="3373"/>
      <c r="C58" s="3374"/>
      <c r="D58" s="3378"/>
      <c r="E58" s="3378"/>
      <c r="F58" s="3378"/>
      <c r="G58" s="1569"/>
      <c r="H58" s="1627"/>
      <c r="I58" s="1628"/>
      <c r="J58" s="3457">
        <v>220</v>
      </c>
      <c r="K58" s="3381" t="s">
        <v>1428</v>
      </c>
      <c r="L58" s="3432" t="s">
        <v>1429</v>
      </c>
      <c r="M58" s="3480">
        <v>12</v>
      </c>
      <c r="N58" s="3463">
        <v>4</v>
      </c>
      <c r="O58" s="1678"/>
      <c r="P58" s="3470"/>
      <c r="Q58" s="3471"/>
      <c r="R58" s="3442">
        <f>SUM(W58:W64)/S51</f>
        <v>0.50123713891657751</v>
      </c>
      <c r="S58" s="3476"/>
      <c r="T58" s="3401"/>
      <c r="U58" s="3401"/>
      <c r="V58" s="3481" t="s">
        <v>1430</v>
      </c>
      <c r="W58" s="1672">
        <v>26290000</v>
      </c>
      <c r="X58" s="1686">
        <v>26290000</v>
      </c>
      <c r="Y58" s="959">
        <v>7166000</v>
      </c>
      <c r="Z58" s="1689">
        <v>20</v>
      </c>
      <c r="AA58" s="1682" t="s">
        <v>1424</v>
      </c>
      <c r="AB58" s="3492"/>
      <c r="AC58" s="3492"/>
      <c r="AD58" s="3492"/>
      <c r="AE58" s="3492"/>
      <c r="AF58" s="3492"/>
      <c r="AG58" s="3492"/>
      <c r="AH58" s="3492"/>
      <c r="AI58" s="3492"/>
      <c r="AJ58" s="3492"/>
      <c r="AK58" s="3492"/>
      <c r="AL58" s="3492"/>
      <c r="AM58" s="3492"/>
      <c r="AN58" s="3497"/>
      <c r="AO58" s="1690"/>
      <c r="AP58" s="3497"/>
      <c r="AQ58" s="1690"/>
      <c r="AR58" s="3497"/>
      <c r="AS58" s="1690"/>
      <c r="AT58" s="3497"/>
      <c r="AU58" s="1690"/>
      <c r="AV58" s="3497"/>
      <c r="AW58" s="1690"/>
      <c r="AX58" s="3497"/>
      <c r="AY58" s="1690"/>
      <c r="AZ58" s="3497"/>
      <c r="BA58" s="1690"/>
      <c r="BB58" s="3497"/>
      <c r="BC58" s="1690"/>
      <c r="BD58" s="3497"/>
      <c r="BE58" s="1690"/>
      <c r="BF58" s="3492"/>
      <c r="BG58" s="3492"/>
      <c r="BH58" s="3492"/>
      <c r="BI58" s="3206"/>
      <c r="BJ58" s="3206"/>
      <c r="BK58" s="3493"/>
      <c r="BL58" s="1687">
        <v>92</v>
      </c>
      <c r="BM58" s="1654" t="s">
        <v>1388</v>
      </c>
      <c r="BN58" s="3483">
        <v>43480</v>
      </c>
      <c r="BO58" s="3483">
        <v>43516</v>
      </c>
      <c r="BP58" s="3483">
        <v>43600</v>
      </c>
      <c r="BQ58" s="3483">
        <v>43809</v>
      </c>
      <c r="BR58" s="3487"/>
      <c r="BS58" s="3398"/>
      <c r="BT58" s="1569"/>
    </row>
    <row r="59" spans="1:72" s="571" customFormat="1" ht="58.5" customHeight="1" x14ac:dyDescent="0.2">
      <c r="A59" s="3369"/>
      <c r="B59" s="3373"/>
      <c r="C59" s="3374"/>
      <c r="D59" s="3378"/>
      <c r="E59" s="3378"/>
      <c r="F59" s="3378"/>
      <c r="G59" s="1569"/>
      <c r="H59" s="1627"/>
      <c r="I59" s="1628"/>
      <c r="J59" s="3458"/>
      <c r="K59" s="3460"/>
      <c r="L59" s="3433"/>
      <c r="M59" s="3461"/>
      <c r="N59" s="3463"/>
      <c r="O59" s="1678"/>
      <c r="P59" s="3470"/>
      <c r="Q59" s="3471"/>
      <c r="R59" s="3443"/>
      <c r="S59" s="3476"/>
      <c r="T59" s="3401"/>
      <c r="U59" s="3401"/>
      <c r="V59" s="3482"/>
      <c r="W59" s="1672">
        <v>130940708</v>
      </c>
      <c r="X59" s="1673">
        <v>22775100</v>
      </c>
      <c r="Y59" s="1620">
        <v>0</v>
      </c>
      <c r="Z59" s="1691" t="s">
        <v>1422</v>
      </c>
      <c r="AA59" s="1675" t="s">
        <v>1365</v>
      </c>
      <c r="AB59" s="3492"/>
      <c r="AC59" s="3492"/>
      <c r="AD59" s="3492"/>
      <c r="AE59" s="3492"/>
      <c r="AF59" s="3492"/>
      <c r="AG59" s="3492"/>
      <c r="AH59" s="3492"/>
      <c r="AI59" s="3492"/>
      <c r="AJ59" s="3492"/>
      <c r="AK59" s="3492"/>
      <c r="AL59" s="3492"/>
      <c r="AM59" s="3492"/>
      <c r="AN59" s="3497"/>
      <c r="AO59" s="1690"/>
      <c r="AP59" s="3497"/>
      <c r="AQ59" s="1690"/>
      <c r="AR59" s="3497"/>
      <c r="AS59" s="1690"/>
      <c r="AT59" s="3497"/>
      <c r="AU59" s="1690"/>
      <c r="AV59" s="3497"/>
      <c r="AW59" s="1690"/>
      <c r="AX59" s="3497"/>
      <c r="AY59" s="1690"/>
      <c r="AZ59" s="3497"/>
      <c r="BA59" s="1690"/>
      <c r="BB59" s="3497"/>
      <c r="BC59" s="1690"/>
      <c r="BD59" s="3497"/>
      <c r="BE59" s="1690"/>
      <c r="BF59" s="3492"/>
      <c r="BG59" s="3492"/>
      <c r="BH59" s="3492"/>
      <c r="BI59" s="3206"/>
      <c r="BJ59" s="3206"/>
      <c r="BK59" s="3493"/>
      <c r="BL59" s="1687"/>
      <c r="BN59" s="3484"/>
      <c r="BO59" s="3484"/>
      <c r="BP59" s="3484"/>
      <c r="BQ59" s="3484"/>
      <c r="BR59" s="3487"/>
      <c r="BS59" s="1412"/>
      <c r="BT59" s="1569"/>
    </row>
    <row r="60" spans="1:72" s="571" customFormat="1" ht="55.5" customHeight="1" x14ac:dyDescent="0.2">
      <c r="A60" s="3369"/>
      <c r="B60" s="3373"/>
      <c r="C60" s="3374"/>
      <c r="D60" s="3378"/>
      <c r="E60" s="3378"/>
      <c r="F60" s="3378"/>
      <c r="G60" s="1569"/>
      <c r="H60" s="1627"/>
      <c r="I60" s="1628"/>
      <c r="J60" s="3458"/>
      <c r="K60" s="3460"/>
      <c r="L60" s="3433"/>
      <c r="M60" s="3461"/>
      <c r="N60" s="3463"/>
      <c r="O60" s="1678" t="s">
        <v>1431</v>
      </c>
      <c r="P60" s="3470"/>
      <c r="Q60" s="3471"/>
      <c r="R60" s="3443"/>
      <c r="S60" s="3476"/>
      <c r="T60" s="3401"/>
      <c r="U60" s="3401"/>
      <c r="V60" s="1692" t="s">
        <v>1432</v>
      </c>
      <c r="W60" s="1685">
        <v>30812000</v>
      </c>
      <c r="X60" s="1686">
        <v>0</v>
      </c>
      <c r="Y60" s="959">
        <v>0</v>
      </c>
      <c r="Z60" s="1691" t="s">
        <v>1422</v>
      </c>
      <c r="AA60" s="1675" t="s">
        <v>1365</v>
      </c>
      <c r="AB60" s="3492"/>
      <c r="AC60" s="3492"/>
      <c r="AD60" s="3492"/>
      <c r="AE60" s="3492"/>
      <c r="AF60" s="3492"/>
      <c r="AG60" s="3492"/>
      <c r="AH60" s="3492"/>
      <c r="AI60" s="3492"/>
      <c r="AJ60" s="3492"/>
      <c r="AK60" s="3492"/>
      <c r="AL60" s="3492"/>
      <c r="AM60" s="3492"/>
      <c r="AN60" s="3497"/>
      <c r="AO60" s="1690"/>
      <c r="AP60" s="3497"/>
      <c r="AQ60" s="1690"/>
      <c r="AR60" s="3497"/>
      <c r="AS60" s="1690"/>
      <c r="AT60" s="3497"/>
      <c r="AU60" s="1690"/>
      <c r="AV60" s="3497"/>
      <c r="AW60" s="1690"/>
      <c r="AX60" s="3497"/>
      <c r="AY60" s="1690"/>
      <c r="AZ60" s="3497"/>
      <c r="BA60" s="1690"/>
      <c r="BB60" s="3497"/>
      <c r="BC60" s="1690"/>
      <c r="BD60" s="3497"/>
      <c r="BE60" s="1690"/>
      <c r="BF60" s="3492"/>
      <c r="BG60" s="3492"/>
      <c r="BH60" s="3492"/>
      <c r="BI60" s="3206"/>
      <c r="BJ60" s="3206"/>
      <c r="BK60" s="3493"/>
      <c r="BL60" s="1687"/>
      <c r="BN60" s="1688">
        <v>43544</v>
      </c>
      <c r="BO60" s="1688"/>
      <c r="BP60" s="1688"/>
      <c r="BQ60" s="1688"/>
      <c r="BR60" s="3487"/>
      <c r="BS60" s="1412"/>
      <c r="BT60" s="1569"/>
    </row>
    <row r="61" spans="1:72" s="571" customFormat="1" ht="48.75" customHeight="1" x14ac:dyDescent="0.2">
      <c r="A61" s="3369"/>
      <c r="B61" s="3373"/>
      <c r="C61" s="3374"/>
      <c r="D61" s="3378"/>
      <c r="E61" s="3378"/>
      <c r="F61" s="3378"/>
      <c r="G61" s="1569"/>
      <c r="H61" s="1627"/>
      <c r="I61" s="1628"/>
      <c r="J61" s="3458"/>
      <c r="K61" s="3460"/>
      <c r="L61" s="3433"/>
      <c r="M61" s="3461"/>
      <c r="N61" s="3463"/>
      <c r="O61" s="1072"/>
      <c r="P61" s="3470"/>
      <c r="Q61" s="3471"/>
      <c r="R61" s="3443"/>
      <c r="S61" s="3476"/>
      <c r="T61" s="3401"/>
      <c r="U61" s="3401"/>
      <c r="V61" s="3481" t="s">
        <v>1423</v>
      </c>
      <c r="W61" s="1672">
        <v>26290000</v>
      </c>
      <c r="X61" s="1673">
        <v>25524000</v>
      </c>
      <c r="Y61" s="1620">
        <v>6371000</v>
      </c>
      <c r="Z61" s="1689">
        <v>20</v>
      </c>
      <c r="AA61" s="1682" t="s">
        <v>1424</v>
      </c>
      <c r="AB61" s="3492"/>
      <c r="AC61" s="3492"/>
      <c r="AD61" s="3492"/>
      <c r="AE61" s="3492"/>
      <c r="AF61" s="3492"/>
      <c r="AG61" s="3492"/>
      <c r="AH61" s="3492"/>
      <c r="AI61" s="3492"/>
      <c r="AJ61" s="3492"/>
      <c r="AK61" s="3492"/>
      <c r="AL61" s="3492"/>
      <c r="AM61" s="3492"/>
      <c r="AN61" s="3497"/>
      <c r="AO61" s="1690"/>
      <c r="AP61" s="3497"/>
      <c r="AQ61" s="1690"/>
      <c r="AR61" s="3497"/>
      <c r="AS61" s="1690"/>
      <c r="AT61" s="3497"/>
      <c r="AU61" s="1690"/>
      <c r="AV61" s="3497"/>
      <c r="AW61" s="1690"/>
      <c r="AX61" s="3497"/>
      <c r="AY61" s="1690"/>
      <c r="AZ61" s="3497"/>
      <c r="BA61" s="1690"/>
      <c r="BB61" s="3497"/>
      <c r="BC61" s="1690"/>
      <c r="BD61" s="3497"/>
      <c r="BE61" s="1690"/>
      <c r="BF61" s="3492"/>
      <c r="BG61" s="3492"/>
      <c r="BH61" s="3492"/>
      <c r="BI61" s="3206"/>
      <c r="BJ61" s="3206"/>
      <c r="BK61" s="3493"/>
      <c r="BL61" s="1680"/>
      <c r="BN61" s="3483">
        <v>43480</v>
      </c>
      <c r="BO61" s="3483">
        <v>43516</v>
      </c>
      <c r="BP61" s="3483">
        <v>43600</v>
      </c>
      <c r="BQ61" s="3483">
        <v>43809</v>
      </c>
      <c r="BR61" s="3487"/>
      <c r="BS61" s="1569"/>
      <c r="BT61" s="1569"/>
    </row>
    <row r="62" spans="1:72" s="571" customFormat="1" ht="57" x14ac:dyDescent="0.2">
      <c r="A62" s="3369"/>
      <c r="B62" s="3373"/>
      <c r="C62" s="3374"/>
      <c r="D62" s="3378"/>
      <c r="E62" s="3378"/>
      <c r="F62" s="3378"/>
      <c r="G62" s="1569"/>
      <c r="H62" s="1627"/>
      <c r="I62" s="1628"/>
      <c r="J62" s="3458"/>
      <c r="K62" s="3460"/>
      <c r="L62" s="3433"/>
      <c r="M62" s="3461"/>
      <c r="N62" s="3463"/>
      <c r="O62" s="1678"/>
      <c r="P62" s="3470"/>
      <c r="Q62" s="3471"/>
      <c r="R62" s="3443"/>
      <c r="S62" s="3476"/>
      <c r="T62" s="3401"/>
      <c r="U62" s="3401"/>
      <c r="V62" s="3482"/>
      <c r="W62" s="1672">
        <v>36044666</v>
      </c>
      <c r="X62" s="1673">
        <v>5700000</v>
      </c>
      <c r="Y62" s="1620">
        <v>0</v>
      </c>
      <c r="Z62" s="1691" t="s">
        <v>1422</v>
      </c>
      <c r="AA62" s="1675" t="s">
        <v>1433</v>
      </c>
      <c r="AB62" s="3492"/>
      <c r="AC62" s="3492"/>
      <c r="AD62" s="3492"/>
      <c r="AE62" s="3492"/>
      <c r="AF62" s="3492"/>
      <c r="AG62" s="3492"/>
      <c r="AH62" s="3492"/>
      <c r="AI62" s="3492"/>
      <c r="AJ62" s="3492"/>
      <c r="AK62" s="3492"/>
      <c r="AL62" s="3492"/>
      <c r="AM62" s="3492"/>
      <c r="AN62" s="3497"/>
      <c r="AO62" s="1690"/>
      <c r="AP62" s="3497"/>
      <c r="AQ62" s="1690"/>
      <c r="AR62" s="3497"/>
      <c r="AS62" s="1690"/>
      <c r="AT62" s="3497"/>
      <c r="AU62" s="1690"/>
      <c r="AV62" s="3497"/>
      <c r="AW62" s="1690"/>
      <c r="AX62" s="3497"/>
      <c r="AY62" s="1690"/>
      <c r="AZ62" s="3497"/>
      <c r="BA62" s="1690"/>
      <c r="BB62" s="3497"/>
      <c r="BC62" s="1690"/>
      <c r="BD62" s="3497"/>
      <c r="BE62" s="1690"/>
      <c r="BF62" s="3492"/>
      <c r="BG62" s="3492"/>
      <c r="BH62" s="3492"/>
      <c r="BI62" s="3206"/>
      <c r="BJ62" s="3206"/>
      <c r="BK62" s="3493"/>
      <c r="BL62" s="1680"/>
      <c r="BM62" s="1680"/>
      <c r="BN62" s="3484"/>
      <c r="BO62" s="3484"/>
      <c r="BP62" s="3484"/>
      <c r="BQ62" s="3484"/>
      <c r="BR62" s="3487"/>
      <c r="BS62" s="1569"/>
      <c r="BT62" s="1569"/>
    </row>
    <row r="63" spans="1:72" s="571" customFormat="1" ht="38.25" customHeight="1" x14ac:dyDescent="0.2">
      <c r="A63" s="3369"/>
      <c r="B63" s="3373"/>
      <c r="C63" s="3374"/>
      <c r="D63" s="3378"/>
      <c r="E63" s="3378"/>
      <c r="F63" s="3378"/>
      <c r="G63" s="1569"/>
      <c r="H63" s="1627"/>
      <c r="I63" s="1628"/>
      <c r="J63" s="3458"/>
      <c r="K63" s="3460"/>
      <c r="L63" s="3433"/>
      <c r="M63" s="3461"/>
      <c r="N63" s="3463"/>
      <c r="O63" s="1072"/>
      <c r="P63" s="3470"/>
      <c r="Q63" s="3471"/>
      <c r="R63" s="3443"/>
      <c r="S63" s="3476"/>
      <c r="T63" s="3401"/>
      <c r="U63" s="3401"/>
      <c r="V63" s="3481" t="s">
        <v>1425</v>
      </c>
      <c r="W63" s="1672">
        <v>26290000</v>
      </c>
      <c r="X63" s="1673">
        <v>21279600</v>
      </c>
      <c r="Y63" s="1693">
        <v>7389500</v>
      </c>
      <c r="Z63" s="1689">
        <v>20</v>
      </c>
      <c r="AA63" s="1682" t="s">
        <v>1434</v>
      </c>
      <c r="AB63" s="3492"/>
      <c r="AC63" s="3492"/>
      <c r="AD63" s="3492"/>
      <c r="AE63" s="3492"/>
      <c r="AF63" s="3492"/>
      <c r="AG63" s="3492"/>
      <c r="AH63" s="3492"/>
      <c r="AI63" s="3492"/>
      <c r="AJ63" s="3492"/>
      <c r="AK63" s="3492"/>
      <c r="AL63" s="3492"/>
      <c r="AM63" s="3492"/>
      <c r="AN63" s="3497"/>
      <c r="AO63" s="1690"/>
      <c r="AP63" s="3497"/>
      <c r="AQ63" s="1690"/>
      <c r="AR63" s="3497"/>
      <c r="AS63" s="1690"/>
      <c r="AT63" s="3497"/>
      <c r="AU63" s="1690"/>
      <c r="AV63" s="3497"/>
      <c r="AW63" s="1690"/>
      <c r="AX63" s="3497"/>
      <c r="AY63" s="1690"/>
      <c r="AZ63" s="3497"/>
      <c r="BA63" s="1690"/>
      <c r="BB63" s="3497"/>
      <c r="BC63" s="1690"/>
      <c r="BD63" s="3497"/>
      <c r="BE63" s="1690"/>
      <c r="BF63" s="3492"/>
      <c r="BG63" s="3492"/>
      <c r="BH63" s="3492"/>
      <c r="BI63" s="3206"/>
      <c r="BJ63" s="3206"/>
      <c r="BK63" s="3493"/>
      <c r="BL63" s="1680"/>
      <c r="BM63" s="1680"/>
      <c r="BN63" s="3483">
        <v>43480</v>
      </c>
      <c r="BO63" s="3483">
        <v>43516</v>
      </c>
      <c r="BP63" s="3483">
        <v>43600</v>
      </c>
      <c r="BQ63" s="3483">
        <v>43809</v>
      </c>
      <c r="BR63" s="3487"/>
      <c r="BS63" s="1569"/>
      <c r="BT63" s="1569"/>
    </row>
    <row r="64" spans="1:72" s="571" customFormat="1" ht="42.75" x14ac:dyDescent="0.2">
      <c r="A64" s="3369"/>
      <c r="B64" s="3373"/>
      <c r="C64" s="3374"/>
      <c r="D64" s="3378"/>
      <c r="E64" s="3378"/>
      <c r="F64" s="3378"/>
      <c r="G64" s="1569"/>
      <c r="H64" s="1627"/>
      <c r="I64" s="1628"/>
      <c r="J64" s="3459"/>
      <c r="K64" s="3382"/>
      <c r="L64" s="3434"/>
      <c r="M64" s="3462"/>
      <c r="N64" s="3463"/>
      <c r="O64" s="1678"/>
      <c r="P64" s="3470"/>
      <c r="Q64" s="3471"/>
      <c r="R64" s="3444"/>
      <c r="S64" s="3476"/>
      <c r="T64" s="3401"/>
      <c r="U64" s="3401"/>
      <c r="V64" s="3482"/>
      <c r="W64" s="1672">
        <v>83641348</v>
      </c>
      <c r="X64" s="1673">
        <v>10800900</v>
      </c>
      <c r="Y64" s="1620">
        <v>0</v>
      </c>
      <c r="Z64" s="1691" t="s">
        <v>1422</v>
      </c>
      <c r="AA64" s="1675" t="s">
        <v>1365</v>
      </c>
      <c r="AB64" s="3492"/>
      <c r="AC64" s="3492"/>
      <c r="AD64" s="3492"/>
      <c r="AE64" s="3492"/>
      <c r="AF64" s="3492"/>
      <c r="AG64" s="3492"/>
      <c r="AH64" s="3492"/>
      <c r="AI64" s="3492"/>
      <c r="AJ64" s="3492"/>
      <c r="AK64" s="3492"/>
      <c r="AL64" s="3492"/>
      <c r="AM64" s="3492"/>
      <c r="AN64" s="3497"/>
      <c r="AO64" s="1690"/>
      <c r="AP64" s="3497"/>
      <c r="AQ64" s="1690"/>
      <c r="AR64" s="3497"/>
      <c r="AS64" s="1690"/>
      <c r="AT64" s="3497"/>
      <c r="AU64" s="1690"/>
      <c r="AV64" s="3497"/>
      <c r="AW64" s="1690"/>
      <c r="AX64" s="3497"/>
      <c r="AY64" s="1690"/>
      <c r="AZ64" s="3497"/>
      <c r="BA64" s="1690"/>
      <c r="BB64" s="3497"/>
      <c r="BC64" s="1690"/>
      <c r="BD64" s="3497"/>
      <c r="BE64" s="1690"/>
      <c r="BF64" s="3492"/>
      <c r="BG64" s="3492"/>
      <c r="BH64" s="3492"/>
      <c r="BI64" s="3206"/>
      <c r="BJ64" s="3206"/>
      <c r="BK64" s="3493"/>
      <c r="BL64" s="1680"/>
      <c r="BM64" s="1680"/>
      <c r="BN64" s="3484"/>
      <c r="BO64" s="3484"/>
      <c r="BP64" s="3484"/>
      <c r="BQ64" s="3484"/>
      <c r="BR64" s="3487"/>
      <c r="BS64" s="1569"/>
      <c r="BT64" s="1569"/>
    </row>
    <row r="65" spans="1:72" s="571" customFormat="1" ht="82.5" customHeight="1" x14ac:dyDescent="0.2">
      <c r="A65" s="3369"/>
      <c r="B65" s="3373"/>
      <c r="C65" s="3374"/>
      <c r="D65" s="3378"/>
      <c r="E65" s="3378"/>
      <c r="F65" s="3378"/>
      <c r="G65" s="1569"/>
      <c r="H65" s="1658"/>
      <c r="I65" s="1659"/>
      <c r="J65" s="1694">
        <v>222</v>
      </c>
      <c r="K65" s="1695" t="s">
        <v>1435</v>
      </c>
      <c r="L65" s="1695" t="s">
        <v>1436</v>
      </c>
      <c r="M65" s="1696">
        <v>1</v>
      </c>
      <c r="N65" s="1697">
        <v>0.18</v>
      </c>
      <c r="O65" s="1698"/>
      <c r="P65" s="3470"/>
      <c r="Q65" s="3471"/>
      <c r="R65" s="1637">
        <f>SUM(W65)/S51</f>
        <v>1.3911324048285944E-2</v>
      </c>
      <c r="S65" s="3477"/>
      <c r="T65" s="3401"/>
      <c r="U65" s="3401"/>
      <c r="V65" s="1699" t="s">
        <v>1437</v>
      </c>
      <c r="W65" s="1621">
        <v>10000000</v>
      </c>
      <c r="X65" s="1700">
        <v>10000000</v>
      </c>
      <c r="Y65" s="959">
        <v>1791500</v>
      </c>
      <c r="Z65" s="1689">
        <v>20</v>
      </c>
      <c r="AA65" s="1682" t="s">
        <v>1424</v>
      </c>
      <c r="AB65" s="3492"/>
      <c r="AC65" s="3492"/>
      <c r="AD65" s="3492"/>
      <c r="AE65" s="3492"/>
      <c r="AF65" s="3492"/>
      <c r="AG65" s="3492"/>
      <c r="AH65" s="3492"/>
      <c r="AI65" s="3492"/>
      <c r="AJ65" s="3492"/>
      <c r="AK65" s="3492"/>
      <c r="AL65" s="3492"/>
      <c r="AM65" s="3492"/>
      <c r="AN65" s="3498"/>
      <c r="AO65" s="1701"/>
      <c r="AP65" s="3498"/>
      <c r="AQ65" s="1701"/>
      <c r="AR65" s="3498"/>
      <c r="AS65" s="1701"/>
      <c r="AT65" s="3498"/>
      <c r="AU65" s="1701"/>
      <c r="AV65" s="3498"/>
      <c r="AW65" s="1701"/>
      <c r="AX65" s="3498"/>
      <c r="AY65" s="1701"/>
      <c r="AZ65" s="3498"/>
      <c r="BA65" s="1701"/>
      <c r="BB65" s="3498"/>
      <c r="BC65" s="1701"/>
      <c r="BD65" s="3498"/>
      <c r="BE65" s="1701"/>
      <c r="BF65" s="3492"/>
      <c r="BG65" s="3492"/>
      <c r="BH65" s="3492"/>
      <c r="BI65" s="3207"/>
      <c r="BJ65" s="3207"/>
      <c r="BK65" s="3494"/>
      <c r="BL65" s="1702"/>
      <c r="BM65" s="1702"/>
      <c r="BN65" s="1688">
        <v>43480</v>
      </c>
      <c r="BO65" s="1688">
        <v>43516</v>
      </c>
      <c r="BP65" s="1688">
        <v>43600</v>
      </c>
      <c r="BQ65" s="1688">
        <v>43626</v>
      </c>
      <c r="BR65" s="3488"/>
      <c r="BS65" s="1569"/>
      <c r="BT65" s="1569"/>
    </row>
    <row r="66" spans="1:72" s="1569" customFormat="1" ht="15" customHeight="1" x14ac:dyDescent="0.2">
      <c r="A66" s="3369"/>
      <c r="B66" s="3373"/>
      <c r="C66" s="3374"/>
      <c r="D66" s="1703">
        <v>24</v>
      </c>
      <c r="E66" s="1410" t="s">
        <v>1438</v>
      </c>
      <c r="F66" s="1410"/>
      <c r="G66" s="1598"/>
      <c r="H66" s="1598"/>
      <c r="I66" s="1598"/>
      <c r="J66" s="1704"/>
      <c r="K66" s="1705"/>
      <c r="L66" s="1706"/>
      <c r="M66" s="1707"/>
      <c r="N66" s="1707"/>
      <c r="O66" s="1602"/>
      <c r="P66" s="1599"/>
      <c r="Q66" s="1601"/>
      <c r="R66" s="1708"/>
      <c r="S66" s="1709"/>
      <c r="T66" s="1706"/>
      <c r="U66" s="1705"/>
      <c r="V66" s="1705"/>
      <c r="W66" s="1710"/>
      <c r="X66" s="1710"/>
      <c r="Y66" s="1711"/>
      <c r="Z66" s="1712"/>
      <c r="AA66" s="1712"/>
      <c r="AB66" s="1605"/>
      <c r="AC66" s="1605"/>
      <c r="AD66" s="1605"/>
      <c r="AE66" s="1605"/>
      <c r="AF66" s="1605"/>
      <c r="AG66" s="1605"/>
      <c r="AH66" s="1605"/>
      <c r="AI66" s="1605"/>
      <c r="AJ66" s="1605"/>
      <c r="AK66" s="1605"/>
      <c r="AL66" s="1605"/>
      <c r="AM66" s="1605"/>
      <c r="AN66" s="1605"/>
      <c r="AO66" s="1605"/>
      <c r="AP66" s="1605"/>
      <c r="AQ66" s="1605"/>
      <c r="AR66" s="1605"/>
      <c r="AS66" s="1605"/>
      <c r="AT66" s="1605"/>
      <c r="AU66" s="1605"/>
      <c r="AV66" s="1605"/>
      <c r="AW66" s="1605"/>
      <c r="AX66" s="1605"/>
      <c r="AY66" s="1605"/>
      <c r="AZ66" s="1605"/>
      <c r="BA66" s="1605"/>
      <c r="BB66" s="1607"/>
      <c r="BC66" s="1607"/>
      <c r="BD66" s="1601"/>
      <c r="BE66" s="1601"/>
      <c r="BF66" s="1601"/>
      <c r="BG66" s="1601"/>
      <c r="BH66" s="1601"/>
      <c r="BI66" s="1713"/>
      <c r="BJ66" s="1713"/>
      <c r="BK66" s="1601"/>
      <c r="BL66" s="1601"/>
      <c r="BM66" s="1601"/>
      <c r="BN66" s="1601"/>
      <c r="BO66" s="1601"/>
      <c r="BP66" s="1601"/>
      <c r="BQ66" s="1601"/>
      <c r="BR66" s="1608"/>
    </row>
    <row r="67" spans="1:72" s="1569" customFormat="1" ht="15" customHeight="1" x14ac:dyDescent="0.2">
      <c r="A67" s="3369"/>
      <c r="B67" s="3373"/>
      <c r="C67" s="3374"/>
      <c r="D67" s="3499"/>
      <c r="E67" s="3499"/>
      <c r="F67" s="3499"/>
      <c r="G67" s="1609">
        <v>78</v>
      </c>
      <c r="H67" s="151" t="s">
        <v>1439</v>
      </c>
      <c r="I67" s="151"/>
      <c r="J67" s="1610"/>
      <c r="K67" s="1611"/>
      <c r="L67" s="1612"/>
      <c r="M67" s="270"/>
      <c r="N67" s="270"/>
      <c r="O67" s="272"/>
      <c r="P67" s="278"/>
      <c r="Q67" s="153"/>
      <c r="R67" s="1613"/>
      <c r="S67" s="1714"/>
      <c r="T67" s="1612"/>
      <c r="U67" s="1611"/>
      <c r="V67" s="1611"/>
      <c r="W67" s="1668"/>
      <c r="X67" s="1668"/>
      <c r="Y67" s="1669"/>
      <c r="Z67" s="1715"/>
      <c r="AA67" s="1715"/>
      <c r="AB67" s="1716"/>
      <c r="AC67" s="1716"/>
      <c r="AD67" s="1716"/>
      <c r="AE67" s="1716"/>
      <c r="AF67" s="1716"/>
      <c r="AG67" s="1716"/>
      <c r="AH67" s="1716"/>
      <c r="AI67" s="1716"/>
      <c r="AJ67" s="1716"/>
      <c r="AK67" s="1716"/>
      <c r="AL67" s="1716"/>
      <c r="AM67" s="1716"/>
      <c r="AN67" s="1716"/>
      <c r="AO67" s="1716"/>
      <c r="AP67" s="1716"/>
      <c r="AQ67" s="1716"/>
      <c r="AR67" s="1716"/>
      <c r="AS67" s="1716"/>
      <c r="AT67" s="1716"/>
      <c r="AU67" s="1716"/>
      <c r="AV67" s="1716"/>
      <c r="AW67" s="1716"/>
      <c r="AX67" s="1716"/>
      <c r="AY67" s="1716"/>
      <c r="AZ67" s="1716"/>
      <c r="BA67" s="1716"/>
      <c r="BB67" s="1716"/>
      <c r="BC67" s="1716"/>
      <c r="BD67" s="1716"/>
      <c r="BE67" s="1716"/>
      <c r="BF67" s="1716"/>
      <c r="BG67" s="1716"/>
      <c r="BH67" s="1716"/>
      <c r="BI67" s="156"/>
      <c r="BJ67" s="156"/>
      <c r="BK67" s="1716"/>
      <c r="BL67" s="1716"/>
      <c r="BM67" s="1716"/>
      <c r="BN67" s="1716"/>
      <c r="BO67" s="1716"/>
      <c r="BP67" s="1716"/>
      <c r="BQ67" s="1716"/>
      <c r="BR67" s="1717"/>
    </row>
    <row r="68" spans="1:72" s="571" customFormat="1" ht="77.25" customHeight="1" x14ac:dyDescent="0.25">
      <c r="A68" s="3369"/>
      <c r="B68" s="3373"/>
      <c r="C68" s="3374"/>
      <c r="D68" s="3499"/>
      <c r="E68" s="3499"/>
      <c r="F68" s="3499"/>
      <c r="G68" s="1718"/>
      <c r="H68" s="1719"/>
      <c r="I68" s="1720"/>
      <c r="J68" s="3500">
        <v>226</v>
      </c>
      <c r="K68" s="3501" t="s">
        <v>1440</v>
      </c>
      <c r="L68" s="3402" t="s">
        <v>1441</v>
      </c>
      <c r="M68" s="3502">
        <v>12</v>
      </c>
      <c r="N68" s="3502">
        <v>3</v>
      </c>
      <c r="O68" s="1721"/>
      <c r="P68" s="3470" t="s">
        <v>1442</v>
      </c>
      <c r="Q68" s="3471" t="s">
        <v>1443</v>
      </c>
      <c r="R68" s="3504">
        <f>SUM(W68:W76)/S68</f>
        <v>0.55679287305122493</v>
      </c>
      <c r="S68" s="3475">
        <f>SUM(W68:W90)</f>
        <v>449000000</v>
      </c>
      <c r="T68" s="3401" t="s">
        <v>1444</v>
      </c>
      <c r="U68" s="3478" t="s">
        <v>1445</v>
      </c>
      <c r="V68" s="1684" t="s">
        <v>1446</v>
      </c>
      <c r="W68" s="1621">
        <v>13500000</v>
      </c>
      <c r="X68" s="1050">
        <v>3500000</v>
      </c>
      <c r="Y68" s="1644">
        <v>0</v>
      </c>
      <c r="Z68" s="1722">
        <v>20</v>
      </c>
      <c r="AA68" s="1723" t="s">
        <v>1447</v>
      </c>
      <c r="AB68" s="3445">
        <v>1199</v>
      </c>
      <c r="AC68" s="3445" t="s">
        <v>1448</v>
      </c>
      <c r="AD68" s="3445">
        <v>1151</v>
      </c>
      <c r="AE68" s="3445" t="s">
        <v>1449</v>
      </c>
      <c r="AF68" s="3445">
        <v>715</v>
      </c>
      <c r="AG68" s="3445" t="s">
        <v>1450</v>
      </c>
      <c r="AH68" s="3445">
        <v>527</v>
      </c>
      <c r="AI68" s="3361" t="s">
        <v>1451</v>
      </c>
      <c r="AJ68" s="3445">
        <v>301</v>
      </c>
      <c r="AK68" s="3361" t="s">
        <v>1452</v>
      </c>
      <c r="AL68" s="3445">
        <v>807</v>
      </c>
      <c r="AM68" s="3361" t="s">
        <v>1453</v>
      </c>
      <c r="AN68" s="3445"/>
      <c r="AO68" s="3445"/>
      <c r="AP68" s="3445"/>
      <c r="AQ68" s="1724"/>
      <c r="AR68" s="3507"/>
      <c r="AS68" s="1724"/>
      <c r="AT68" s="3507"/>
      <c r="AU68" s="1724"/>
      <c r="AV68" s="3507"/>
      <c r="AW68" s="1724"/>
      <c r="AX68" s="3507"/>
      <c r="AY68" s="1724"/>
      <c r="AZ68" s="3361">
        <v>2350</v>
      </c>
      <c r="BA68" s="3361" t="s">
        <v>1454</v>
      </c>
      <c r="BB68" s="3507"/>
      <c r="BC68" s="1724"/>
      <c r="BD68" s="3507"/>
      <c r="BE68" s="1724"/>
      <c r="BF68" s="3361">
        <v>2350</v>
      </c>
      <c r="BG68" s="3445">
        <v>1028</v>
      </c>
      <c r="BH68" s="3445">
        <v>8</v>
      </c>
      <c r="BI68" s="3408">
        <f>SUM(X68:X90)</f>
        <v>119354188</v>
      </c>
      <c r="BJ68" s="3408">
        <f>SUM(Y68:Y90)</f>
        <v>54359922</v>
      </c>
      <c r="BK68" s="3411">
        <f>BJ68/BI68</f>
        <v>0.45545047820190443</v>
      </c>
      <c r="BL68" s="1725"/>
      <c r="BM68" s="1726"/>
      <c r="BN68" s="1688">
        <v>43480</v>
      </c>
      <c r="BO68" s="1688"/>
      <c r="BP68" s="1688">
        <v>43646</v>
      </c>
      <c r="BQ68" s="1688"/>
      <c r="BR68" s="3505" t="s">
        <v>1421</v>
      </c>
      <c r="BS68" s="1569"/>
      <c r="BT68" s="1569"/>
    </row>
    <row r="69" spans="1:72" s="571" customFormat="1" ht="52.5" customHeight="1" x14ac:dyDescent="0.25">
      <c r="A69" s="3369"/>
      <c r="B69" s="3373"/>
      <c r="C69" s="3374"/>
      <c r="D69" s="3499"/>
      <c r="E69" s="3499"/>
      <c r="F69" s="3499"/>
      <c r="G69" s="1727"/>
      <c r="H69" s="1728"/>
      <c r="I69" s="1729"/>
      <c r="J69" s="3500"/>
      <c r="K69" s="3501"/>
      <c r="L69" s="3402"/>
      <c r="M69" s="3502"/>
      <c r="N69" s="3502"/>
      <c r="O69" s="1721"/>
      <c r="P69" s="3470"/>
      <c r="Q69" s="3471"/>
      <c r="R69" s="3504"/>
      <c r="S69" s="3476"/>
      <c r="T69" s="3401"/>
      <c r="U69" s="3478"/>
      <c r="V69" s="1684" t="s">
        <v>1455</v>
      </c>
      <c r="W69" s="1621">
        <v>17500000</v>
      </c>
      <c r="X69" s="1050">
        <v>1517000</v>
      </c>
      <c r="Y69" s="1644">
        <v>1517000</v>
      </c>
      <c r="Z69" s="1622">
        <v>20</v>
      </c>
      <c r="AA69" s="1730" t="s">
        <v>71</v>
      </c>
      <c r="AB69" s="3446"/>
      <c r="AC69" s="3446"/>
      <c r="AD69" s="3446"/>
      <c r="AE69" s="3446"/>
      <c r="AF69" s="3446"/>
      <c r="AG69" s="3446"/>
      <c r="AH69" s="3446"/>
      <c r="AI69" s="3362"/>
      <c r="AJ69" s="3446"/>
      <c r="AK69" s="3362"/>
      <c r="AL69" s="3446"/>
      <c r="AM69" s="3362"/>
      <c r="AN69" s="3446"/>
      <c r="AO69" s="3446"/>
      <c r="AP69" s="3446"/>
      <c r="AQ69" s="1731"/>
      <c r="AR69" s="3508"/>
      <c r="AS69" s="1731"/>
      <c r="AT69" s="3508"/>
      <c r="AU69" s="1731"/>
      <c r="AV69" s="3508"/>
      <c r="AW69" s="1731"/>
      <c r="AX69" s="3508"/>
      <c r="AY69" s="1731"/>
      <c r="AZ69" s="3362"/>
      <c r="BA69" s="3362"/>
      <c r="BB69" s="3508"/>
      <c r="BC69" s="1731"/>
      <c r="BD69" s="3508"/>
      <c r="BE69" s="1731"/>
      <c r="BF69" s="3362"/>
      <c r="BG69" s="3446"/>
      <c r="BH69" s="3446"/>
      <c r="BI69" s="3409"/>
      <c r="BJ69" s="3409"/>
      <c r="BK69" s="3412"/>
      <c r="BL69" s="1732"/>
      <c r="BM69" s="1733"/>
      <c r="BN69" s="1734">
        <v>43480</v>
      </c>
      <c r="BO69" s="1734">
        <v>43516</v>
      </c>
      <c r="BP69" s="1734">
        <v>43646</v>
      </c>
      <c r="BQ69" s="1734">
        <v>43753</v>
      </c>
      <c r="BR69" s="3506"/>
      <c r="BS69" s="1569"/>
      <c r="BT69" s="1569"/>
    </row>
    <row r="70" spans="1:72" s="571" customFormat="1" ht="56.25" customHeight="1" x14ac:dyDescent="0.25">
      <c r="A70" s="3369"/>
      <c r="B70" s="3373"/>
      <c r="C70" s="3374"/>
      <c r="D70" s="3499"/>
      <c r="E70" s="3499"/>
      <c r="F70" s="3499"/>
      <c r="G70" s="1727"/>
      <c r="H70" s="1728"/>
      <c r="I70" s="1729"/>
      <c r="J70" s="3500"/>
      <c r="K70" s="3501"/>
      <c r="L70" s="3402"/>
      <c r="M70" s="3502"/>
      <c r="N70" s="3502"/>
      <c r="O70" s="1721"/>
      <c r="P70" s="3470"/>
      <c r="Q70" s="3471"/>
      <c r="R70" s="3504"/>
      <c r="S70" s="3476"/>
      <c r="T70" s="3401"/>
      <c r="U70" s="3478"/>
      <c r="V70" s="1684" t="s">
        <v>1456</v>
      </c>
      <c r="W70" s="1621">
        <v>43000000</v>
      </c>
      <c r="X70" s="1050">
        <f>14400000+2050000+2000000+7490000+6490000</f>
        <v>32430000</v>
      </c>
      <c r="Y70" s="1644">
        <f>4557067+2500000+500000+900000+1798000</f>
        <v>10255067</v>
      </c>
      <c r="Z70" s="1622">
        <v>20</v>
      </c>
      <c r="AA70" s="1730" t="s">
        <v>71</v>
      </c>
      <c r="AB70" s="3446"/>
      <c r="AC70" s="3446"/>
      <c r="AD70" s="3446"/>
      <c r="AE70" s="3446"/>
      <c r="AF70" s="3446"/>
      <c r="AG70" s="3446"/>
      <c r="AH70" s="3446"/>
      <c r="AI70" s="3362"/>
      <c r="AJ70" s="3446"/>
      <c r="AK70" s="3362"/>
      <c r="AL70" s="3446"/>
      <c r="AM70" s="3362"/>
      <c r="AN70" s="3446"/>
      <c r="AO70" s="3446"/>
      <c r="AP70" s="3446"/>
      <c r="AQ70" s="1731"/>
      <c r="AR70" s="3508"/>
      <c r="AS70" s="1731"/>
      <c r="AT70" s="3508"/>
      <c r="AU70" s="1731"/>
      <c r="AV70" s="3508"/>
      <c r="AW70" s="1731"/>
      <c r="AX70" s="3508"/>
      <c r="AY70" s="1731"/>
      <c r="AZ70" s="3362"/>
      <c r="BA70" s="3362"/>
      <c r="BB70" s="3508"/>
      <c r="BC70" s="1731"/>
      <c r="BD70" s="3508"/>
      <c r="BE70" s="1731"/>
      <c r="BF70" s="3362"/>
      <c r="BG70" s="3446"/>
      <c r="BH70" s="3446"/>
      <c r="BI70" s="3409"/>
      <c r="BJ70" s="3409"/>
      <c r="BK70" s="3412"/>
      <c r="BL70" s="1732"/>
      <c r="BM70" s="1733"/>
      <c r="BN70" s="1734">
        <v>43480</v>
      </c>
      <c r="BO70" s="1734">
        <v>43516</v>
      </c>
      <c r="BP70" s="1734">
        <v>43646</v>
      </c>
      <c r="BQ70" s="1734">
        <v>43753</v>
      </c>
      <c r="BR70" s="3506"/>
      <c r="BS70" s="3398"/>
      <c r="BT70" s="1569"/>
    </row>
    <row r="71" spans="1:72" s="571" customFormat="1" ht="108.75" customHeight="1" x14ac:dyDescent="0.25">
      <c r="A71" s="3369"/>
      <c r="B71" s="3373"/>
      <c r="C71" s="3374"/>
      <c r="D71" s="3499"/>
      <c r="E71" s="3499"/>
      <c r="F71" s="3499"/>
      <c r="G71" s="1727"/>
      <c r="H71" s="1728"/>
      <c r="I71" s="1729"/>
      <c r="J71" s="3500"/>
      <c r="K71" s="3501"/>
      <c r="L71" s="3402"/>
      <c r="M71" s="3502"/>
      <c r="N71" s="3502"/>
      <c r="O71" s="1721"/>
      <c r="P71" s="3470"/>
      <c r="Q71" s="3471"/>
      <c r="R71" s="3504"/>
      <c r="S71" s="3476"/>
      <c r="T71" s="3401"/>
      <c r="U71" s="3478"/>
      <c r="V71" s="1684" t="s">
        <v>1457</v>
      </c>
      <c r="W71" s="1621">
        <v>9250000</v>
      </c>
      <c r="X71" s="1050">
        <v>6000000</v>
      </c>
      <c r="Y71" s="1644">
        <v>2096000</v>
      </c>
      <c r="Z71" s="1622">
        <v>20</v>
      </c>
      <c r="AA71" s="1730" t="s">
        <v>71</v>
      </c>
      <c r="AB71" s="3446"/>
      <c r="AC71" s="3446"/>
      <c r="AD71" s="3446"/>
      <c r="AE71" s="3446"/>
      <c r="AF71" s="3446"/>
      <c r="AG71" s="3446"/>
      <c r="AH71" s="3446"/>
      <c r="AI71" s="3362"/>
      <c r="AJ71" s="3446"/>
      <c r="AK71" s="3362"/>
      <c r="AL71" s="3446"/>
      <c r="AM71" s="3362"/>
      <c r="AN71" s="3446"/>
      <c r="AO71" s="3446"/>
      <c r="AP71" s="3446"/>
      <c r="AQ71" s="1731"/>
      <c r="AR71" s="3508"/>
      <c r="AS71" s="1731"/>
      <c r="AT71" s="3508"/>
      <c r="AU71" s="1731"/>
      <c r="AV71" s="3508"/>
      <c r="AW71" s="1731"/>
      <c r="AX71" s="3508"/>
      <c r="AY71" s="1731"/>
      <c r="AZ71" s="3362"/>
      <c r="BA71" s="3362"/>
      <c r="BB71" s="3508"/>
      <c r="BC71" s="1731"/>
      <c r="BD71" s="3508"/>
      <c r="BE71" s="1731"/>
      <c r="BF71" s="3362"/>
      <c r="BG71" s="3446"/>
      <c r="BH71" s="3446"/>
      <c r="BI71" s="3409"/>
      <c r="BJ71" s="3409"/>
      <c r="BK71" s="3412"/>
      <c r="BL71" s="1732"/>
      <c r="BM71" s="1733"/>
      <c r="BN71" s="1734">
        <v>43480</v>
      </c>
      <c r="BO71" s="1734">
        <v>43516</v>
      </c>
      <c r="BP71" s="1734">
        <v>43646</v>
      </c>
      <c r="BQ71" s="1734">
        <v>43753</v>
      </c>
      <c r="BR71" s="3506"/>
      <c r="BS71" s="3398"/>
      <c r="BT71" s="1569"/>
    </row>
    <row r="72" spans="1:72" s="571" customFormat="1" ht="62.25" customHeight="1" x14ac:dyDescent="0.25">
      <c r="A72" s="3369"/>
      <c r="B72" s="3373"/>
      <c r="C72" s="3374"/>
      <c r="D72" s="3499"/>
      <c r="E72" s="3499"/>
      <c r="F72" s="3499"/>
      <c r="G72" s="1727"/>
      <c r="H72" s="1728"/>
      <c r="I72" s="1729"/>
      <c r="J72" s="3500"/>
      <c r="K72" s="3501"/>
      <c r="L72" s="3402"/>
      <c r="M72" s="3502"/>
      <c r="N72" s="3502"/>
      <c r="O72" s="1721"/>
      <c r="P72" s="3470"/>
      <c r="Q72" s="3471"/>
      <c r="R72" s="3504"/>
      <c r="S72" s="3476"/>
      <c r="T72" s="3401"/>
      <c r="U72" s="3478"/>
      <c r="V72" s="1684" t="s">
        <v>1458</v>
      </c>
      <c r="W72" s="1621">
        <v>10000000</v>
      </c>
      <c r="X72" s="1050">
        <f>1000000+1000000</f>
        <v>2000000</v>
      </c>
      <c r="Y72" s="1644">
        <v>1000000</v>
      </c>
      <c r="Z72" s="1622">
        <v>20</v>
      </c>
      <c r="AA72" s="1730" t="s">
        <v>71</v>
      </c>
      <c r="AB72" s="3446"/>
      <c r="AC72" s="3446"/>
      <c r="AD72" s="3446"/>
      <c r="AE72" s="3446"/>
      <c r="AF72" s="3446"/>
      <c r="AG72" s="3446"/>
      <c r="AH72" s="3446"/>
      <c r="AI72" s="3362"/>
      <c r="AJ72" s="3446"/>
      <c r="AK72" s="3362"/>
      <c r="AL72" s="3446"/>
      <c r="AM72" s="3362"/>
      <c r="AN72" s="3446"/>
      <c r="AO72" s="3446"/>
      <c r="AP72" s="3446"/>
      <c r="AQ72" s="1731"/>
      <c r="AR72" s="3508"/>
      <c r="AS72" s="1731"/>
      <c r="AT72" s="3508"/>
      <c r="AU72" s="1731"/>
      <c r="AV72" s="3508"/>
      <c r="AW72" s="1731"/>
      <c r="AX72" s="3508"/>
      <c r="AY72" s="1731"/>
      <c r="AZ72" s="3362"/>
      <c r="BA72" s="3362"/>
      <c r="BB72" s="3508"/>
      <c r="BC72" s="1731"/>
      <c r="BD72" s="3508"/>
      <c r="BE72" s="1731"/>
      <c r="BF72" s="3362"/>
      <c r="BG72" s="3446"/>
      <c r="BH72" s="3446"/>
      <c r="BI72" s="3409"/>
      <c r="BJ72" s="3409"/>
      <c r="BK72" s="3412"/>
      <c r="BL72" s="1733"/>
      <c r="BM72" s="1732"/>
      <c r="BN72" s="1734">
        <v>43480</v>
      </c>
      <c r="BO72" s="1734">
        <v>43516</v>
      </c>
      <c r="BP72" s="1734">
        <v>43814</v>
      </c>
      <c r="BQ72" s="1734">
        <v>43753</v>
      </c>
      <c r="BR72" s="3506"/>
      <c r="BS72" s="3398"/>
      <c r="BT72" s="1569"/>
    </row>
    <row r="73" spans="1:72" s="571" customFormat="1" ht="60" customHeight="1" x14ac:dyDescent="0.25">
      <c r="A73" s="3369"/>
      <c r="B73" s="3373"/>
      <c r="C73" s="3374"/>
      <c r="D73" s="3499"/>
      <c r="E73" s="3499"/>
      <c r="F73" s="3499"/>
      <c r="G73" s="1727"/>
      <c r="H73" s="1728"/>
      <c r="I73" s="1729"/>
      <c r="J73" s="3500"/>
      <c r="K73" s="3501"/>
      <c r="L73" s="3402"/>
      <c r="M73" s="3502"/>
      <c r="N73" s="3502"/>
      <c r="O73" s="1721"/>
      <c r="P73" s="3470"/>
      <c r="Q73" s="3471"/>
      <c r="R73" s="3504"/>
      <c r="S73" s="3476"/>
      <c r="T73" s="3401"/>
      <c r="U73" s="3478"/>
      <c r="V73" s="1684" t="s">
        <v>1459</v>
      </c>
      <c r="W73" s="1621">
        <v>6250000</v>
      </c>
      <c r="X73" s="1050">
        <v>3000000</v>
      </c>
      <c r="Y73" s="1644">
        <v>2000000</v>
      </c>
      <c r="Z73" s="1622">
        <v>20</v>
      </c>
      <c r="AA73" s="1730" t="s">
        <v>71</v>
      </c>
      <c r="AB73" s="3446"/>
      <c r="AC73" s="3446"/>
      <c r="AD73" s="3446"/>
      <c r="AE73" s="3446"/>
      <c r="AF73" s="3446"/>
      <c r="AG73" s="3446"/>
      <c r="AH73" s="3446"/>
      <c r="AI73" s="3362"/>
      <c r="AJ73" s="3446"/>
      <c r="AK73" s="3362"/>
      <c r="AL73" s="3446"/>
      <c r="AM73" s="3362"/>
      <c r="AN73" s="3446"/>
      <c r="AO73" s="3446"/>
      <c r="AP73" s="3446"/>
      <c r="AQ73" s="1731"/>
      <c r="AR73" s="3508"/>
      <c r="AS73" s="1731"/>
      <c r="AT73" s="3508"/>
      <c r="AU73" s="1731"/>
      <c r="AV73" s="3508"/>
      <c r="AW73" s="1731"/>
      <c r="AX73" s="3508"/>
      <c r="AY73" s="1731"/>
      <c r="AZ73" s="3362"/>
      <c r="BA73" s="3362"/>
      <c r="BB73" s="3508"/>
      <c r="BC73" s="1731"/>
      <c r="BD73" s="3508"/>
      <c r="BE73" s="1731"/>
      <c r="BF73" s="3362"/>
      <c r="BG73" s="3446"/>
      <c r="BH73" s="3446"/>
      <c r="BI73" s="3409"/>
      <c r="BJ73" s="3409"/>
      <c r="BK73" s="3412"/>
      <c r="BL73" s="1732"/>
      <c r="BM73" s="1732"/>
      <c r="BN73" s="1734">
        <v>43480</v>
      </c>
      <c r="BO73" s="1734">
        <v>43516</v>
      </c>
      <c r="BP73" s="1734">
        <v>43646</v>
      </c>
      <c r="BQ73" s="1734">
        <v>43753</v>
      </c>
      <c r="BR73" s="3506"/>
      <c r="BS73" s="1569"/>
      <c r="BT73" s="1569"/>
    </row>
    <row r="74" spans="1:72" s="571" customFormat="1" ht="29.25" customHeight="1" x14ac:dyDescent="0.25">
      <c r="A74" s="3369"/>
      <c r="B74" s="3373"/>
      <c r="C74" s="3374"/>
      <c r="D74" s="3499"/>
      <c r="E74" s="3499"/>
      <c r="F74" s="3499"/>
      <c r="G74" s="1727"/>
      <c r="H74" s="1728"/>
      <c r="I74" s="1729"/>
      <c r="J74" s="3500"/>
      <c r="K74" s="3501"/>
      <c r="L74" s="3402"/>
      <c r="M74" s="3502"/>
      <c r="N74" s="3502"/>
      <c r="O74" s="1721"/>
      <c r="P74" s="3470"/>
      <c r="Q74" s="3471"/>
      <c r="R74" s="3504"/>
      <c r="S74" s="3476"/>
      <c r="T74" s="3401"/>
      <c r="U74" s="3478"/>
      <c r="V74" s="3489" t="s">
        <v>1460</v>
      </c>
      <c r="W74" s="1735">
        <v>85500000</v>
      </c>
      <c r="X74" s="1621">
        <f>6000000+2000000</f>
        <v>8000000</v>
      </c>
      <c r="Y74" s="1736">
        <f>2798000+1900000</f>
        <v>4698000</v>
      </c>
      <c r="Z74" s="1622">
        <v>20</v>
      </c>
      <c r="AA74" s="1730" t="s">
        <v>71</v>
      </c>
      <c r="AB74" s="3446"/>
      <c r="AC74" s="3446"/>
      <c r="AD74" s="3446"/>
      <c r="AE74" s="3446"/>
      <c r="AF74" s="3446"/>
      <c r="AG74" s="3446"/>
      <c r="AH74" s="3446"/>
      <c r="AI74" s="3362"/>
      <c r="AJ74" s="3446"/>
      <c r="AK74" s="3362"/>
      <c r="AL74" s="3446"/>
      <c r="AM74" s="3362"/>
      <c r="AN74" s="3446"/>
      <c r="AO74" s="3446"/>
      <c r="AP74" s="3446"/>
      <c r="AQ74" s="1731"/>
      <c r="AR74" s="3508"/>
      <c r="AS74" s="1731"/>
      <c r="AT74" s="3508"/>
      <c r="AU74" s="1731"/>
      <c r="AV74" s="3508"/>
      <c r="AW74" s="1731"/>
      <c r="AX74" s="3508"/>
      <c r="AY74" s="1731"/>
      <c r="AZ74" s="3362"/>
      <c r="BA74" s="3362"/>
      <c r="BB74" s="3508"/>
      <c r="BC74" s="1731"/>
      <c r="BD74" s="3508"/>
      <c r="BE74" s="1731"/>
      <c r="BF74" s="3362"/>
      <c r="BG74" s="3446"/>
      <c r="BH74" s="3446"/>
      <c r="BI74" s="3409"/>
      <c r="BJ74" s="3409"/>
      <c r="BK74" s="3412"/>
      <c r="BL74" s="1732"/>
      <c r="BM74" s="1732"/>
      <c r="BN74" s="3483">
        <v>43597</v>
      </c>
      <c r="BO74" s="3483">
        <v>43516</v>
      </c>
      <c r="BP74" s="3483">
        <v>43814</v>
      </c>
      <c r="BQ74" s="3483">
        <v>43809</v>
      </c>
      <c r="BR74" s="3506"/>
      <c r="BS74" s="1569"/>
      <c r="BT74" s="1569"/>
    </row>
    <row r="75" spans="1:72" s="571" customFormat="1" ht="41.25" customHeight="1" x14ac:dyDescent="0.25">
      <c r="A75" s="3369"/>
      <c r="B75" s="3373"/>
      <c r="C75" s="3374"/>
      <c r="D75" s="3499"/>
      <c r="E75" s="3499"/>
      <c r="F75" s="3499"/>
      <c r="G75" s="1727"/>
      <c r="H75" s="1728"/>
      <c r="I75" s="1729"/>
      <c r="J75" s="3500"/>
      <c r="K75" s="3501"/>
      <c r="L75" s="3402"/>
      <c r="M75" s="3502"/>
      <c r="N75" s="3502"/>
      <c r="O75" s="1721"/>
      <c r="P75" s="3470"/>
      <c r="Q75" s="3471"/>
      <c r="R75" s="3504"/>
      <c r="S75" s="3476"/>
      <c r="T75" s="3401"/>
      <c r="U75" s="3478"/>
      <c r="V75" s="3490"/>
      <c r="W75" s="1735">
        <v>50000000</v>
      </c>
      <c r="X75" s="1621"/>
      <c r="Y75" s="232"/>
      <c r="Z75" s="1622">
        <v>88</v>
      </c>
      <c r="AA75" s="1730" t="s">
        <v>1461</v>
      </c>
      <c r="AB75" s="3446"/>
      <c r="AC75" s="3446"/>
      <c r="AD75" s="3446"/>
      <c r="AE75" s="3446"/>
      <c r="AF75" s="3446"/>
      <c r="AG75" s="3446"/>
      <c r="AH75" s="3446"/>
      <c r="AI75" s="3362"/>
      <c r="AJ75" s="3446"/>
      <c r="AK75" s="3362"/>
      <c r="AL75" s="3446"/>
      <c r="AM75" s="3362"/>
      <c r="AN75" s="3446"/>
      <c r="AO75" s="3446"/>
      <c r="AP75" s="3446"/>
      <c r="AQ75" s="1731"/>
      <c r="AR75" s="3508"/>
      <c r="AS75" s="1731"/>
      <c r="AT75" s="3508"/>
      <c r="AU75" s="1731"/>
      <c r="AV75" s="3508"/>
      <c r="AW75" s="1731"/>
      <c r="AX75" s="3508"/>
      <c r="AY75" s="1731"/>
      <c r="AZ75" s="3362"/>
      <c r="BA75" s="3362"/>
      <c r="BB75" s="3508"/>
      <c r="BC75" s="1731"/>
      <c r="BD75" s="3508"/>
      <c r="BE75" s="1731"/>
      <c r="BF75" s="3362"/>
      <c r="BG75" s="3446"/>
      <c r="BH75" s="3446"/>
      <c r="BI75" s="3409"/>
      <c r="BJ75" s="3409"/>
      <c r="BK75" s="3412"/>
      <c r="BL75" s="1732"/>
      <c r="BM75" s="1732"/>
      <c r="BN75" s="3484"/>
      <c r="BO75" s="3484"/>
      <c r="BP75" s="3484"/>
      <c r="BQ75" s="3484"/>
      <c r="BR75" s="3506"/>
      <c r="BS75" s="1569"/>
      <c r="BT75" s="1569"/>
    </row>
    <row r="76" spans="1:72" s="571" customFormat="1" ht="33" customHeight="1" x14ac:dyDescent="0.25">
      <c r="A76" s="3369"/>
      <c r="B76" s="3373"/>
      <c r="C76" s="3374"/>
      <c r="D76" s="3499"/>
      <c r="E76" s="3499"/>
      <c r="F76" s="3499"/>
      <c r="G76" s="1727"/>
      <c r="H76" s="1728"/>
      <c r="I76" s="1729"/>
      <c r="J76" s="3500"/>
      <c r="K76" s="3501"/>
      <c r="L76" s="3402"/>
      <c r="M76" s="3502"/>
      <c r="N76" s="3502"/>
      <c r="O76" s="1721"/>
      <c r="P76" s="3470"/>
      <c r="Q76" s="3471"/>
      <c r="R76" s="3504"/>
      <c r="S76" s="3476"/>
      <c r="T76" s="3401"/>
      <c r="U76" s="3478"/>
      <c r="V76" s="1684" t="s">
        <v>1462</v>
      </c>
      <c r="W76" s="1621">
        <v>15000000</v>
      </c>
      <c r="X76" s="1050">
        <v>0</v>
      </c>
      <c r="Y76" s="1644">
        <v>0</v>
      </c>
      <c r="Z76" s="1622">
        <v>20</v>
      </c>
      <c r="AA76" s="1730" t="s">
        <v>71</v>
      </c>
      <c r="AB76" s="3446"/>
      <c r="AC76" s="3446"/>
      <c r="AD76" s="3446"/>
      <c r="AE76" s="3446"/>
      <c r="AF76" s="3446"/>
      <c r="AG76" s="3446"/>
      <c r="AH76" s="3446"/>
      <c r="AI76" s="3362"/>
      <c r="AJ76" s="3446"/>
      <c r="AK76" s="3362"/>
      <c r="AL76" s="3446"/>
      <c r="AM76" s="3362"/>
      <c r="AN76" s="3446"/>
      <c r="AO76" s="3446"/>
      <c r="AP76" s="3446"/>
      <c r="AQ76" s="1731"/>
      <c r="AR76" s="3508"/>
      <c r="AS76" s="1731"/>
      <c r="AT76" s="3508"/>
      <c r="AU76" s="1731"/>
      <c r="AV76" s="3508"/>
      <c r="AW76" s="1731"/>
      <c r="AX76" s="3508"/>
      <c r="AY76" s="1731"/>
      <c r="AZ76" s="3362"/>
      <c r="BA76" s="3362"/>
      <c r="BB76" s="3508"/>
      <c r="BC76" s="1731"/>
      <c r="BD76" s="3508"/>
      <c r="BE76" s="1731"/>
      <c r="BF76" s="3362"/>
      <c r="BG76" s="3446"/>
      <c r="BH76" s="3446"/>
      <c r="BI76" s="3409"/>
      <c r="BJ76" s="3409"/>
      <c r="BK76" s="3412"/>
      <c r="BL76" s="1737"/>
      <c r="BN76" s="1688">
        <v>43536</v>
      </c>
      <c r="BO76" s="1688"/>
      <c r="BP76" s="1688">
        <v>43756</v>
      </c>
      <c r="BQ76" s="1688"/>
      <c r="BR76" s="3506"/>
      <c r="BS76" s="1569"/>
      <c r="BT76" s="1569"/>
    </row>
    <row r="77" spans="1:72" s="571" customFormat="1" ht="53.25" customHeight="1" x14ac:dyDescent="0.25">
      <c r="A77" s="3369"/>
      <c r="B77" s="3373"/>
      <c r="C77" s="3374"/>
      <c r="D77" s="3499"/>
      <c r="E77" s="3499"/>
      <c r="F77" s="3499"/>
      <c r="G77" s="1727"/>
      <c r="H77" s="1728"/>
      <c r="I77" s="1729"/>
      <c r="J77" s="3400">
        <v>227</v>
      </c>
      <c r="K77" s="3401" t="s">
        <v>1463</v>
      </c>
      <c r="L77" s="3402" t="s">
        <v>1464</v>
      </c>
      <c r="M77" s="3502">
        <v>12</v>
      </c>
      <c r="N77" s="3510">
        <v>0</v>
      </c>
      <c r="O77" s="1721"/>
      <c r="P77" s="3470"/>
      <c r="Q77" s="3471"/>
      <c r="R77" s="3512">
        <f>SUM(W77:W78)/S68</f>
        <v>8.9086859688195991E-2</v>
      </c>
      <c r="S77" s="3476"/>
      <c r="T77" s="3401"/>
      <c r="U77" s="3478"/>
      <c r="V77" s="999" t="s">
        <v>1465</v>
      </c>
      <c r="W77" s="959">
        <v>20000000</v>
      </c>
      <c r="X77" s="1050">
        <v>3010933</v>
      </c>
      <c r="Y77" s="1644">
        <v>3010933</v>
      </c>
      <c r="Z77" s="1622">
        <v>20</v>
      </c>
      <c r="AA77" s="1730" t="s">
        <v>71</v>
      </c>
      <c r="AB77" s="3446"/>
      <c r="AC77" s="3446"/>
      <c r="AD77" s="3446"/>
      <c r="AE77" s="3446"/>
      <c r="AF77" s="3446"/>
      <c r="AG77" s="3446"/>
      <c r="AH77" s="3446"/>
      <c r="AI77" s="3362"/>
      <c r="AJ77" s="3446"/>
      <c r="AK77" s="3362"/>
      <c r="AL77" s="3446"/>
      <c r="AM77" s="3362"/>
      <c r="AN77" s="3446"/>
      <c r="AO77" s="3446"/>
      <c r="AP77" s="3446"/>
      <c r="AQ77" s="1731"/>
      <c r="AR77" s="3508"/>
      <c r="AS77" s="1731"/>
      <c r="AT77" s="3508"/>
      <c r="AU77" s="1731"/>
      <c r="AV77" s="3508"/>
      <c r="AW77" s="1731"/>
      <c r="AX77" s="3508"/>
      <c r="AY77" s="1731"/>
      <c r="AZ77" s="3362"/>
      <c r="BA77" s="3362"/>
      <c r="BB77" s="3508"/>
      <c r="BC77" s="1731"/>
      <c r="BD77" s="3508"/>
      <c r="BE77" s="1731"/>
      <c r="BF77" s="3362"/>
      <c r="BG77" s="3446"/>
      <c r="BH77" s="3446"/>
      <c r="BI77" s="3409"/>
      <c r="BJ77" s="3409"/>
      <c r="BK77" s="3412"/>
      <c r="BL77" s="1737"/>
      <c r="BN77" s="1738">
        <v>43600</v>
      </c>
      <c r="BO77" s="1738">
        <v>43516</v>
      </c>
      <c r="BP77" s="1738">
        <v>43819</v>
      </c>
      <c r="BQ77" s="1738">
        <v>43809</v>
      </c>
      <c r="BR77" s="3506"/>
      <c r="BS77" s="1569"/>
      <c r="BT77" s="1569"/>
    </row>
    <row r="78" spans="1:72" s="571" customFormat="1" ht="50.25" customHeight="1" x14ac:dyDescent="0.25">
      <c r="A78" s="3369"/>
      <c r="B78" s="3373"/>
      <c r="C78" s="3374"/>
      <c r="D78" s="3499"/>
      <c r="E78" s="3499"/>
      <c r="F78" s="3499"/>
      <c r="G78" s="1727"/>
      <c r="H78" s="1728"/>
      <c r="I78" s="1729"/>
      <c r="J78" s="3400"/>
      <c r="K78" s="3401"/>
      <c r="L78" s="3402"/>
      <c r="M78" s="3502"/>
      <c r="N78" s="3511"/>
      <c r="O78" s="1721"/>
      <c r="P78" s="3470"/>
      <c r="Q78" s="3471"/>
      <c r="R78" s="3512"/>
      <c r="S78" s="3476"/>
      <c r="T78" s="3401"/>
      <c r="U78" s="3478"/>
      <c r="V78" s="999" t="s">
        <v>1466</v>
      </c>
      <c r="W78" s="959">
        <v>20000000</v>
      </c>
      <c r="X78" s="1050">
        <f>1000000+1000000</f>
        <v>2000000</v>
      </c>
      <c r="Y78" s="1644">
        <f>1000000+1000000</f>
        <v>2000000</v>
      </c>
      <c r="Z78" s="1622">
        <v>20</v>
      </c>
      <c r="AA78" s="1730" t="s">
        <v>71</v>
      </c>
      <c r="AB78" s="3446"/>
      <c r="AC78" s="3446"/>
      <c r="AD78" s="3446"/>
      <c r="AE78" s="3446"/>
      <c r="AF78" s="3446"/>
      <c r="AG78" s="3446"/>
      <c r="AH78" s="3446"/>
      <c r="AI78" s="3362"/>
      <c r="AJ78" s="3446"/>
      <c r="AK78" s="3362"/>
      <c r="AL78" s="3446"/>
      <c r="AM78" s="3362"/>
      <c r="AN78" s="3446"/>
      <c r="AO78" s="3446"/>
      <c r="AP78" s="3446"/>
      <c r="AQ78" s="1731"/>
      <c r="AR78" s="3508"/>
      <c r="AS78" s="1731"/>
      <c r="AT78" s="3508"/>
      <c r="AU78" s="1731"/>
      <c r="AV78" s="3508"/>
      <c r="AW78" s="1731"/>
      <c r="AX78" s="3508"/>
      <c r="AY78" s="1731"/>
      <c r="AZ78" s="3362"/>
      <c r="BA78" s="3362"/>
      <c r="BB78" s="3508"/>
      <c r="BC78" s="1731"/>
      <c r="BD78" s="3508"/>
      <c r="BE78" s="1731"/>
      <c r="BF78" s="3362"/>
      <c r="BG78" s="3446"/>
      <c r="BH78" s="3446"/>
      <c r="BI78" s="3409"/>
      <c r="BJ78" s="3409"/>
      <c r="BK78" s="3412"/>
      <c r="BL78" s="1739">
        <v>20</v>
      </c>
      <c r="BM78" s="1740" t="s">
        <v>1467</v>
      </c>
      <c r="BN78" s="1738">
        <v>43539</v>
      </c>
      <c r="BO78" s="1738">
        <v>43516</v>
      </c>
      <c r="BP78" s="1738">
        <v>43819</v>
      </c>
      <c r="BQ78" s="1738">
        <v>43809</v>
      </c>
      <c r="BR78" s="3506"/>
      <c r="BS78" s="1569"/>
      <c r="BT78" s="1569"/>
    </row>
    <row r="79" spans="1:72" s="571" customFormat="1" ht="43.5" customHeight="1" x14ac:dyDescent="0.25">
      <c r="A79" s="3369"/>
      <c r="B79" s="3373"/>
      <c r="C79" s="3374"/>
      <c r="D79" s="3499"/>
      <c r="E79" s="3499"/>
      <c r="F79" s="3499"/>
      <c r="G79" s="1727"/>
      <c r="H79" s="1728"/>
      <c r="I79" s="1729"/>
      <c r="J79" s="3400">
        <v>228</v>
      </c>
      <c r="K79" s="3402" t="s">
        <v>1468</v>
      </c>
      <c r="L79" s="3402" t="s">
        <v>1469</v>
      </c>
      <c r="M79" s="3502">
        <v>2</v>
      </c>
      <c r="N79" s="3516">
        <v>0.5</v>
      </c>
      <c r="O79" s="1741" t="s">
        <v>1470</v>
      </c>
      <c r="P79" s="3470"/>
      <c r="Q79" s="3471"/>
      <c r="R79" s="3512">
        <f>SUM(W79:W84)/S68</f>
        <v>8.9086859688195991E-2</v>
      </c>
      <c r="S79" s="3476"/>
      <c r="T79" s="3401"/>
      <c r="U79" s="3478"/>
      <c r="V79" s="1684" t="s">
        <v>1471</v>
      </c>
      <c r="W79" s="959">
        <v>7400000</v>
      </c>
      <c r="X79" s="1050">
        <v>6051564</v>
      </c>
      <c r="Y79" s="1050">
        <v>6051564</v>
      </c>
      <c r="Z79" s="1622">
        <v>20</v>
      </c>
      <c r="AA79" s="1730" t="s">
        <v>71</v>
      </c>
      <c r="AB79" s="3446"/>
      <c r="AC79" s="3446"/>
      <c r="AD79" s="3446"/>
      <c r="AE79" s="3446"/>
      <c r="AF79" s="3446"/>
      <c r="AG79" s="3446"/>
      <c r="AH79" s="3446"/>
      <c r="AI79" s="3362"/>
      <c r="AJ79" s="3446"/>
      <c r="AK79" s="3362"/>
      <c r="AL79" s="3446"/>
      <c r="AM79" s="3362"/>
      <c r="AN79" s="3446"/>
      <c r="AO79" s="3446"/>
      <c r="AP79" s="3446"/>
      <c r="AQ79" s="1731"/>
      <c r="AR79" s="3508"/>
      <c r="AS79" s="1731"/>
      <c r="AT79" s="3508"/>
      <c r="AU79" s="1731"/>
      <c r="AV79" s="3508"/>
      <c r="AW79" s="1731"/>
      <c r="AX79" s="3508"/>
      <c r="AY79" s="1731"/>
      <c r="AZ79" s="3362"/>
      <c r="BA79" s="3362"/>
      <c r="BB79" s="3508"/>
      <c r="BC79" s="1731"/>
      <c r="BD79" s="3508"/>
      <c r="BE79" s="1731"/>
      <c r="BF79" s="3362"/>
      <c r="BG79" s="3446"/>
      <c r="BH79" s="3446"/>
      <c r="BI79" s="3409"/>
      <c r="BJ79" s="3409"/>
      <c r="BK79" s="3412"/>
      <c r="BL79" s="1742">
        <v>88</v>
      </c>
      <c r="BM79" s="1733" t="s">
        <v>1472</v>
      </c>
      <c r="BN79" s="1738">
        <v>43480</v>
      </c>
      <c r="BO79" s="1738">
        <v>43516</v>
      </c>
      <c r="BP79" s="1738">
        <v>43819</v>
      </c>
      <c r="BQ79" s="1738">
        <v>43809</v>
      </c>
      <c r="BR79" s="3506"/>
      <c r="BS79" s="1569"/>
      <c r="BT79" s="1569"/>
    </row>
    <row r="80" spans="1:72" s="571" customFormat="1" ht="52.5" customHeight="1" x14ac:dyDescent="0.25">
      <c r="A80" s="3369"/>
      <c r="B80" s="3373"/>
      <c r="C80" s="3374"/>
      <c r="D80" s="3499"/>
      <c r="E80" s="3499"/>
      <c r="F80" s="3499"/>
      <c r="G80" s="1727"/>
      <c r="H80" s="1728"/>
      <c r="I80" s="1729"/>
      <c r="J80" s="3400"/>
      <c r="K80" s="3402"/>
      <c r="L80" s="3402"/>
      <c r="M80" s="3502"/>
      <c r="N80" s="3516"/>
      <c r="O80" s="1741"/>
      <c r="P80" s="3470"/>
      <c r="Q80" s="3471"/>
      <c r="R80" s="3512"/>
      <c r="S80" s="3476"/>
      <c r="T80" s="3401"/>
      <c r="U80" s="3478"/>
      <c r="V80" s="1684" t="s">
        <v>1473</v>
      </c>
      <c r="W80" s="959">
        <v>18700000</v>
      </c>
      <c r="X80" s="1050">
        <v>1904358</v>
      </c>
      <c r="Y80" s="1050">
        <v>1904358</v>
      </c>
      <c r="Z80" s="1622">
        <v>20</v>
      </c>
      <c r="AA80" s="1730" t="s">
        <v>71</v>
      </c>
      <c r="AB80" s="3446"/>
      <c r="AC80" s="3446"/>
      <c r="AD80" s="3446"/>
      <c r="AE80" s="3446"/>
      <c r="AF80" s="3446"/>
      <c r="AG80" s="3446"/>
      <c r="AH80" s="3446"/>
      <c r="AI80" s="3362"/>
      <c r="AJ80" s="3446"/>
      <c r="AK80" s="3362"/>
      <c r="AL80" s="3446"/>
      <c r="AM80" s="3362"/>
      <c r="AN80" s="3446"/>
      <c r="AO80" s="3446"/>
      <c r="AP80" s="3446"/>
      <c r="AQ80" s="1731"/>
      <c r="AR80" s="3508"/>
      <c r="AS80" s="1731"/>
      <c r="AT80" s="3508"/>
      <c r="AU80" s="1731"/>
      <c r="AV80" s="3508"/>
      <c r="AW80" s="1731"/>
      <c r="AX80" s="3508"/>
      <c r="AY80" s="1731"/>
      <c r="AZ80" s="3362"/>
      <c r="BA80" s="3362"/>
      <c r="BB80" s="3508"/>
      <c r="BC80" s="1731"/>
      <c r="BD80" s="3508"/>
      <c r="BE80" s="1731"/>
      <c r="BF80" s="3362"/>
      <c r="BG80" s="3446"/>
      <c r="BH80" s="3446"/>
      <c r="BI80" s="3409"/>
      <c r="BJ80" s="3409"/>
      <c r="BK80" s="3412"/>
      <c r="BL80" s="1732"/>
      <c r="BM80" s="1733"/>
      <c r="BN80" s="1738">
        <v>43511</v>
      </c>
      <c r="BO80" s="1738">
        <v>43516</v>
      </c>
      <c r="BP80" s="1738">
        <v>43819</v>
      </c>
      <c r="BQ80" s="1738">
        <v>43809</v>
      </c>
      <c r="BR80" s="3506"/>
      <c r="BS80" s="1569"/>
      <c r="BT80" s="1569"/>
    </row>
    <row r="81" spans="1:72" s="571" customFormat="1" ht="46.5" customHeight="1" x14ac:dyDescent="0.25">
      <c r="A81" s="3369"/>
      <c r="B81" s="3373"/>
      <c r="C81" s="3374"/>
      <c r="D81" s="3499"/>
      <c r="E81" s="3499"/>
      <c r="F81" s="3499"/>
      <c r="G81" s="1727"/>
      <c r="H81" s="1728"/>
      <c r="I81" s="1729"/>
      <c r="J81" s="3400"/>
      <c r="K81" s="3402"/>
      <c r="L81" s="3402"/>
      <c r="M81" s="3502"/>
      <c r="N81" s="3516"/>
      <c r="O81" s="1741" t="s">
        <v>1474</v>
      </c>
      <c r="P81" s="3470"/>
      <c r="Q81" s="3471"/>
      <c r="R81" s="3512"/>
      <c r="S81" s="3476"/>
      <c r="T81" s="3401"/>
      <c r="U81" s="3478"/>
      <c r="V81" s="1684" t="s">
        <v>1475</v>
      </c>
      <c r="W81" s="959">
        <v>6000000</v>
      </c>
      <c r="X81" s="1050">
        <v>0</v>
      </c>
      <c r="Y81" s="1644">
        <v>0</v>
      </c>
      <c r="Z81" s="1622">
        <v>20</v>
      </c>
      <c r="AA81" s="1730" t="s">
        <v>71</v>
      </c>
      <c r="AB81" s="3446"/>
      <c r="AC81" s="3446"/>
      <c r="AD81" s="3446"/>
      <c r="AE81" s="3446"/>
      <c r="AF81" s="3446"/>
      <c r="AG81" s="3446"/>
      <c r="AH81" s="3446"/>
      <c r="AI81" s="3362"/>
      <c r="AJ81" s="3446"/>
      <c r="AK81" s="3362"/>
      <c r="AL81" s="3446"/>
      <c r="AM81" s="3362"/>
      <c r="AN81" s="3446"/>
      <c r="AO81" s="3446"/>
      <c r="AP81" s="3446"/>
      <c r="AQ81" s="1731"/>
      <c r="AR81" s="3508"/>
      <c r="AS81" s="1731"/>
      <c r="AT81" s="3508"/>
      <c r="AU81" s="1731"/>
      <c r="AV81" s="3508"/>
      <c r="AW81" s="1731"/>
      <c r="AX81" s="3508"/>
      <c r="AY81" s="1731"/>
      <c r="AZ81" s="3362"/>
      <c r="BA81" s="3362"/>
      <c r="BB81" s="3508"/>
      <c r="BC81" s="1731"/>
      <c r="BD81" s="3508"/>
      <c r="BE81" s="1731"/>
      <c r="BF81" s="3362"/>
      <c r="BG81" s="3446"/>
      <c r="BH81" s="3446"/>
      <c r="BI81" s="3409"/>
      <c r="BJ81" s="3409"/>
      <c r="BK81" s="3412"/>
      <c r="BL81" s="1732"/>
      <c r="BM81" s="1733"/>
      <c r="BN81" s="1738">
        <v>43480</v>
      </c>
      <c r="BO81" s="1738"/>
      <c r="BP81" s="1738">
        <v>43819</v>
      </c>
      <c r="BQ81" s="1738"/>
      <c r="BR81" s="3506"/>
      <c r="BS81" s="1569"/>
      <c r="BT81" s="1569"/>
    </row>
    <row r="82" spans="1:72" s="571" customFormat="1" ht="58.5" customHeight="1" x14ac:dyDescent="0.25">
      <c r="A82" s="3369"/>
      <c r="B82" s="3373"/>
      <c r="C82" s="3374"/>
      <c r="D82" s="3499"/>
      <c r="E82" s="3499"/>
      <c r="F82" s="3499"/>
      <c r="G82" s="1727"/>
      <c r="H82" s="1728"/>
      <c r="I82" s="1729"/>
      <c r="J82" s="3400"/>
      <c r="K82" s="3402"/>
      <c r="L82" s="3402"/>
      <c r="M82" s="3502"/>
      <c r="N82" s="3516"/>
      <c r="O82" s="1741"/>
      <c r="P82" s="3470"/>
      <c r="Q82" s="3471"/>
      <c r="R82" s="3512"/>
      <c r="S82" s="3476"/>
      <c r="T82" s="3401"/>
      <c r="U82" s="3478"/>
      <c r="V82" s="1684" t="s">
        <v>1476</v>
      </c>
      <c r="W82" s="959">
        <v>2500000</v>
      </c>
      <c r="X82" s="1050">
        <v>0</v>
      </c>
      <c r="Y82" s="1644">
        <v>0</v>
      </c>
      <c r="Z82" s="1622">
        <v>20</v>
      </c>
      <c r="AA82" s="1730" t="s">
        <v>71</v>
      </c>
      <c r="AB82" s="3446"/>
      <c r="AC82" s="3446"/>
      <c r="AD82" s="3446"/>
      <c r="AE82" s="3446"/>
      <c r="AF82" s="3446"/>
      <c r="AG82" s="3446"/>
      <c r="AH82" s="3446"/>
      <c r="AI82" s="3362"/>
      <c r="AJ82" s="3446"/>
      <c r="AK82" s="3362"/>
      <c r="AL82" s="3446"/>
      <c r="AM82" s="3362"/>
      <c r="AN82" s="3446"/>
      <c r="AO82" s="3446"/>
      <c r="AP82" s="3446"/>
      <c r="AQ82" s="1731"/>
      <c r="AR82" s="3508"/>
      <c r="AS82" s="1731"/>
      <c r="AT82" s="3508"/>
      <c r="AU82" s="1731"/>
      <c r="AV82" s="3508"/>
      <c r="AW82" s="1731"/>
      <c r="AX82" s="3508"/>
      <c r="AY82" s="1731"/>
      <c r="AZ82" s="3362"/>
      <c r="BA82" s="3362"/>
      <c r="BB82" s="3508"/>
      <c r="BC82" s="1731"/>
      <c r="BD82" s="3508"/>
      <c r="BE82" s="1731"/>
      <c r="BF82" s="3362"/>
      <c r="BG82" s="3446"/>
      <c r="BH82" s="3446"/>
      <c r="BI82" s="3409"/>
      <c r="BJ82" s="3409"/>
      <c r="BK82" s="3412"/>
      <c r="BL82" s="1732"/>
      <c r="BM82" s="1733"/>
      <c r="BN82" s="1738">
        <v>43539</v>
      </c>
      <c r="BO82" s="1738"/>
      <c r="BP82" s="1738">
        <v>43819</v>
      </c>
      <c r="BQ82" s="1738"/>
      <c r="BR82" s="3506"/>
      <c r="BS82" s="1569"/>
      <c r="BT82" s="1569"/>
    </row>
    <row r="83" spans="1:72" s="571" customFormat="1" ht="66.75" customHeight="1" x14ac:dyDescent="0.25">
      <c r="A83" s="3369"/>
      <c r="B83" s="3373"/>
      <c r="C83" s="3374"/>
      <c r="D83" s="3499"/>
      <c r="E83" s="3499"/>
      <c r="F83" s="3499"/>
      <c r="G83" s="1727"/>
      <c r="H83" s="1728"/>
      <c r="I83" s="1729"/>
      <c r="J83" s="3513"/>
      <c r="K83" s="3514"/>
      <c r="L83" s="3514"/>
      <c r="M83" s="3515"/>
      <c r="N83" s="3516"/>
      <c r="O83" s="1721"/>
      <c r="P83" s="3470"/>
      <c r="Q83" s="3471"/>
      <c r="R83" s="3517"/>
      <c r="S83" s="3476"/>
      <c r="T83" s="3401"/>
      <c r="U83" s="3478"/>
      <c r="V83" s="1684" t="s">
        <v>1477</v>
      </c>
      <c r="W83" s="959">
        <v>2000000</v>
      </c>
      <c r="X83" s="1050">
        <v>0</v>
      </c>
      <c r="Y83" s="1644">
        <v>0</v>
      </c>
      <c r="Z83" s="1622">
        <v>20</v>
      </c>
      <c r="AA83" s="1730" t="s">
        <v>71</v>
      </c>
      <c r="AB83" s="3446"/>
      <c r="AC83" s="3446"/>
      <c r="AD83" s="3446"/>
      <c r="AE83" s="3446"/>
      <c r="AF83" s="3446"/>
      <c r="AG83" s="3446"/>
      <c r="AH83" s="3446"/>
      <c r="AI83" s="3362"/>
      <c r="AJ83" s="3446"/>
      <c r="AK83" s="3362"/>
      <c r="AL83" s="3446"/>
      <c r="AM83" s="3362"/>
      <c r="AN83" s="3446"/>
      <c r="AO83" s="3446"/>
      <c r="AP83" s="3446"/>
      <c r="AQ83" s="1731"/>
      <c r="AR83" s="3508"/>
      <c r="AS83" s="1731"/>
      <c r="AT83" s="3508"/>
      <c r="AU83" s="1731"/>
      <c r="AV83" s="3508"/>
      <c r="AW83" s="1731"/>
      <c r="AX83" s="3508"/>
      <c r="AY83" s="1731"/>
      <c r="AZ83" s="3362"/>
      <c r="BA83" s="3362"/>
      <c r="BB83" s="3508"/>
      <c r="BC83" s="1731"/>
      <c r="BD83" s="3508"/>
      <c r="BE83" s="1731"/>
      <c r="BF83" s="3362"/>
      <c r="BG83" s="3446"/>
      <c r="BH83" s="3446"/>
      <c r="BI83" s="3409"/>
      <c r="BJ83" s="3409"/>
      <c r="BK83" s="3412"/>
      <c r="BL83" s="1732"/>
      <c r="BM83" s="1733"/>
      <c r="BN83" s="1738">
        <v>43539</v>
      </c>
      <c r="BO83" s="1738"/>
      <c r="BP83" s="1738">
        <v>43819</v>
      </c>
      <c r="BQ83" s="1738"/>
      <c r="BR83" s="3506"/>
      <c r="BS83" s="1569"/>
      <c r="BT83" s="1569"/>
    </row>
    <row r="84" spans="1:72" s="571" customFormat="1" ht="22.5" customHeight="1" x14ac:dyDescent="0.25">
      <c r="A84" s="3369"/>
      <c r="B84" s="3373"/>
      <c r="C84" s="3374"/>
      <c r="D84" s="3499"/>
      <c r="E84" s="3499"/>
      <c r="F84" s="3499"/>
      <c r="G84" s="1727"/>
      <c r="H84" s="1728"/>
      <c r="I84" s="1729"/>
      <c r="J84" s="3513"/>
      <c r="K84" s="3514"/>
      <c r="L84" s="3514"/>
      <c r="M84" s="3515"/>
      <c r="N84" s="3516"/>
      <c r="O84" s="1721"/>
      <c r="P84" s="3470"/>
      <c r="Q84" s="3471"/>
      <c r="R84" s="3517"/>
      <c r="S84" s="3476"/>
      <c r="T84" s="3401"/>
      <c r="U84" s="3478"/>
      <c r="V84" s="1684" t="s">
        <v>1462</v>
      </c>
      <c r="W84" s="959">
        <v>3400000</v>
      </c>
      <c r="X84" s="1050">
        <v>0</v>
      </c>
      <c r="Y84" s="1644">
        <v>0</v>
      </c>
      <c r="Z84" s="1622">
        <v>20</v>
      </c>
      <c r="AA84" s="1730" t="s">
        <v>71</v>
      </c>
      <c r="AB84" s="3446"/>
      <c r="AC84" s="3446"/>
      <c r="AD84" s="3446"/>
      <c r="AE84" s="3446"/>
      <c r="AF84" s="3446"/>
      <c r="AG84" s="3446"/>
      <c r="AH84" s="3446"/>
      <c r="AI84" s="3362"/>
      <c r="AJ84" s="3446"/>
      <c r="AK84" s="3362"/>
      <c r="AL84" s="3446"/>
      <c r="AM84" s="3362"/>
      <c r="AN84" s="3446"/>
      <c r="AO84" s="3446"/>
      <c r="AP84" s="3446"/>
      <c r="AQ84" s="1731"/>
      <c r="AR84" s="3508"/>
      <c r="AS84" s="1731"/>
      <c r="AT84" s="3508"/>
      <c r="AU84" s="1731"/>
      <c r="AV84" s="3508"/>
      <c r="AW84" s="1731"/>
      <c r="AX84" s="3508"/>
      <c r="AY84" s="1731"/>
      <c r="AZ84" s="3362"/>
      <c r="BA84" s="3362"/>
      <c r="BB84" s="3508"/>
      <c r="BC84" s="1731"/>
      <c r="BD84" s="3508"/>
      <c r="BE84" s="1731"/>
      <c r="BF84" s="3362"/>
      <c r="BG84" s="3446"/>
      <c r="BH84" s="3446"/>
      <c r="BI84" s="3409"/>
      <c r="BJ84" s="3409"/>
      <c r="BK84" s="3412"/>
      <c r="BL84" s="1732"/>
      <c r="BM84" s="1733"/>
      <c r="BN84" s="1738">
        <v>43539</v>
      </c>
      <c r="BO84" s="1738"/>
      <c r="BP84" s="1738">
        <v>43819</v>
      </c>
      <c r="BQ84" s="1738"/>
      <c r="BR84" s="3506"/>
      <c r="BS84" s="1569"/>
      <c r="BT84" s="1569"/>
    </row>
    <row r="85" spans="1:72" s="571" customFormat="1" ht="62.25" customHeight="1" x14ac:dyDescent="0.25">
      <c r="A85" s="3369"/>
      <c r="B85" s="3373"/>
      <c r="C85" s="3374"/>
      <c r="D85" s="3499"/>
      <c r="E85" s="3499"/>
      <c r="F85" s="3499"/>
      <c r="G85" s="1727"/>
      <c r="H85" s="1728"/>
      <c r="I85" s="1729"/>
      <c r="J85" s="3400">
        <v>229</v>
      </c>
      <c r="K85" s="3401" t="s">
        <v>1478</v>
      </c>
      <c r="L85" s="3402" t="s">
        <v>1479</v>
      </c>
      <c r="M85" s="3502">
        <v>13</v>
      </c>
      <c r="N85" s="3502">
        <v>1</v>
      </c>
      <c r="O85" s="1721"/>
      <c r="P85" s="3470"/>
      <c r="Q85" s="3471"/>
      <c r="R85" s="3504">
        <f>SUM(W85:W86)/S68</f>
        <v>0.1447661469933185</v>
      </c>
      <c r="S85" s="3476"/>
      <c r="T85" s="3401"/>
      <c r="U85" s="3478"/>
      <c r="V85" s="999" t="s">
        <v>1480</v>
      </c>
      <c r="W85" s="959">
        <v>15400000</v>
      </c>
      <c r="X85" s="1050">
        <v>5000000</v>
      </c>
      <c r="Y85" s="1644">
        <v>1000000</v>
      </c>
      <c r="Z85" s="1622">
        <v>20</v>
      </c>
      <c r="AA85" s="1730" t="s">
        <v>71</v>
      </c>
      <c r="AB85" s="3446"/>
      <c r="AC85" s="3446"/>
      <c r="AD85" s="3446"/>
      <c r="AE85" s="3446"/>
      <c r="AF85" s="3446"/>
      <c r="AG85" s="3446"/>
      <c r="AH85" s="3446"/>
      <c r="AI85" s="3362"/>
      <c r="AJ85" s="3446"/>
      <c r="AK85" s="3362"/>
      <c r="AL85" s="3446"/>
      <c r="AM85" s="3362"/>
      <c r="AN85" s="3446"/>
      <c r="AO85" s="3446"/>
      <c r="AP85" s="3446"/>
      <c r="AQ85" s="1731"/>
      <c r="AR85" s="3508"/>
      <c r="AS85" s="1731"/>
      <c r="AT85" s="3508"/>
      <c r="AU85" s="1731"/>
      <c r="AV85" s="3508"/>
      <c r="AW85" s="1731"/>
      <c r="AX85" s="3508"/>
      <c r="AY85" s="1731"/>
      <c r="AZ85" s="3362"/>
      <c r="BA85" s="3362"/>
      <c r="BB85" s="3508"/>
      <c r="BC85" s="1731"/>
      <c r="BD85" s="3508"/>
      <c r="BE85" s="1731"/>
      <c r="BF85" s="3362"/>
      <c r="BG85" s="3446"/>
      <c r="BH85" s="3446"/>
      <c r="BI85" s="3409"/>
      <c r="BJ85" s="3409"/>
      <c r="BK85" s="3412"/>
      <c r="BL85" s="1732"/>
      <c r="BM85" s="1733"/>
      <c r="BN85" s="1738">
        <v>43475</v>
      </c>
      <c r="BO85" s="1738">
        <v>43516</v>
      </c>
      <c r="BP85" s="1738">
        <v>43646</v>
      </c>
      <c r="BQ85" s="1734">
        <v>43753</v>
      </c>
      <c r="BR85" s="3506"/>
      <c r="BS85" s="1569"/>
      <c r="BT85" s="1569"/>
    </row>
    <row r="86" spans="1:72" s="571" customFormat="1" ht="69.75" customHeight="1" x14ac:dyDescent="0.25">
      <c r="A86" s="3369"/>
      <c r="B86" s="3373"/>
      <c r="C86" s="3374"/>
      <c r="D86" s="3499"/>
      <c r="E86" s="3499"/>
      <c r="F86" s="3499"/>
      <c r="G86" s="1727"/>
      <c r="H86" s="1728"/>
      <c r="I86" s="1729"/>
      <c r="J86" s="3400"/>
      <c r="K86" s="3401"/>
      <c r="L86" s="3402"/>
      <c r="M86" s="3502"/>
      <c r="N86" s="3502"/>
      <c r="O86" s="1721"/>
      <c r="P86" s="3470"/>
      <c r="Q86" s="3471"/>
      <c r="R86" s="3504"/>
      <c r="S86" s="3476"/>
      <c r="T86" s="3401"/>
      <c r="U86" s="3478"/>
      <c r="V86" s="999" t="s">
        <v>1481</v>
      </c>
      <c r="W86" s="959">
        <v>49600000</v>
      </c>
      <c r="X86" s="1050">
        <f>5500000+6591000+11591000</f>
        <v>23682000</v>
      </c>
      <c r="Y86" s="1644">
        <f>1900000+2798000+4596000</f>
        <v>9294000</v>
      </c>
      <c r="Z86" s="1622">
        <v>20</v>
      </c>
      <c r="AA86" s="1730" t="s">
        <v>71</v>
      </c>
      <c r="AB86" s="3446"/>
      <c r="AC86" s="3446"/>
      <c r="AD86" s="3446"/>
      <c r="AE86" s="3446"/>
      <c r="AF86" s="3446"/>
      <c r="AG86" s="3446"/>
      <c r="AH86" s="3446"/>
      <c r="AI86" s="3362"/>
      <c r="AJ86" s="3446"/>
      <c r="AK86" s="3362"/>
      <c r="AL86" s="3446"/>
      <c r="AM86" s="3362"/>
      <c r="AN86" s="3446"/>
      <c r="AO86" s="3446"/>
      <c r="AP86" s="3446"/>
      <c r="AQ86" s="1731"/>
      <c r="AR86" s="3508"/>
      <c r="AS86" s="1731"/>
      <c r="AT86" s="3508"/>
      <c r="AU86" s="1731"/>
      <c r="AV86" s="3508"/>
      <c r="AW86" s="1731"/>
      <c r="AX86" s="3508"/>
      <c r="AY86" s="1731"/>
      <c r="AZ86" s="3362"/>
      <c r="BA86" s="3362"/>
      <c r="BB86" s="3508"/>
      <c r="BC86" s="1731"/>
      <c r="BD86" s="3508"/>
      <c r="BE86" s="1731"/>
      <c r="BF86" s="3362"/>
      <c r="BG86" s="3446"/>
      <c r="BH86" s="3446"/>
      <c r="BI86" s="3409"/>
      <c r="BJ86" s="3409"/>
      <c r="BK86" s="3412"/>
      <c r="BL86" s="1732"/>
      <c r="BM86" s="1733"/>
      <c r="BN86" s="1738">
        <v>43475</v>
      </c>
      <c r="BO86" s="1738">
        <v>43516</v>
      </c>
      <c r="BP86" s="1738">
        <v>43646</v>
      </c>
      <c r="BQ86" s="1738">
        <v>43809</v>
      </c>
      <c r="BR86" s="3506"/>
      <c r="BS86" s="1569"/>
      <c r="BT86" s="1569"/>
    </row>
    <row r="87" spans="1:72" s="571" customFormat="1" ht="51" customHeight="1" x14ac:dyDescent="0.25">
      <c r="A87" s="3369"/>
      <c r="B87" s="3373"/>
      <c r="C87" s="3374"/>
      <c r="D87" s="3499"/>
      <c r="E87" s="3499"/>
      <c r="F87" s="3499"/>
      <c r="G87" s="1727"/>
      <c r="H87" s="1728"/>
      <c r="I87" s="1729"/>
      <c r="J87" s="3400">
        <v>230</v>
      </c>
      <c r="K87" s="3402" t="s">
        <v>1482</v>
      </c>
      <c r="L87" s="3402" t="s">
        <v>1483</v>
      </c>
      <c r="M87" s="3463">
        <v>1</v>
      </c>
      <c r="N87" s="3521">
        <v>0.25</v>
      </c>
      <c r="O87" s="1721"/>
      <c r="P87" s="3470"/>
      <c r="Q87" s="3471"/>
      <c r="R87" s="3504">
        <f>SUM(W87:W90)/S68</f>
        <v>0.12026726057906459</v>
      </c>
      <c r="S87" s="3476"/>
      <c r="T87" s="3401"/>
      <c r="U87" s="3478"/>
      <c r="V87" s="1684" t="s">
        <v>1484</v>
      </c>
      <c r="W87" s="959">
        <v>17000000</v>
      </c>
      <c r="X87" s="1050">
        <v>8050000</v>
      </c>
      <c r="Y87" s="1644">
        <v>3300000</v>
      </c>
      <c r="Z87" s="1622">
        <v>20</v>
      </c>
      <c r="AA87" s="1730" t="s">
        <v>71</v>
      </c>
      <c r="AB87" s="3446"/>
      <c r="AC87" s="3446"/>
      <c r="AD87" s="3446"/>
      <c r="AE87" s="3446"/>
      <c r="AF87" s="3446"/>
      <c r="AG87" s="3446"/>
      <c r="AH87" s="3446"/>
      <c r="AI87" s="3362"/>
      <c r="AJ87" s="3446"/>
      <c r="AK87" s="3362"/>
      <c r="AL87" s="3446"/>
      <c r="AM87" s="3362"/>
      <c r="AN87" s="3446"/>
      <c r="AO87" s="3446"/>
      <c r="AP87" s="3446"/>
      <c r="AQ87" s="1731"/>
      <c r="AR87" s="3508"/>
      <c r="AS87" s="1731"/>
      <c r="AT87" s="3508"/>
      <c r="AU87" s="1731"/>
      <c r="AV87" s="3508"/>
      <c r="AW87" s="1731"/>
      <c r="AX87" s="3508"/>
      <c r="AY87" s="1731"/>
      <c r="AZ87" s="3362"/>
      <c r="BA87" s="3362"/>
      <c r="BB87" s="3508"/>
      <c r="BC87" s="1731"/>
      <c r="BD87" s="3508"/>
      <c r="BE87" s="1731"/>
      <c r="BF87" s="3362"/>
      <c r="BG87" s="3446"/>
      <c r="BH87" s="3446"/>
      <c r="BI87" s="3409"/>
      <c r="BJ87" s="3409"/>
      <c r="BK87" s="3412"/>
      <c r="BL87" s="1732"/>
      <c r="BM87" s="1733"/>
      <c r="BN87" s="1738">
        <v>43475</v>
      </c>
      <c r="BO87" s="1738">
        <v>43516</v>
      </c>
      <c r="BP87" s="1738">
        <v>43646</v>
      </c>
      <c r="BQ87" s="1738">
        <v>43809</v>
      </c>
      <c r="BR87" s="3506"/>
      <c r="BS87" s="1569"/>
      <c r="BT87" s="1569"/>
    </row>
    <row r="88" spans="1:72" s="571" customFormat="1" ht="51" customHeight="1" x14ac:dyDescent="0.25">
      <c r="A88" s="3369"/>
      <c r="B88" s="3373"/>
      <c r="C88" s="3374"/>
      <c r="D88" s="3499"/>
      <c r="E88" s="3499"/>
      <c r="F88" s="3499"/>
      <c r="G88" s="1727"/>
      <c r="H88" s="1728"/>
      <c r="I88" s="1729"/>
      <c r="J88" s="3400"/>
      <c r="K88" s="3402"/>
      <c r="L88" s="3402"/>
      <c r="M88" s="3463"/>
      <c r="N88" s="3521"/>
      <c r="O88" s="1721"/>
      <c r="P88" s="3470"/>
      <c r="Q88" s="3471"/>
      <c r="R88" s="3504"/>
      <c r="S88" s="3476"/>
      <c r="T88" s="3401"/>
      <c r="U88" s="3478"/>
      <c r="V88" s="1684" t="s">
        <v>1485</v>
      </c>
      <c r="W88" s="959">
        <v>10000000</v>
      </c>
      <c r="X88" s="1050">
        <v>3500000</v>
      </c>
      <c r="Y88" s="1644">
        <v>1935000</v>
      </c>
      <c r="Z88" s="1622">
        <v>20</v>
      </c>
      <c r="AA88" s="1730" t="s">
        <v>71</v>
      </c>
      <c r="AB88" s="3446"/>
      <c r="AC88" s="3446"/>
      <c r="AD88" s="3446"/>
      <c r="AE88" s="3446"/>
      <c r="AF88" s="3446"/>
      <c r="AG88" s="3446"/>
      <c r="AH88" s="3446"/>
      <c r="AI88" s="3362"/>
      <c r="AJ88" s="3446"/>
      <c r="AK88" s="3362"/>
      <c r="AL88" s="3446"/>
      <c r="AM88" s="3362"/>
      <c r="AN88" s="3446"/>
      <c r="AO88" s="3446"/>
      <c r="AP88" s="3446"/>
      <c r="AQ88" s="1731"/>
      <c r="AR88" s="3508"/>
      <c r="AS88" s="1731"/>
      <c r="AT88" s="3508"/>
      <c r="AU88" s="1731"/>
      <c r="AV88" s="3508"/>
      <c r="AW88" s="1731"/>
      <c r="AX88" s="3508"/>
      <c r="AY88" s="1731"/>
      <c r="AZ88" s="3362"/>
      <c r="BA88" s="3362"/>
      <c r="BB88" s="3508"/>
      <c r="BC88" s="1731"/>
      <c r="BD88" s="3508"/>
      <c r="BE88" s="1731"/>
      <c r="BF88" s="3362"/>
      <c r="BG88" s="3446"/>
      <c r="BH88" s="3446"/>
      <c r="BI88" s="3409"/>
      <c r="BJ88" s="3409"/>
      <c r="BK88" s="3412"/>
      <c r="BL88" s="1732"/>
      <c r="BM88" s="1733"/>
      <c r="BN88" s="1738">
        <v>43529</v>
      </c>
      <c r="BO88" s="1738">
        <v>43516</v>
      </c>
      <c r="BP88" s="1738">
        <v>43646</v>
      </c>
      <c r="BQ88" s="1734">
        <v>43753</v>
      </c>
      <c r="BR88" s="3506"/>
      <c r="BS88" s="1569"/>
      <c r="BT88" s="1569"/>
    </row>
    <row r="89" spans="1:72" s="571" customFormat="1" ht="41.25" customHeight="1" x14ac:dyDescent="0.25">
      <c r="A89" s="3369"/>
      <c r="B89" s="3373"/>
      <c r="C89" s="3374"/>
      <c r="D89" s="3499"/>
      <c r="E89" s="3499"/>
      <c r="F89" s="3499"/>
      <c r="G89" s="1727"/>
      <c r="H89" s="1728"/>
      <c r="I89" s="1729"/>
      <c r="J89" s="3400"/>
      <c r="K89" s="3402"/>
      <c r="L89" s="3402"/>
      <c r="M89" s="3463"/>
      <c r="N89" s="3521"/>
      <c r="O89" s="1721"/>
      <c r="P89" s="3470"/>
      <c r="Q89" s="3471"/>
      <c r="R89" s="3504"/>
      <c r="S89" s="3476"/>
      <c r="T89" s="3401"/>
      <c r="U89" s="3478"/>
      <c r="V89" s="1684" t="s">
        <v>1486</v>
      </c>
      <c r="W89" s="959">
        <v>22000000</v>
      </c>
      <c r="X89" s="1050">
        <f>4050000+3091000+2567333</f>
        <v>9708333</v>
      </c>
      <c r="Y89" s="1644">
        <f>1000000+1500000+1798000</f>
        <v>4298000</v>
      </c>
      <c r="Z89" s="1622">
        <v>20</v>
      </c>
      <c r="AA89" s="1730" t="s">
        <v>71</v>
      </c>
      <c r="AB89" s="3446"/>
      <c r="AC89" s="3446"/>
      <c r="AD89" s="3446"/>
      <c r="AE89" s="3446"/>
      <c r="AF89" s="3446"/>
      <c r="AG89" s="3446"/>
      <c r="AH89" s="3446"/>
      <c r="AI89" s="3362"/>
      <c r="AJ89" s="3446"/>
      <c r="AK89" s="3362"/>
      <c r="AL89" s="3446"/>
      <c r="AM89" s="3362"/>
      <c r="AN89" s="3446"/>
      <c r="AO89" s="3446"/>
      <c r="AP89" s="3446"/>
      <c r="AQ89" s="1731"/>
      <c r="AR89" s="3508"/>
      <c r="AS89" s="1731"/>
      <c r="AT89" s="3508"/>
      <c r="AU89" s="1731"/>
      <c r="AV89" s="3508"/>
      <c r="AW89" s="1731"/>
      <c r="AX89" s="3508"/>
      <c r="AY89" s="1731"/>
      <c r="AZ89" s="3362"/>
      <c r="BA89" s="3362"/>
      <c r="BB89" s="3508"/>
      <c r="BC89" s="1731"/>
      <c r="BD89" s="3508"/>
      <c r="BE89" s="1731"/>
      <c r="BF89" s="3362"/>
      <c r="BG89" s="3446"/>
      <c r="BH89" s="3446"/>
      <c r="BI89" s="3409"/>
      <c r="BJ89" s="3409"/>
      <c r="BK89" s="3412"/>
      <c r="BL89" s="1732"/>
      <c r="BM89" s="1733"/>
      <c r="BN89" s="1738">
        <v>43475</v>
      </c>
      <c r="BO89" s="1738">
        <v>43517</v>
      </c>
      <c r="BP89" s="1738">
        <v>43646</v>
      </c>
      <c r="BQ89" s="1734">
        <v>43754</v>
      </c>
      <c r="BR89" s="3506"/>
      <c r="BS89" s="1569"/>
      <c r="BT89" s="1569"/>
    </row>
    <row r="90" spans="1:72" s="571" customFormat="1" ht="30.75" customHeight="1" x14ac:dyDescent="0.25">
      <c r="A90" s="3369"/>
      <c r="B90" s="3373"/>
      <c r="C90" s="3374"/>
      <c r="D90" s="3499"/>
      <c r="E90" s="3499"/>
      <c r="F90" s="3499"/>
      <c r="G90" s="1743"/>
      <c r="H90" s="1744"/>
      <c r="I90" s="1745"/>
      <c r="J90" s="3400"/>
      <c r="K90" s="3402"/>
      <c r="L90" s="3402"/>
      <c r="M90" s="3463"/>
      <c r="N90" s="3521"/>
      <c r="O90" s="1746"/>
      <c r="P90" s="3503"/>
      <c r="Q90" s="3360"/>
      <c r="R90" s="3504"/>
      <c r="S90" s="3477"/>
      <c r="T90" s="3401"/>
      <c r="U90" s="3478"/>
      <c r="V90" s="1684" t="s">
        <v>1462</v>
      </c>
      <c r="W90" s="959">
        <v>5000000</v>
      </c>
      <c r="X90" s="1050">
        <v>0</v>
      </c>
      <c r="Y90" s="1644">
        <v>0</v>
      </c>
      <c r="Z90" s="1622">
        <v>20</v>
      </c>
      <c r="AA90" s="1730" t="s">
        <v>71</v>
      </c>
      <c r="AB90" s="3447"/>
      <c r="AC90" s="3447"/>
      <c r="AD90" s="3447"/>
      <c r="AE90" s="3447"/>
      <c r="AF90" s="3447"/>
      <c r="AG90" s="3447"/>
      <c r="AH90" s="3447"/>
      <c r="AI90" s="3363"/>
      <c r="AJ90" s="3447"/>
      <c r="AK90" s="3363"/>
      <c r="AL90" s="3447"/>
      <c r="AM90" s="3363"/>
      <c r="AN90" s="3447"/>
      <c r="AO90" s="3447"/>
      <c r="AP90" s="3447"/>
      <c r="AQ90" s="1747"/>
      <c r="AR90" s="3509"/>
      <c r="AS90" s="1747"/>
      <c r="AT90" s="3509"/>
      <c r="AU90" s="1747"/>
      <c r="AV90" s="3509"/>
      <c r="AW90" s="1747"/>
      <c r="AX90" s="3509"/>
      <c r="AY90" s="1747"/>
      <c r="AZ90" s="3363"/>
      <c r="BA90" s="3363"/>
      <c r="BB90" s="3509"/>
      <c r="BC90" s="1747"/>
      <c r="BD90" s="3509"/>
      <c r="BE90" s="1747"/>
      <c r="BF90" s="3363"/>
      <c r="BG90" s="3447"/>
      <c r="BH90" s="3447"/>
      <c r="BI90" s="3410"/>
      <c r="BJ90" s="3410"/>
      <c r="BK90" s="3413"/>
      <c r="BL90" s="1748"/>
      <c r="BM90" s="1749"/>
      <c r="BN90" s="1738">
        <v>43539</v>
      </c>
      <c r="BO90" s="1738"/>
      <c r="BP90" s="1738">
        <v>43819</v>
      </c>
      <c r="BQ90" s="1738"/>
      <c r="BR90" s="3506"/>
      <c r="BS90" s="1569"/>
      <c r="BT90" s="1569"/>
    </row>
    <row r="91" spans="1:72" s="1569" customFormat="1" ht="15" customHeight="1" x14ac:dyDescent="0.2">
      <c r="A91" s="3369"/>
      <c r="B91" s="3373"/>
      <c r="C91" s="3374"/>
      <c r="D91" s="3499"/>
      <c r="E91" s="3499"/>
      <c r="F91" s="3499"/>
      <c r="G91" s="1609">
        <v>79</v>
      </c>
      <c r="H91" s="151" t="s">
        <v>1487</v>
      </c>
      <c r="I91" s="151"/>
      <c r="J91" s="1663"/>
      <c r="K91" s="1664"/>
      <c r="L91" s="1665"/>
      <c r="M91" s="1750"/>
      <c r="N91" s="1750"/>
      <c r="O91" s="272"/>
      <c r="P91" s="1751"/>
      <c r="Q91" s="153"/>
      <c r="R91" s="1666"/>
      <c r="S91" s="1667"/>
      <c r="T91" s="1665"/>
      <c r="U91" s="1664"/>
      <c r="V91" s="1664"/>
      <c r="W91" s="1752"/>
      <c r="X91" s="1668"/>
      <c r="Y91" s="1669"/>
      <c r="Z91" s="1715"/>
      <c r="AA91" s="1715"/>
      <c r="AB91" s="1716"/>
      <c r="AC91" s="1716"/>
      <c r="AD91" s="1716"/>
      <c r="AE91" s="1716"/>
      <c r="AF91" s="1716"/>
      <c r="AG91" s="1716"/>
      <c r="AH91" s="1716"/>
      <c r="AI91" s="1716"/>
      <c r="AJ91" s="1716"/>
      <c r="AK91" s="1716"/>
      <c r="AL91" s="1716"/>
      <c r="AM91" s="1716"/>
      <c r="AN91" s="1716"/>
      <c r="AO91" s="1716"/>
      <c r="AP91" s="1716"/>
      <c r="AQ91" s="1716"/>
      <c r="AR91" s="1716"/>
      <c r="AS91" s="1716"/>
      <c r="AT91" s="1716"/>
      <c r="AU91" s="1716"/>
      <c r="AV91" s="1716"/>
      <c r="AW91" s="1716"/>
      <c r="AX91" s="1716"/>
      <c r="AY91" s="1716"/>
      <c r="AZ91" s="1716"/>
      <c r="BA91" s="1716"/>
      <c r="BB91" s="1716"/>
      <c r="BC91" s="1716"/>
      <c r="BD91" s="1716"/>
      <c r="BE91" s="1716"/>
      <c r="BF91" s="1716"/>
      <c r="BG91" s="1716"/>
      <c r="BH91" s="1716"/>
      <c r="BI91" s="156"/>
      <c r="BJ91" s="156"/>
      <c r="BK91" s="1716"/>
      <c r="BL91" s="1716"/>
      <c r="BM91" s="1716"/>
      <c r="BN91" s="1716"/>
      <c r="BO91" s="1716"/>
      <c r="BP91" s="1716"/>
      <c r="BQ91" s="1716"/>
      <c r="BR91" s="1717"/>
    </row>
    <row r="92" spans="1:72" s="571" customFormat="1" ht="55.5" customHeight="1" x14ac:dyDescent="0.2">
      <c r="A92" s="3369"/>
      <c r="B92" s="3373"/>
      <c r="C92" s="3374"/>
      <c r="D92" s="3499"/>
      <c r="E92" s="3499"/>
      <c r="F92" s="3499"/>
      <c r="G92" s="1569"/>
      <c r="H92" s="1618"/>
      <c r="I92" s="1619"/>
      <c r="J92" s="3500">
        <v>231</v>
      </c>
      <c r="K92" s="3402" t="s">
        <v>1488</v>
      </c>
      <c r="L92" s="3402" t="s">
        <v>1489</v>
      </c>
      <c r="M92" s="3464">
        <v>1</v>
      </c>
      <c r="N92" s="3518">
        <v>0.25</v>
      </c>
      <c r="O92" s="1753"/>
      <c r="P92" s="3519" t="s">
        <v>1490</v>
      </c>
      <c r="Q92" s="3359" t="s">
        <v>1491</v>
      </c>
      <c r="R92" s="3523">
        <f>SUM(W92:W93)/S92</f>
        <v>0.10344827586206896</v>
      </c>
      <c r="S92" s="3524">
        <f>SUM(W92:W100)</f>
        <v>58000000</v>
      </c>
      <c r="T92" s="3401" t="s">
        <v>1492</v>
      </c>
      <c r="U92" s="3401" t="s">
        <v>1493</v>
      </c>
      <c r="V92" s="999" t="s">
        <v>1494</v>
      </c>
      <c r="W92" s="1754">
        <v>3000000</v>
      </c>
      <c r="X92" s="1050">
        <f>500000+500000+1500000</f>
        <v>2500000</v>
      </c>
      <c r="Y92" s="959">
        <f>500000+1000000</f>
        <v>1500000</v>
      </c>
      <c r="Z92" s="1622" t="s">
        <v>689</v>
      </c>
      <c r="AA92" s="1755" t="s">
        <v>1447</v>
      </c>
      <c r="AB92" s="3491">
        <v>638</v>
      </c>
      <c r="AC92" s="3491" t="s">
        <v>1495</v>
      </c>
      <c r="AD92" s="3491">
        <v>612</v>
      </c>
      <c r="AE92" s="3491" t="s">
        <v>1496</v>
      </c>
      <c r="AF92" s="3507">
        <v>380</v>
      </c>
      <c r="AG92" s="3507" t="s">
        <v>1497</v>
      </c>
      <c r="AH92" s="3507">
        <v>280</v>
      </c>
      <c r="AI92" s="3507" t="s">
        <v>1498</v>
      </c>
      <c r="AJ92" s="3507">
        <v>161</v>
      </c>
      <c r="AK92" s="3507" t="s">
        <v>1499</v>
      </c>
      <c r="AL92" s="3507">
        <v>429</v>
      </c>
      <c r="AM92" s="3507">
        <v>250</v>
      </c>
      <c r="AN92" s="3507"/>
      <c r="AO92" s="1724"/>
      <c r="AP92" s="3507"/>
      <c r="AQ92" s="1724"/>
      <c r="AR92" s="3507"/>
      <c r="AS92" s="1724"/>
      <c r="AT92" s="3507"/>
      <c r="AU92" s="1724"/>
      <c r="AV92" s="3507"/>
      <c r="AW92" s="1724"/>
      <c r="AX92" s="3507"/>
      <c r="AY92" s="1724"/>
      <c r="AZ92" s="3507"/>
      <c r="BA92" s="1724"/>
      <c r="BB92" s="3507"/>
      <c r="BC92" s="1724"/>
      <c r="BD92" s="3507"/>
      <c r="BE92" s="1724"/>
      <c r="BF92" s="3361">
        <v>1250</v>
      </c>
      <c r="BG92" s="3361" t="s">
        <v>1500</v>
      </c>
      <c r="BH92" s="3361" t="s">
        <v>1501</v>
      </c>
      <c r="BI92" s="3408">
        <f>SUM(X92:X100)</f>
        <v>18450000</v>
      </c>
      <c r="BJ92" s="3408">
        <f>SUM(Y92:Y100)</f>
        <v>7898000</v>
      </c>
      <c r="BK92" s="3411">
        <f>BJ92/BI92</f>
        <v>0.42807588075880759</v>
      </c>
      <c r="BL92" s="1726"/>
      <c r="BM92" s="1726"/>
      <c r="BN92" s="1688">
        <v>43490</v>
      </c>
      <c r="BO92" s="1738">
        <v>43516</v>
      </c>
      <c r="BP92" s="1688">
        <v>43600</v>
      </c>
      <c r="BQ92" s="1688">
        <v>43626</v>
      </c>
      <c r="BR92" s="3505" t="s">
        <v>1421</v>
      </c>
      <c r="BS92" s="1569"/>
      <c r="BT92" s="1569"/>
    </row>
    <row r="93" spans="1:72" s="571" customFormat="1" ht="68.25" customHeight="1" x14ac:dyDescent="0.2">
      <c r="A93" s="3369"/>
      <c r="B93" s="3373"/>
      <c r="C93" s="3374"/>
      <c r="D93" s="3499"/>
      <c r="E93" s="3499"/>
      <c r="F93" s="3499"/>
      <c r="G93" s="1569"/>
      <c r="H93" s="1627"/>
      <c r="I93" s="1628"/>
      <c r="J93" s="3500"/>
      <c r="K93" s="3402"/>
      <c r="L93" s="3402"/>
      <c r="M93" s="3464"/>
      <c r="N93" s="3518"/>
      <c r="O93" s="1756"/>
      <c r="P93" s="3520"/>
      <c r="Q93" s="3471"/>
      <c r="R93" s="3523"/>
      <c r="S93" s="3525"/>
      <c r="T93" s="3401"/>
      <c r="U93" s="3401"/>
      <c r="V93" s="999" t="s">
        <v>1502</v>
      </c>
      <c r="W93" s="1754">
        <v>3000000</v>
      </c>
      <c r="X93" s="1685">
        <f>1500000+1500000</f>
        <v>3000000</v>
      </c>
      <c r="Y93" s="959">
        <v>1250000</v>
      </c>
      <c r="Z93" s="1757">
        <v>20</v>
      </c>
      <c r="AA93" s="1755" t="s">
        <v>71</v>
      </c>
      <c r="AB93" s="3492"/>
      <c r="AC93" s="3492"/>
      <c r="AD93" s="3492"/>
      <c r="AE93" s="3492"/>
      <c r="AF93" s="3508"/>
      <c r="AG93" s="3508"/>
      <c r="AH93" s="3508"/>
      <c r="AI93" s="3508"/>
      <c r="AJ93" s="3508"/>
      <c r="AK93" s="3508"/>
      <c r="AL93" s="3508"/>
      <c r="AM93" s="3508"/>
      <c r="AN93" s="3508"/>
      <c r="AO93" s="1731"/>
      <c r="AP93" s="3508"/>
      <c r="AQ93" s="1731"/>
      <c r="AR93" s="3508"/>
      <c r="AS93" s="1731"/>
      <c r="AT93" s="3508"/>
      <c r="AU93" s="1731"/>
      <c r="AV93" s="3508"/>
      <c r="AW93" s="1731"/>
      <c r="AX93" s="3508"/>
      <c r="AY93" s="1731"/>
      <c r="AZ93" s="3508"/>
      <c r="BA93" s="1731"/>
      <c r="BB93" s="3508"/>
      <c r="BC93" s="1731"/>
      <c r="BD93" s="3508"/>
      <c r="BE93" s="1731"/>
      <c r="BF93" s="3362"/>
      <c r="BG93" s="3362"/>
      <c r="BH93" s="3362"/>
      <c r="BI93" s="3409"/>
      <c r="BJ93" s="3409"/>
      <c r="BK93" s="3412"/>
      <c r="BL93" s="1733"/>
      <c r="BM93" s="1733"/>
      <c r="BN93" s="1688">
        <v>43490</v>
      </c>
      <c r="BO93" s="1738">
        <v>43516</v>
      </c>
      <c r="BP93" s="1688">
        <v>43600</v>
      </c>
      <c r="BQ93" s="1688">
        <v>43626</v>
      </c>
      <c r="BR93" s="3530"/>
      <c r="BS93" s="1569"/>
      <c r="BT93" s="1569"/>
    </row>
    <row r="94" spans="1:72" s="571" customFormat="1" ht="33" customHeight="1" x14ac:dyDescent="0.2">
      <c r="A94" s="3369"/>
      <c r="B94" s="3373"/>
      <c r="C94" s="3374"/>
      <c r="D94" s="3499"/>
      <c r="E94" s="3499"/>
      <c r="F94" s="3499"/>
      <c r="G94" s="1569"/>
      <c r="H94" s="1627"/>
      <c r="I94" s="1628"/>
      <c r="J94" s="3500">
        <v>232</v>
      </c>
      <c r="K94" s="3402" t="s">
        <v>1503</v>
      </c>
      <c r="L94" s="3402" t="s">
        <v>1504</v>
      </c>
      <c r="M94" s="3464">
        <v>12</v>
      </c>
      <c r="N94" s="3416">
        <v>3</v>
      </c>
      <c r="O94" s="1756"/>
      <c r="P94" s="3520"/>
      <c r="Q94" s="3471"/>
      <c r="R94" s="3523">
        <f>SUM(W94:W97)/S92</f>
        <v>0.7068965517241379</v>
      </c>
      <c r="S94" s="3525"/>
      <c r="T94" s="3401"/>
      <c r="U94" s="3401"/>
      <c r="V94" s="3364" t="s">
        <v>1505</v>
      </c>
      <c r="W94" s="1758">
        <v>5000000</v>
      </c>
      <c r="X94" s="1736">
        <v>1500000</v>
      </c>
      <c r="Y94" s="1620">
        <v>1000000</v>
      </c>
      <c r="Z94" s="1757">
        <v>20</v>
      </c>
      <c r="AA94" s="1755" t="s">
        <v>71</v>
      </c>
      <c r="AB94" s="3492"/>
      <c r="AC94" s="3492"/>
      <c r="AD94" s="3492"/>
      <c r="AE94" s="3492"/>
      <c r="AF94" s="3508"/>
      <c r="AG94" s="3508"/>
      <c r="AH94" s="3508"/>
      <c r="AI94" s="3508"/>
      <c r="AJ94" s="3508"/>
      <c r="AK94" s="3508"/>
      <c r="AL94" s="3508"/>
      <c r="AM94" s="3508"/>
      <c r="AN94" s="3508"/>
      <c r="AO94" s="1731"/>
      <c r="AP94" s="3508"/>
      <c r="AQ94" s="1731"/>
      <c r="AR94" s="3508"/>
      <c r="AS94" s="1731"/>
      <c r="AT94" s="3508"/>
      <c r="AU94" s="1731"/>
      <c r="AV94" s="3508"/>
      <c r="AW94" s="1731"/>
      <c r="AX94" s="3508"/>
      <c r="AY94" s="1731"/>
      <c r="AZ94" s="3508"/>
      <c r="BA94" s="1731"/>
      <c r="BB94" s="3508"/>
      <c r="BC94" s="1731"/>
      <c r="BD94" s="3508"/>
      <c r="BE94" s="1731"/>
      <c r="BF94" s="3362"/>
      <c r="BG94" s="3362"/>
      <c r="BH94" s="3362"/>
      <c r="BI94" s="3409"/>
      <c r="BJ94" s="3409"/>
      <c r="BK94" s="3412"/>
      <c r="BL94" s="1733"/>
      <c r="BM94" s="1733"/>
      <c r="BN94" s="3483">
        <v>43723</v>
      </c>
      <c r="BO94" s="3483">
        <v>43516</v>
      </c>
      <c r="BP94" s="3483">
        <v>43743</v>
      </c>
      <c r="BQ94" s="3483">
        <v>43753</v>
      </c>
      <c r="BR94" s="3530"/>
      <c r="BS94" s="1569"/>
      <c r="BT94" s="1569"/>
    </row>
    <row r="95" spans="1:72" s="571" customFormat="1" ht="30.75" customHeight="1" x14ac:dyDescent="0.2">
      <c r="A95" s="3369"/>
      <c r="B95" s="3373"/>
      <c r="C95" s="3374"/>
      <c r="D95" s="3499"/>
      <c r="E95" s="3499"/>
      <c r="F95" s="3499"/>
      <c r="G95" s="1569"/>
      <c r="H95" s="1627"/>
      <c r="I95" s="1628"/>
      <c r="J95" s="3500"/>
      <c r="K95" s="3402"/>
      <c r="L95" s="3402"/>
      <c r="M95" s="3464"/>
      <c r="N95" s="3438"/>
      <c r="O95" s="1756"/>
      <c r="P95" s="3520"/>
      <c r="Q95" s="3471"/>
      <c r="R95" s="3523"/>
      <c r="S95" s="3525"/>
      <c r="T95" s="3401"/>
      <c r="U95" s="3401"/>
      <c r="V95" s="3365"/>
      <c r="W95" s="1758">
        <v>30000000</v>
      </c>
      <c r="X95" s="1736"/>
      <c r="Y95" s="1620"/>
      <c r="Z95" s="1757">
        <v>88</v>
      </c>
      <c r="AA95" s="1755" t="s">
        <v>1506</v>
      </c>
      <c r="AB95" s="3492"/>
      <c r="AC95" s="3492"/>
      <c r="AD95" s="3492"/>
      <c r="AE95" s="3492"/>
      <c r="AF95" s="3508"/>
      <c r="AG95" s="3508"/>
      <c r="AH95" s="3508"/>
      <c r="AI95" s="3508"/>
      <c r="AJ95" s="3508"/>
      <c r="AK95" s="3508"/>
      <c r="AL95" s="3508"/>
      <c r="AM95" s="3508"/>
      <c r="AN95" s="3508"/>
      <c r="AO95" s="1731"/>
      <c r="AP95" s="3508"/>
      <c r="AQ95" s="1731"/>
      <c r="AR95" s="3508"/>
      <c r="AS95" s="1731"/>
      <c r="AT95" s="3508"/>
      <c r="AU95" s="1731"/>
      <c r="AV95" s="3508"/>
      <c r="AW95" s="1731"/>
      <c r="AX95" s="3508"/>
      <c r="AY95" s="1731"/>
      <c r="AZ95" s="3508"/>
      <c r="BA95" s="1731"/>
      <c r="BB95" s="3508"/>
      <c r="BC95" s="1731"/>
      <c r="BD95" s="3508"/>
      <c r="BE95" s="1731"/>
      <c r="BF95" s="3362"/>
      <c r="BG95" s="3362"/>
      <c r="BH95" s="3362"/>
      <c r="BI95" s="3409"/>
      <c r="BJ95" s="3409"/>
      <c r="BK95" s="3412"/>
      <c r="BL95" s="1759">
        <v>20</v>
      </c>
      <c r="BM95" s="1740" t="s">
        <v>1467</v>
      </c>
      <c r="BN95" s="3484"/>
      <c r="BO95" s="3484"/>
      <c r="BP95" s="3484"/>
      <c r="BQ95" s="3484"/>
      <c r="BR95" s="3530"/>
      <c r="BS95" s="1569"/>
      <c r="BT95" s="1569"/>
    </row>
    <row r="96" spans="1:72" s="571" customFormat="1" ht="64.5" customHeight="1" x14ac:dyDescent="0.2">
      <c r="A96" s="3369"/>
      <c r="B96" s="3373"/>
      <c r="C96" s="3374"/>
      <c r="D96" s="3499"/>
      <c r="E96" s="3499"/>
      <c r="F96" s="3499"/>
      <c r="G96" s="1569"/>
      <c r="H96" s="1627"/>
      <c r="I96" s="1628"/>
      <c r="J96" s="3500"/>
      <c r="K96" s="3402"/>
      <c r="L96" s="3402"/>
      <c r="M96" s="3464"/>
      <c r="N96" s="3438"/>
      <c r="O96" s="1756" t="s">
        <v>1507</v>
      </c>
      <c r="P96" s="3520"/>
      <c r="Q96" s="3471"/>
      <c r="R96" s="3523"/>
      <c r="S96" s="3525"/>
      <c r="T96" s="3401"/>
      <c r="U96" s="3401"/>
      <c r="V96" s="999" t="s">
        <v>1508</v>
      </c>
      <c r="W96" s="1754">
        <v>5000000</v>
      </c>
      <c r="X96" s="1685">
        <f>500000+1050000+500000+450000+2500000</f>
        <v>5000000</v>
      </c>
      <c r="Y96" s="959">
        <f>1050000+1798000</f>
        <v>2848000</v>
      </c>
      <c r="Z96" s="1757">
        <v>20</v>
      </c>
      <c r="AA96" s="1755" t="s">
        <v>71</v>
      </c>
      <c r="AB96" s="3492"/>
      <c r="AC96" s="3492"/>
      <c r="AD96" s="3492"/>
      <c r="AE96" s="3492"/>
      <c r="AF96" s="3508"/>
      <c r="AG96" s="3508"/>
      <c r="AH96" s="3508"/>
      <c r="AI96" s="3508"/>
      <c r="AJ96" s="3508"/>
      <c r="AK96" s="3508"/>
      <c r="AL96" s="3508"/>
      <c r="AM96" s="3508"/>
      <c r="AN96" s="3508"/>
      <c r="AO96" s="1731"/>
      <c r="AP96" s="3508"/>
      <c r="AQ96" s="1731"/>
      <c r="AR96" s="3508"/>
      <c r="AS96" s="1731"/>
      <c r="AT96" s="3508"/>
      <c r="AU96" s="1731"/>
      <c r="AV96" s="3508"/>
      <c r="AW96" s="1731"/>
      <c r="AX96" s="3508"/>
      <c r="AY96" s="1731"/>
      <c r="AZ96" s="3508"/>
      <c r="BA96" s="1731"/>
      <c r="BB96" s="3508"/>
      <c r="BC96" s="1731"/>
      <c r="BD96" s="3508"/>
      <c r="BE96" s="1731"/>
      <c r="BF96" s="3362"/>
      <c r="BG96" s="3362"/>
      <c r="BH96" s="3362"/>
      <c r="BI96" s="3409"/>
      <c r="BJ96" s="3409"/>
      <c r="BK96" s="3412"/>
      <c r="BL96" s="1760">
        <v>88</v>
      </c>
      <c r="BM96" s="1733" t="s">
        <v>1472</v>
      </c>
      <c r="BN96" s="1688">
        <v>43490</v>
      </c>
      <c r="BO96" s="1738">
        <v>43516</v>
      </c>
      <c r="BP96" s="1688">
        <v>43600</v>
      </c>
      <c r="BQ96" s="1688">
        <v>43626</v>
      </c>
      <c r="BR96" s="3530"/>
      <c r="BS96" s="3398"/>
      <c r="BT96" s="1569"/>
    </row>
    <row r="97" spans="1:72" s="571" customFormat="1" ht="31.5" customHeight="1" x14ac:dyDescent="0.2">
      <c r="A97" s="3369"/>
      <c r="B97" s="3373"/>
      <c r="C97" s="3374"/>
      <c r="D97" s="3499"/>
      <c r="E97" s="3499"/>
      <c r="F97" s="3499"/>
      <c r="G97" s="1569"/>
      <c r="H97" s="1627"/>
      <c r="I97" s="1628"/>
      <c r="J97" s="3500"/>
      <c r="K97" s="3402"/>
      <c r="L97" s="3402"/>
      <c r="M97" s="3464"/>
      <c r="N97" s="3417"/>
      <c r="O97" s="1756"/>
      <c r="P97" s="3520"/>
      <c r="Q97" s="3471"/>
      <c r="R97" s="3523"/>
      <c r="S97" s="3525"/>
      <c r="T97" s="3401"/>
      <c r="U97" s="3401"/>
      <c r="V97" s="995" t="s">
        <v>1462</v>
      </c>
      <c r="W97" s="1754">
        <v>1000000</v>
      </c>
      <c r="X97" s="1685">
        <v>0</v>
      </c>
      <c r="Y97" s="959">
        <v>0</v>
      </c>
      <c r="Z97" s="1757">
        <v>20</v>
      </c>
      <c r="AA97" s="1755" t="s">
        <v>71</v>
      </c>
      <c r="AB97" s="3492"/>
      <c r="AC97" s="3492"/>
      <c r="AD97" s="3492"/>
      <c r="AE97" s="3492"/>
      <c r="AF97" s="3508"/>
      <c r="AG97" s="3508"/>
      <c r="AH97" s="3508"/>
      <c r="AI97" s="3508"/>
      <c r="AJ97" s="3508"/>
      <c r="AK97" s="3508"/>
      <c r="AL97" s="3508"/>
      <c r="AM97" s="3508"/>
      <c r="AN97" s="3508"/>
      <c r="AO97" s="1731"/>
      <c r="AP97" s="3508"/>
      <c r="AQ97" s="1731"/>
      <c r="AR97" s="3508"/>
      <c r="AS97" s="1731"/>
      <c r="AT97" s="3508"/>
      <c r="AU97" s="1731"/>
      <c r="AV97" s="3508"/>
      <c r="AW97" s="1731"/>
      <c r="AX97" s="3508"/>
      <c r="AY97" s="1731"/>
      <c r="AZ97" s="3508"/>
      <c r="BA97" s="1731"/>
      <c r="BB97" s="3508"/>
      <c r="BC97" s="1731"/>
      <c r="BD97" s="3508"/>
      <c r="BE97" s="1731"/>
      <c r="BF97" s="3362"/>
      <c r="BG97" s="3362"/>
      <c r="BH97" s="3362"/>
      <c r="BI97" s="3409"/>
      <c r="BJ97" s="3409"/>
      <c r="BK97" s="3412"/>
      <c r="BL97" s="1733"/>
      <c r="BM97" s="1733"/>
      <c r="BN97" s="1688">
        <v>43539</v>
      </c>
      <c r="BO97" s="1688"/>
      <c r="BP97" s="1688">
        <v>43819</v>
      </c>
      <c r="BQ97" s="1688"/>
      <c r="BR97" s="3530"/>
      <c r="BS97" s="3398"/>
      <c r="BT97" s="1569"/>
    </row>
    <row r="98" spans="1:72" s="571" customFormat="1" ht="45" customHeight="1" x14ac:dyDescent="0.2">
      <c r="A98" s="3369"/>
      <c r="B98" s="3373"/>
      <c r="C98" s="3374"/>
      <c r="D98" s="3499"/>
      <c r="E98" s="3499"/>
      <c r="F98" s="3499"/>
      <c r="G98" s="1569"/>
      <c r="H98" s="1627"/>
      <c r="I98" s="1628"/>
      <c r="J98" s="3500">
        <v>233</v>
      </c>
      <c r="K98" s="3402" t="s">
        <v>1509</v>
      </c>
      <c r="L98" s="3402" t="s">
        <v>1510</v>
      </c>
      <c r="M98" s="3464">
        <v>1</v>
      </c>
      <c r="N98" s="3518">
        <v>0.25</v>
      </c>
      <c r="O98" s="1756" t="s">
        <v>1511</v>
      </c>
      <c r="P98" s="3520"/>
      <c r="Q98" s="3471"/>
      <c r="R98" s="3527">
        <f>SUM(W98:W101)/S92</f>
        <v>0.18965517241379309</v>
      </c>
      <c r="S98" s="3525"/>
      <c r="T98" s="3401"/>
      <c r="U98" s="3401"/>
      <c r="V98" s="1684" t="s">
        <v>1512</v>
      </c>
      <c r="W98" s="1761">
        <v>5150000</v>
      </c>
      <c r="X98" s="1685">
        <v>3600000</v>
      </c>
      <c r="Y98" s="1050">
        <v>1300000</v>
      </c>
      <c r="Z98" s="1757">
        <v>20</v>
      </c>
      <c r="AA98" s="1755" t="s">
        <v>71</v>
      </c>
      <c r="AB98" s="3492"/>
      <c r="AC98" s="3492"/>
      <c r="AD98" s="3492"/>
      <c r="AE98" s="3492"/>
      <c r="AF98" s="3508"/>
      <c r="AG98" s="3508"/>
      <c r="AH98" s="3508"/>
      <c r="AI98" s="3508"/>
      <c r="AJ98" s="3508"/>
      <c r="AK98" s="3508"/>
      <c r="AL98" s="3508"/>
      <c r="AM98" s="3508"/>
      <c r="AN98" s="3508"/>
      <c r="AO98" s="1731"/>
      <c r="AP98" s="3508"/>
      <c r="AQ98" s="1731"/>
      <c r="AR98" s="3508"/>
      <c r="AS98" s="1731"/>
      <c r="AT98" s="3508"/>
      <c r="AU98" s="1731"/>
      <c r="AV98" s="3508"/>
      <c r="AW98" s="1731"/>
      <c r="AX98" s="3508"/>
      <c r="AY98" s="1731"/>
      <c r="AZ98" s="3508"/>
      <c r="BA98" s="1731"/>
      <c r="BB98" s="3508"/>
      <c r="BC98" s="1731"/>
      <c r="BD98" s="3508"/>
      <c r="BE98" s="1731"/>
      <c r="BF98" s="3362"/>
      <c r="BG98" s="3362"/>
      <c r="BH98" s="3362"/>
      <c r="BI98" s="3409"/>
      <c r="BJ98" s="3409"/>
      <c r="BK98" s="3412"/>
      <c r="BL98" s="1733"/>
      <c r="BM98" s="1733"/>
      <c r="BN98" s="1688">
        <v>43490</v>
      </c>
      <c r="BO98" s="1738">
        <v>43516</v>
      </c>
      <c r="BP98" s="1688">
        <v>43600</v>
      </c>
      <c r="BQ98" s="1688">
        <v>43626</v>
      </c>
      <c r="BR98" s="3530"/>
      <c r="BS98" s="1569"/>
      <c r="BT98" s="1569"/>
    </row>
    <row r="99" spans="1:72" s="571" customFormat="1" ht="49.5" customHeight="1" x14ac:dyDescent="0.2">
      <c r="A99" s="3369"/>
      <c r="B99" s="3373"/>
      <c r="C99" s="3374"/>
      <c r="D99" s="3499"/>
      <c r="E99" s="3499"/>
      <c r="F99" s="3499"/>
      <c r="G99" s="1569"/>
      <c r="H99" s="1627"/>
      <c r="I99" s="1628"/>
      <c r="J99" s="3500"/>
      <c r="K99" s="3402"/>
      <c r="L99" s="3402"/>
      <c r="M99" s="3464"/>
      <c r="N99" s="3518"/>
      <c r="O99" s="1756"/>
      <c r="P99" s="3520"/>
      <c r="Q99" s="3471"/>
      <c r="R99" s="3528"/>
      <c r="S99" s="3525"/>
      <c r="T99" s="3401"/>
      <c r="U99" s="3401"/>
      <c r="V99" s="1684" t="s">
        <v>1513</v>
      </c>
      <c r="W99" s="1761">
        <v>2850000</v>
      </c>
      <c r="X99" s="1685">
        <v>2850000</v>
      </c>
      <c r="Y99" s="1050">
        <v>0</v>
      </c>
      <c r="Z99" s="1757">
        <v>20</v>
      </c>
      <c r="AA99" s="1755" t="s">
        <v>71</v>
      </c>
      <c r="AB99" s="3492"/>
      <c r="AC99" s="3492"/>
      <c r="AD99" s="3492"/>
      <c r="AE99" s="3492"/>
      <c r="AF99" s="3508"/>
      <c r="AG99" s="3508"/>
      <c r="AH99" s="3508"/>
      <c r="AI99" s="3508"/>
      <c r="AJ99" s="3508"/>
      <c r="AK99" s="3508"/>
      <c r="AL99" s="3508"/>
      <c r="AM99" s="3508"/>
      <c r="AN99" s="3508"/>
      <c r="AO99" s="1731"/>
      <c r="AP99" s="3508"/>
      <c r="AQ99" s="1731"/>
      <c r="AR99" s="3508"/>
      <c r="AS99" s="1731"/>
      <c r="AT99" s="3508"/>
      <c r="AU99" s="1731"/>
      <c r="AV99" s="3508"/>
      <c r="AW99" s="1731"/>
      <c r="AX99" s="3508"/>
      <c r="AY99" s="1731"/>
      <c r="AZ99" s="3508"/>
      <c r="BA99" s="1731"/>
      <c r="BB99" s="3508"/>
      <c r="BC99" s="1731"/>
      <c r="BD99" s="3508"/>
      <c r="BE99" s="1731"/>
      <c r="BF99" s="3362"/>
      <c r="BG99" s="3362"/>
      <c r="BH99" s="3362"/>
      <c r="BI99" s="3409"/>
      <c r="BJ99" s="3409"/>
      <c r="BK99" s="3412"/>
      <c r="BL99" s="1733"/>
      <c r="BM99" s="1733"/>
      <c r="BN99" s="1688"/>
      <c r="BO99" s="1738"/>
      <c r="BP99" s="1688"/>
      <c r="BQ99" s="1688"/>
      <c r="BR99" s="3530"/>
      <c r="BS99" s="1569"/>
      <c r="BT99" s="1569"/>
    </row>
    <row r="100" spans="1:72" s="571" customFormat="1" ht="39.75" customHeight="1" x14ac:dyDescent="0.2">
      <c r="A100" s="3369"/>
      <c r="B100" s="3373"/>
      <c r="C100" s="3374"/>
      <c r="D100" s="3499"/>
      <c r="E100" s="3499"/>
      <c r="F100" s="3499"/>
      <c r="G100" s="1569"/>
      <c r="H100" s="1658"/>
      <c r="I100" s="1659"/>
      <c r="J100" s="3500"/>
      <c r="K100" s="3402"/>
      <c r="L100" s="3402"/>
      <c r="M100" s="3464"/>
      <c r="N100" s="3518"/>
      <c r="O100" s="1756"/>
      <c r="P100" s="3520"/>
      <c r="Q100" s="3471"/>
      <c r="R100" s="3529"/>
      <c r="S100" s="3526"/>
      <c r="T100" s="3401"/>
      <c r="U100" s="3401"/>
      <c r="V100" s="1684" t="s">
        <v>1514</v>
      </c>
      <c r="W100" s="1761">
        <v>3000000</v>
      </c>
      <c r="X100" s="1685">
        <v>0</v>
      </c>
      <c r="Y100" s="1050">
        <v>0</v>
      </c>
      <c r="Z100" s="1757">
        <v>20</v>
      </c>
      <c r="AA100" s="1755" t="s">
        <v>71</v>
      </c>
      <c r="AB100" s="3522"/>
      <c r="AC100" s="3522"/>
      <c r="AD100" s="3522"/>
      <c r="AE100" s="3522"/>
      <c r="AF100" s="3508"/>
      <c r="AG100" s="3508"/>
      <c r="AH100" s="3508"/>
      <c r="AI100" s="3508"/>
      <c r="AJ100" s="3508"/>
      <c r="AK100" s="3508"/>
      <c r="AL100" s="3508"/>
      <c r="AM100" s="3508"/>
      <c r="AN100" s="3508"/>
      <c r="AO100" s="1731"/>
      <c r="AP100" s="3508"/>
      <c r="AQ100" s="1731"/>
      <c r="AR100" s="3508"/>
      <c r="AS100" s="1731"/>
      <c r="AT100" s="3508"/>
      <c r="AU100" s="1731"/>
      <c r="AV100" s="3508"/>
      <c r="AW100" s="1731"/>
      <c r="AX100" s="3508"/>
      <c r="AY100" s="1731"/>
      <c r="AZ100" s="3508"/>
      <c r="BA100" s="1731"/>
      <c r="BB100" s="3508"/>
      <c r="BC100" s="1731"/>
      <c r="BD100" s="3508"/>
      <c r="BE100" s="1731"/>
      <c r="BF100" s="3363"/>
      <c r="BG100" s="3363"/>
      <c r="BH100" s="3363"/>
      <c r="BI100" s="3410"/>
      <c r="BJ100" s="3410"/>
      <c r="BK100" s="3413"/>
      <c r="BL100" s="1749"/>
      <c r="BM100" s="1749"/>
      <c r="BN100" s="1688">
        <v>43534</v>
      </c>
      <c r="BO100" s="1688"/>
      <c r="BP100" s="1738">
        <v>43753</v>
      </c>
      <c r="BQ100" s="1738"/>
      <c r="BR100" s="3530"/>
      <c r="BS100" s="1569"/>
      <c r="BT100" s="1569"/>
    </row>
    <row r="101" spans="1:72" s="1569" customFormat="1" ht="15" customHeight="1" x14ac:dyDescent="0.2">
      <c r="A101" s="3369"/>
      <c r="B101" s="3373"/>
      <c r="C101" s="3374"/>
      <c r="D101" s="3499"/>
      <c r="E101" s="3499"/>
      <c r="F101" s="3499"/>
      <c r="G101" s="1609">
        <v>80</v>
      </c>
      <c r="H101" s="151" t="s">
        <v>1515</v>
      </c>
      <c r="I101" s="151"/>
      <c r="J101" s="1663"/>
      <c r="K101" s="1664"/>
      <c r="L101" s="1665"/>
      <c r="M101" s="1750"/>
      <c r="N101" s="1750"/>
      <c r="O101" s="272"/>
      <c r="P101" s="278"/>
      <c r="Q101" s="153"/>
      <c r="R101" s="153"/>
      <c r="S101" s="1667"/>
      <c r="T101" s="1665"/>
      <c r="U101" s="1664"/>
      <c r="V101" s="1664"/>
      <c r="W101" s="1668"/>
      <c r="X101" s="1668"/>
      <c r="Y101" s="1669"/>
      <c r="Z101" s="1669"/>
      <c r="AA101" s="1669"/>
      <c r="AB101" s="151"/>
      <c r="AC101" s="151"/>
      <c r="AD101" s="151"/>
      <c r="AE101" s="151"/>
      <c r="AF101" s="151"/>
      <c r="AG101" s="151"/>
      <c r="AH101" s="151"/>
      <c r="AI101" s="151"/>
      <c r="AJ101" s="151"/>
      <c r="AK101" s="151"/>
      <c r="AL101" s="151"/>
      <c r="AM101" s="151"/>
      <c r="AN101" s="151"/>
      <c r="AO101" s="151"/>
      <c r="AP101" s="151"/>
      <c r="AQ101" s="151"/>
      <c r="AR101" s="151"/>
      <c r="AS101" s="151"/>
      <c r="AT101" s="151"/>
      <c r="AU101" s="151"/>
      <c r="AV101" s="151"/>
      <c r="AW101" s="151"/>
      <c r="AX101" s="151"/>
      <c r="AY101" s="151"/>
      <c r="AZ101" s="159"/>
      <c r="BA101" s="159"/>
      <c r="BB101" s="159"/>
      <c r="BC101" s="159"/>
      <c r="BD101" s="159"/>
      <c r="BE101" s="159"/>
      <c r="BF101" s="159"/>
      <c r="BG101" s="159"/>
      <c r="BH101" s="159"/>
      <c r="BI101" s="287"/>
      <c r="BJ101" s="287"/>
      <c r="BK101" s="159"/>
      <c r="BL101" s="159"/>
      <c r="BM101" s="159"/>
      <c r="BN101" s="159"/>
      <c r="BO101" s="159"/>
      <c r="BP101" s="159"/>
      <c r="BQ101" s="159"/>
      <c r="BR101" s="1762"/>
    </row>
    <row r="102" spans="1:72" s="571" customFormat="1" ht="61.5" customHeight="1" x14ac:dyDescent="0.2">
      <c r="A102" s="3369"/>
      <c r="B102" s="3373"/>
      <c r="C102" s="3374"/>
      <c r="D102" s="3499"/>
      <c r="E102" s="3499"/>
      <c r="F102" s="3499"/>
      <c r="G102" s="1569"/>
      <c r="H102" s="1618"/>
      <c r="I102" s="1619"/>
      <c r="J102" s="3464">
        <v>234</v>
      </c>
      <c r="K102" s="3501" t="s">
        <v>1516</v>
      </c>
      <c r="L102" s="3501" t="s">
        <v>1517</v>
      </c>
      <c r="M102" s="3404">
        <v>2</v>
      </c>
      <c r="N102" s="3534">
        <v>0.5</v>
      </c>
      <c r="O102" s="1756"/>
      <c r="P102" s="3520" t="s">
        <v>1518</v>
      </c>
      <c r="Q102" s="3471" t="s">
        <v>1519</v>
      </c>
      <c r="R102" s="3531">
        <f>SUM(W102:W103)/S102</f>
        <v>0.26315789473684209</v>
      </c>
      <c r="S102" s="3524">
        <f>SUM(W102:W112)</f>
        <v>38000000</v>
      </c>
      <c r="T102" s="3401" t="s">
        <v>1520</v>
      </c>
      <c r="U102" s="3401" t="s">
        <v>1521</v>
      </c>
      <c r="V102" s="1699" t="s">
        <v>1522</v>
      </c>
      <c r="W102" s="1763">
        <v>5000000</v>
      </c>
      <c r="X102" s="1050">
        <v>3601000</v>
      </c>
      <c r="Y102" s="1685">
        <v>0</v>
      </c>
      <c r="Z102" s="1764" t="s">
        <v>689</v>
      </c>
      <c r="AA102" s="1765" t="s">
        <v>1447</v>
      </c>
      <c r="AB102" s="3532">
        <v>638</v>
      </c>
      <c r="AC102" s="3445">
        <v>437</v>
      </c>
      <c r="AD102" s="3535">
        <v>612</v>
      </c>
      <c r="AE102" s="3445">
        <v>612</v>
      </c>
      <c r="AF102" s="3535">
        <v>380</v>
      </c>
      <c r="AG102" s="3445">
        <v>212</v>
      </c>
      <c r="AH102" s="3535">
        <v>280</v>
      </c>
      <c r="AI102" s="3445">
        <v>180</v>
      </c>
      <c r="AJ102" s="3535">
        <v>161</v>
      </c>
      <c r="AK102" s="3445">
        <v>120</v>
      </c>
      <c r="AL102" s="3535">
        <v>429</v>
      </c>
      <c r="AM102" s="3445">
        <v>250</v>
      </c>
      <c r="AN102" s="3535"/>
      <c r="AO102" s="3445"/>
      <c r="AP102" s="3535"/>
      <c r="AQ102" s="3445"/>
      <c r="AR102" s="3535"/>
      <c r="AS102" s="3445"/>
      <c r="AT102" s="3535"/>
      <c r="AU102" s="3445"/>
      <c r="AV102" s="3535"/>
      <c r="AW102" s="3445"/>
      <c r="AX102" s="3535"/>
      <c r="AY102" s="3445"/>
      <c r="AZ102" s="3535"/>
      <c r="BA102" s="3445"/>
      <c r="BB102" s="3535"/>
      <c r="BC102" s="3445"/>
      <c r="BD102" s="3535"/>
      <c r="BE102" s="3445"/>
      <c r="BF102" s="3445">
        <v>1250</v>
      </c>
      <c r="BG102" s="3445">
        <v>762</v>
      </c>
      <c r="BH102" s="3445">
        <v>3</v>
      </c>
      <c r="BI102" s="3408">
        <f>SUM(X102:X112)</f>
        <v>15417066</v>
      </c>
      <c r="BJ102" s="3408">
        <f>SUM(Y102:Y112)</f>
        <v>0</v>
      </c>
      <c r="BK102" s="3411">
        <f>BJ102/BI102</f>
        <v>0</v>
      </c>
      <c r="BL102" s="1726"/>
      <c r="BM102" s="1726"/>
      <c r="BN102" s="1688">
        <v>43480</v>
      </c>
      <c r="BO102" s="1688"/>
      <c r="BP102" s="1688">
        <v>43600</v>
      </c>
      <c r="BQ102" s="1688"/>
      <c r="BR102" s="3505" t="s">
        <v>1421</v>
      </c>
      <c r="BS102" s="1569"/>
      <c r="BT102" s="1569"/>
    </row>
    <row r="103" spans="1:72" s="571" customFormat="1" ht="55.5" customHeight="1" x14ac:dyDescent="0.2">
      <c r="A103" s="3369"/>
      <c r="B103" s="3373"/>
      <c r="C103" s="3374"/>
      <c r="D103" s="3499"/>
      <c r="E103" s="3499"/>
      <c r="F103" s="3499"/>
      <c r="G103" s="1569"/>
      <c r="H103" s="1627"/>
      <c r="I103" s="1628"/>
      <c r="J103" s="3464"/>
      <c r="K103" s="3501"/>
      <c r="L103" s="3501"/>
      <c r="M103" s="3404"/>
      <c r="N103" s="3534"/>
      <c r="O103" s="1756"/>
      <c r="P103" s="3520"/>
      <c r="Q103" s="3471"/>
      <c r="R103" s="3531"/>
      <c r="S103" s="3525"/>
      <c r="T103" s="3401"/>
      <c r="U103" s="3401"/>
      <c r="V103" s="1699" t="s">
        <v>1523</v>
      </c>
      <c r="W103" s="1763">
        <v>5000000</v>
      </c>
      <c r="X103" s="1685">
        <f>1500000+2067333</f>
        <v>3567333</v>
      </c>
      <c r="Y103" s="1685">
        <v>0</v>
      </c>
      <c r="Z103" s="1766">
        <v>20</v>
      </c>
      <c r="AA103" s="1765" t="s">
        <v>71</v>
      </c>
      <c r="AB103" s="3533"/>
      <c r="AC103" s="3446"/>
      <c r="AD103" s="3536"/>
      <c r="AE103" s="3446"/>
      <c r="AF103" s="3536"/>
      <c r="AG103" s="3446"/>
      <c r="AH103" s="3536"/>
      <c r="AI103" s="3446"/>
      <c r="AJ103" s="3536"/>
      <c r="AK103" s="3446"/>
      <c r="AL103" s="3536"/>
      <c r="AM103" s="3446"/>
      <c r="AN103" s="3536"/>
      <c r="AO103" s="3446"/>
      <c r="AP103" s="3536"/>
      <c r="AQ103" s="3446"/>
      <c r="AR103" s="3536"/>
      <c r="AS103" s="3446"/>
      <c r="AT103" s="3536"/>
      <c r="AU103" s="3446"/>
      <c r="AV103" s="3536"/>
      <c r="AW103" s="3446"/>
      <c r="AX103" s="3536"/>
      <c r="AY103" s="3446"/>
      <c r="AZ103" s="3536"/>
      <c r="BA103" s="3446"/>
      <c r="BB103" s="3536"/>
      <c r="BC103" s="3446"/>
      <c r="BD103" s="3536"/>
      <c r="BE103" s="3446"/>
      <c r="BF103" s="3446"/>
      <c r="BG103" s="3446"/>
      <c r="BH103" s="3446"/>
      <c r="BI103" s="3409"/>
      <c r="BJ103" s="3409"/>
      <c r="BK103" s="3412"/>
      <c r="BL103" s="1733"/>
      <c r="BM103" s="1733"/>
      <c r="BN103" s="1688">
        <v>43480</v>
      </c>
      <c r="BO103" s="1688"/>
      <c r="BP103" s="1688">
        <v>43600</v>
      </c>
      <c r="BQ103" s="1688"/>
      <c r="BR103" s="3530"/>
      <c r="BS103" s="3398"/>
      <c r="BT103" s="1569"/>
    </row>
    <row r="104" spans="1:72" s="571" customFormat="1" ht="34.5" customHeight="1" x14ac:dyDescent="0.2">
      <c r="A104" s="3369"/>
      <c r="B104" s="3373"/>
      <c r="C104" s="3374"/>
      <c r="D104" s="3499"/>
      <c r="E104" s="3499"/>
      <c r="F104" s="3499"/>
      <c r="G104" s="1569"/>
      <c r="H104" s="1627"/>
      <c r="I104" s="1628"/>
      <c r="J104" s="3464">
        <v>235</v>
      </c>
      <c r="K104" s="3501" t="s">
        <v>1524</v>
      </c>
      <c r="L104" s="3402" t="s">
        <v>1525</v>
      </c>
      <c r="M104" s="3404">
        <v>2</v>
      </c>
      <c r="N104" s="3534">
        <v>0.5</v>
      </c>
      <c r="O104" s="1756" t="s">
        <v>1526</v>
      </c>
      <c r="P104" s="3520"/>
      <c r="Q104" s="3471"/>
      <c r="R104" s="3531">
        <f>SUM(W104:W112)/S102</f>
        <v>0.73684210526315785</v>
      </c>
      <c r="S104" s="3525"/>
      <c r="T104" s="3401"/>
      <c r="U104" s="3478"/>
      <c r="V104" s="1684" t="s">
        <v>1527</v>
      </c>
      <c r="W104" s="1763">
        <v>2000000</v>
      </c>
      <c r="X104" s="1685">
        <v>400000</v>
      </c>
      <c r="Y104" s="1685">
        <v>0</v>
      </c>
      <c r="Z104" s="1766">
        <v>20</v>
      </c>
      <c r="AA104" s="1765" t="s">
        <v>71</v>
      </c>
      <c r="AB104" s="3533"/>
      <c r="AC104" s="3446"/>
      <c r="AD104" s="3536"/>
      <c r="AE104" s="3446"/>
      <c r="AF104" s="3536"/>
      <c r="AG104" s="3446"/>
      <c r="AH104" s="3536"/>
      <c r="AI104" s="3446"/>
      <c r="AJ104" s="3536"/>
      <c r="AK104" s="3446"/>
      <c r="AL104" s="3536"/>
      <c r="AM104" s="3446"/>
      <c r="AN104" s="3536"/>
      <c r="AO104" s="3446"/>
      <c r="AP104" s="3536"/>
      <c r="AQ104" s="3446"/>
      <c r="AR104" s="3536"/>
      <c r="AS104" s="3446"/>
      <c r="AT104" s="3536"/>
      <c r="AU104" s="3446"/>
      <c r="AV104" s="3536"/>
      <c r="AW104" s="3446"/>
      <c r="AX104" s="3536"/>
      <c r="AY104" s="3446"/>
      <c r="AZ104" s="3536"/>
      <c r="BA104" s="3446"/>
      <c r="BB104" s="3536"/>
      <c r="BC104" s="3446"/>
      <c r="BD104" s="3536"/>
      <c r="BE104" s="3446"/>
      <c r="BF104" s="3446"/>
      <c r="BG104" s="3446"/>
      <c r="BH104" s="3446"/>
      <c r="BI104" s="3409"/>
      <c r="BJ104" s="3409"/>
      <c r="BK104" s="3412"/>
      <c r="BL104" s="1733"/>
      <c r="BM104" s="1733"/>
      <c r="BN104" s="1688">
        <v>43475</v>
      </c>
      <c r="BO104" s="1688"/>
      <c r="BP104" s="1688">
        <v>43646</v>
      </c>
      <c r="BQ104" s="1688"/>
      <c r="BR104" s="3530"/>
      <c r="BS104" s="3398"/>
      <c r="BT104" s="1569"/>
    </row>
    <row r="105" spans="1:72" s="571" customFormat="1" ht="24.75" customHeight="1" x14ac:dyDescent="0.2">
      <c r="A105" s="3369"/>
      <c r="B105" s="3373"/>
      <c r="C105" s="3374"/>
      <c r="D105" s="3499"/>
      <c r="E105" s="3499"/>
      <c r="F105" s="3499"/>
      <c r="G105" s="1569"/>
      <c r="H105" s="1627"/>
      <c r="I105" s="1628"/>
      <c r="J105" s="3464"/>
      <c r="K105" s="3501"/>
      <c r="L105" s="3402"/>
      <c r="M105" s="3404"/>
      <c r="N105" s="3534"/>
      <c r="P105" s="3520"/>
      <c r="Q105" s="3471"/>
      <c r="R105" s="3531"/>
      <c r="S105" s="3525"/>
      <c r="T105" s="3401"/>
      <c r="U105" s="3478"/>
      <c r="V105" s="1684" t="s">
        <v>1528</v>
      </c>
      <c r="W105" s="1763">
        <v>5000000</v>
      </c>
      <c r="X105" s="1685">
        <f>1500000+2396733</f>
        <v>3896733</v>
      </c>
      <c r="Y105" s="1685">
        <v>0</v>
      </c>
      <c r="Z105" s="1766">
        <v>20</v>
      </c>
      <c r="AA105" s="1765" t="s">
        <v>71</v>
      </c>
      <c r="AB105" s="3533"/>
      <c r="AC105" s="3446"/>
      <c r="AD105" s="3536"/>
      <c r="AE105" s="3446"/>
      <c r="AF105" s="3536"/>
      <c r="AG105" s="3446"/>
      <c r="AH105" s="3536"/>
      <c r="AI105" s="3446"/>
      <c r="AJ105" s="3536"/>
      <c r="AK105" s="3446"/>
      <c r="AL105" s="3536"/>
      <c r="AM105" s="3446"/>
      <c r="AN105" s="3536"/>
      <c r="AO105" s="3446"/>
      <c r="AP105" s="3536"/>
      <c r="AQ105" s="3446"/>
      <c r="AR105" s="3536"/>
      <c r="AS105" s="3446"/>
      <c r="AT105" s="3536"/>
      <c r="AU105" s="3446"/>
      <c r="AV105" s="3536"/>
      <c r="AW105" s="3446"/>
      <c r="AX105" s="3536"/>
      <c r="AY105" s="3446"/>
      <c r="AZ105" s="3536"/>
      <c r="BA105" s="3446"/>
      <c r="BB105" s="3536"/>
      <c r="BC105" s="3446"/>
      <c r="BD105" s="3536"/>
      <c r="BE105" s="3446"/>
      <c r="BF105" s="3446"/>
      <c r="BG105" s="3446"/>
      <c r="BH105" s="3446"/>
      <c r="BI105" s="3409"/>
      <c r="BJ105" s="3409"/>
      <c r="BK105" s="3412"/>
      <c r="BL105" s="1759">
        <v>20</v>
      </c>
      <c r="BM105" s="1740" t="s">
        <v>1467</v>
      </c>
      <c r="BN105" s="1688">
        <v>43475</v>
      </c>
      <c r="BO105" s="1688"/>
      <c r="BP105" s="1688">
        <v>43646</v>
      </c>
      <c r="BQ105" s="1688"/>
      <c r="BR105" s="3530"/>
      <c r="BS105" s="3398"/>
      <c r="BT105" s="1569"/>
    </row>
    <row r="106" spans="1:72" s="571" customFormat="1" ht="45" customHeight="1" x14ac:dyDescent="0.2">
      <c r="A106" s="3369"/>
      <c r="B106" s="3373"/>
      <c r="C106" s="3374"/>
      <c r="D106" s="3499"/>
      <c r="E106" s="3499"/>
      <c r="F106" s="3499"/>
      <c r="G106" s="1569"/>
      <c r="H106" s="1627"/>
      <c r="I106" s="1628"/>
      <c r="J106" s="3464"/>
      <c r="K106" s="3501"/>
      <c r="L106" s="3402"/>
      <c r="M106" s="3404"/>
      <c r="N106" s="3534"/>
      <c r="O106" s="1756" t="s">
        <v>1529</v>
      </c>
      <c r="P106" s="3520"/>
      <c r="Q106" s="3471"/>
      <c r="R106" s="3531"/>
      <c r="S106" s="3525"/>
      <c r="T106" s="3401"/>
      <c r="U106" s="3478"/>
      <c r="V106" s="1684" t="s">
        <v>1530</v>
      </c>
      <c r="W106" s="1763">
        <v>4000000</v>
      </c>
      <c r="X106" s="1685">
        <f>1000000+1601000</f>
        <v>2601000</v>
      </c>
      <c r="Y106" s="1685">
        <v>0</v>
      </c>
      <c r="Z106" s="1766">
        <v>20</v>
      </c>
      <c r="AA106" s="1765" t="s">
        <v>71</v>
      </c>
      <c r="AB106" s="3533"/>
      <c r="AC106" s="3446"/>
      <c r="AD106" s="3536"/>
      <c r="AE106" s="3446"/>
      <c r="AF106" s="3536"/>
      <c r="AG106" s="3446"/>
      <c r="AH106" s="3536"/>
      <c r="AI106" s="3446"/>
      <c r="AJ106" s="3536"/>
      <c r="AK106" s="3446"/>
      <c r="AL106" s="3536"/>
      <c r="AM106" s="3446"/>
      <c r="AN106" s="3536"/>
      <c r="AO106" s="3446"/>
      <c r="AP106" s="3536"/>
      <c r="AQ106" s="3446"/>
      <c r="AR106" s="3536"/>
      <c r="AS106" s="3446"/>
      <c r="AT106" s="3536"/>
      <c r="AU106" s="3446"/>
      <c r="AV106" s="3536"/>
      <c r="AW106" s="3446"/>
      <c r="AX106" s="3536"/>
      <c r="AY106" s="3446"/>
      <c r="AZ106" s="3536"/>
      <c r="BA106" s="3446"/>
      <c r="BB106" s="3536"/>
      <c r="BC106" s="3446"/>
      <c r="BD106" s="3536"/>
      <c r="BE106" s="3446"/>
      <c r="BF106" s="3446"/>
      <c r="BG106" s="3446"/>
      <c r="BH106" s="3446"/>
      <c r="BI106" s="3409"/>
      <c r="BJ106" s="3409"/>
      <c r="BK106" s="3412"/>
      <c r="BL106" s="1760">
        <v>88</v>
      </c>
      <c r="BM106" s="1733" t="s">
        <v>1472</v>
      </c>
      <c r="BN106" s="1688">
        <v>43480</v>
      </c>
      <c r="BO106" s="1688"/>
      <c r="BP106" s="1688">
        <v>43590</v>
      </c>
      <c r="BQ106" s="1688"/>
      <c r="BR106" s="3530"/>
      <c r="BS106" s="1569"/>
      <c r="BT106" s="1569"/>
    </row>
    <row r="107" spans="1:72" s="571" customFormat="1" ht="21.75" customHeight="1" x14ac:dyDescent="0.2">
      <c r="A107" s="3369"/>
      <c r="B107" s="3373"/>
      <c r="C107" s="3374"/>
      <c r="D107" s="3499"/>
      <c r="E107" s="3499"/>
      <c r="F107" s="3499"/>
      <c r="G107" s="1569"/>
      <c r="H107" s="1627"/>
      <c r="I107" s="1628"/>
      <c r="J107" s="3464"/>
      <c r="K107" s="3501"/>
      <c r="L107" s="3402"/>
      <c r="M107" s="3404"/>
      <c r="N107" s="3534"/>
      <c r="O107" s="1756"/>
      <c r="P107" s="3520"/>
      <c r="Q107" s="3471"/>
      <c r="R107" s="3531"/>
      <c r="S107" s="3525"/>
      <c r="T107" s="3401"/>
      <c r="U107" s="3478"/>
      <c r="V107" s="1684" t="s">
        <v>1531</v>
      </c>
      <c r="W107" s="1763">
        <v>1000000</v>
      </c>
      <c r="X107" s="1685">
        <v>0</v>
      </c>
      <c r="Y107" s="1685">
        <v>0</v>
      </c>
      <c r="Z107" s="1766">
        <v>20</v>
      </c>
      <c r="AA107" s="1765" t="s">
        <v>71</v>
      </c>
      <c r="AB107" s="3533"/>
      <c r="AC107" s="3446"/>
      <c r="AD107" s="3536"/>
      <c r="AE107" s="3446"/>
      <c r="AF107" s="3536"/>
      <c r="AG107" s="3446"/>
      <c r="AH107" s="3536"/>
      <c r="AI107" s="3446"/>
      <c r="AJ107" s="3536"/>
      <c r="AK107" s="3446"/>
      <c r="AL107" s="3536"/>
      <c r="AM107" s="3446"/>
      <c r="AN107" s="3536"/>
      <c r="AO107" s="3446"/>
      <c r="AP107" s="3536"/>
      <c r="AQ107" s="3446"/>
      <c r="AR107" s="3536"/>
      <c r="AS107" s="3446"/>
      <c r="AT107" s="3536"/>
      <c r="AU107" s="3446"/>
      <c r="AV107" s="3536"/>
      <c r="AW107" s="3446"/>
      <c r="AX107" s="3536"/>
      <c r="AY107" s="3446"/>
      <c r="AZ107" s="3536"/>
      <c r="BA107" s="3446"/>
      <c r="BB107" s="3536"/>
      <c r="BC107" s="3446"/>
      <c r="BD107" s="3536"/>
      <c r="BE107" s="3446"/>
      <c r="BF107" s="3446"/>
      <c r="BG107" s="3446"/>
      <c r="BH107" s="3446"/>
      <c r="BI107" s="3409"/>
      <c r="BJ107" s="3409"/>
      <c r="BK107" s="3412"/>
      <c r="BL107" s="1733"/>
      <c r="BM107" s="1733"/>
      <c r="BN107" s="1688">
        <v>43475</v>
      </c>
      <c r="BO107" s="1688"/>
      <c r="BP107" s="1688">
        <v>43646</v>
      </c>
      <c r="BQ107" s="1688"/>
      <c r="BR107" s="3530"/>
      <c r="BS107" s="1569"/>
      <c r="BT107" s="1569"/>
    </row>
    <row r="108" spans="1:72" s="571" customFormat="1" ht="27.75" customHeight="1" x14ac:dyDescent="0.2">
      <c r="A108" s="3369"/>
      <c r="B108" s="3373"/>
      <c r="C108" s="3374"/>
      <c r="D108" s="3499"/>
      <c r="E108" s="3499"/>
      <c r="F108" s="3499"/>
      <c r="G108" s="1569"/>
      <c r="H108" s="1627"/>
      <c r="I108" s="1628"/>
      <c r="J108" s="3464"/>
      <c r="K108" s="3501"/>
      <c r="L108" s="3402"/>
      <c r="M108" s="3404"/>
      <c r="N108" s="3534"/>
      <c r="O108" s="1756"/>
      <c r="P108" s="3520"/>
      <c r="Q108" s="3471"/>
      <c r="R108" s="3531"/>
      <c r="S108" s="3525"/>
      <c r="T108" s="3401"/>
      <c r="U108" s="3478"/>
      <c r="V108" s="1684" t="s">
        <v>1532</v>
      </c>
      <c r="W108" s="1763">
        <v>1000000</v>
      </c>
      <c r="X108" s="1685">
        <v>0</v>
      </c>
      <c r="Y108" s="1685">
        <v>0</v>
      </c>
      <c r="Z108" s="1766">
        <v>20</v>
      </c>
      <c r="AA108" s="1765" t="s">
        <v>71</v>
      </c>
      <c r="AB108" s="3533"/>
      <c r="AC108" s="3446"/>
      <c r="AD108" s="3536"/>
      <c r="AE108" s="3446"/>
      <c r="AF108" s="3536"/>
      <c r="AG108" s="3446"/>
      <c r="AH108" s="3536"/>
      <c r="AI108" s="3446"/>
      <c r="AJ108" s="3536"/>
      <c r="AK108" s="3446"/>
      <c r="AL108" s="3536"/>
      <c r="AM108" s="3446"/>
      <c r="AN108" s="3536"/>
      <c r="AO108" s="3446"/>
      <c r="AP108" s="3536"/>
      <c r="AQ108" s="3446"/>
      <c r="AR108" s="3536"/>
      <c r="AS108" s="3446"/>
      <c r="AT108" s="3536"/>
      <c r="AU108" s="3446"/>
      <c r="AV108" s="3536"/>
      <c r="AW108" s="3446"/>
      <c r="AX108" s="3536"/>
      <c r="AY108" s="3446"/>
      <c r="AZ108" s="3536"/>
      <c r="BA108" s="3446"/>
      <c r="BB108" s="3536"/>
      <c r="BC108" s="3446"/>
      <c r="BD108" s="3536"/>
      <c r="BE108" s="3446"/>
      <c r="BF108" s="3446"/>
      <c r="BG108" s="3446"/>
      <c r="BH108" s="3446"/>
      <c r="BI108" s="3409"/>
      <c r="BJ108" s="3409"/>
      <c r="BK108" s="3412"/>
      <c r="BL108" s="1733"/>
      <c r="BM108" s="1733"/>
      <c r="BN108" s="1688">
        <v>43600</v>
      </c>
      <c r="BO108" s="1688"/>
      <c r="BP108" s="1688">
        <v>43636</v>
      </c>
      <c r="BQ108" s="1688"/>
      <c r="BR108" s="3530"/>
      <c r="BS108" s="1569"/>
      <c r="BT108" s="1569"/>
    </row>
    <row r="109" spans="1:72" s="571" customFormat="1" ht="27" customHeight="1" x14ac:dyDescent="0.2">
      <c r="A109" s="3369"/>
      <c r="B109" s="3373"/>
      <c r="C109" s="3374"/>
      <c r="D109" s="3499"/>
      <c r="E109" s="3499"/>
      <c r="F109" s="3499"/>
      <c r="G109" s="1569"/>
      <c r="H109" s="1627"/>
      <c r="I109" s="1628"/>
      <c r="J109" s="3464"/>
      <c r="K109" s="3501"/>
      <c r="L109" s="3402"/>
      <c r="M109" s="3404"/>
      <c r="N109" s="3534"/>
      <c r="O109" s="1756"/>
      <c r="P109" s="3520"/>
      <c r="Q109" s="3471"/>
      <c r="R109" s="3531"/>
      <c r="S109" s="3525"/>
      <c r="T109" s="3401"/>
      <c r="U109" s="3478"/>
      <c r="V109" s="3489" t="s">
        <v>1533</v>
      </c>
      <c r="W109" s="1767">
        <v>2000000</v>
      </c>
      <c r="X109" s="1736">
        <f>500000+500000</f>
        <v>1000000</v>
      </c>
      <c r="Y109" s="1736">
        <v>0</v>
      </c>
      <c r="Z109" s="1766">
        <v>20</v>
      </c>
      <c r="AA109" s="1765" t="s">
        <v>71</v>
      </c>
      <c r="AB109" s="3533"/>
      <c r="AC109" s="3446"/>
      <c r="AD109" s="3536"/>
      <c r="AE109" s="3446"/>
      <c r="AF109" s="3536"/>
      <c r="AG109" s="3446"/>
      <c r="AH109" s="3536"/>
      <c r="AI109" s="3446"/>
      <c r="AJ109" s="3536"/>
      <c r="AK109" s="3446"/>
      <c r="AL109" s="3536"/>
      <c r="AM109" s="3446"/>
      <c r="AN109" s="3536"/>
      <c r="AO109" s="3446"/>
      <c r="AP109" s="3536"/>
      <c r="AQ109" s="3446"/>
      <c r="AR109" s="3536"/>
      <c r="AS109" s="3446"/>
      <c r="AT109" s="3536"/>
      <c r="AU109" s="3446"/>
      <c r="AV109" s="3536"/>
      <c r="AW109" s="3446"/>
      <c r="AX109" s="3536"/>
      <c r="AY109" s="3446"/>
      <c r="AZ109" s="3536"/>
      <c r="BA109" s="3446"/>
      <c r="BB109" s="3536"/>
      <c r="BC109" s="3446"/>
      <c r="BD109" s="3536"/>
      <c r="BE109" s="3446"/>
      <c r="BF109" s="3446"/>
      <c r="BG109" s="3446"/>
      <c r="BH109" s="3446"/>
      <c r="BI109" s="3409"/>
      <c r="BJ109" s="3409"/>
      <c r="BK109" s="3412"/>
      <c r="BL109" s="1733"/>
      <c r="BM109" s="1733"/>
      <c r="BN109" s="3483">
        <v>43542</v>
      </c>
      <c r="BO109" s="3483"/>
      <c r="BP109" s="3483">
        <v>43631</v>
      </c>
      <c r="BQ109" s="3483"/>
      <c r="BR109" s="3530"/>
      <c r="BS109" s="1569"/>
      <c r="BT109" s="1569"/>
    </row>
    <row r="110" spans="1:72" s="571" customFormat="1" ht="28.5" customHeight="1" x14ac:dyDescent="0.2">
      <c r="A110" s="3369"/>
      <c r="B110" s="3373"/>
      <c r="C110" s="3374"/>
      <c r="D110" s="3499"/>
      <c r="E110" s="3499"/>
      <c r="F110" s="3499"/>
      <c r="G110" s="1569"/>
      <c r="H110" s="1627"/>
      <c r="I110" s="1628"/>
      <c r="J110" s="3464"/>
      <c r="K110" s="3501"/>
      <c r="L110" s="3402"/>
      <c r="M110" s="3404"/>
      <c r="N110" s="3534"/>
      <c r="O110" s="1756"/>
      <c r="P110" s="3520"/>
      <c r="Q110" s="3471"/>
      <c r="R110" s="3531"/>
      <c r="S110" s="3525"/>
      <c r="T110" s="3401"/>
      <c r="U110" s="3478"/>
      <c r="V110" s="3490"/>
      <c r="W110" s="1767">
        <v>8000000</v>
      </c>
      <c r="X110" s="1736">
        <v>0</v>
      </c>
      <c r="Y110" s="1736">
        <v>0</v>
      </c>
      <c r="Z110" s="1766">
        <v>88</v>
      </c>
      <c r="AA110" s="1765" t="s">
        <v>1534</v>
      </c>
      <c r="AB110" s="3533"/>
      <c r="AC110" s="3446"/>
      <c r="AD110" s="3536"/>
      <c r="AE110" s="3446"/>
      <c r="AF110" s="3536"/>
      <c r="AG110" s="3446"/>
      <c r="AH110" s="3536"/>
      <c r="AI110" s="3446"/>
      <c r="AJ110" s="3536"/>
      <c r="AK110" s="3446"/>
      <c r="AL110" s="3536"/>
      <c r="AM110" s="3446"/>
      <c r="AN110" s="3536"/>
      <c r="AO110" s="3446"/>
      <c r="AP110" s="3536"/>
      <c r="AQ110" s="3446"/>
      <c r="AR110" s="3536"/>
      <c r="AS110" s="3446"/>
      <c r="AT110" s="3536"/>
      <c r="AU110" s="3446"/>
      <c r="AV110" s="3536"/>
      <c r="AW110" s="3446"/>
      <c r="AX110" s="3536"/>
      <c r="AY110" s="3446"/>
      <c r="AZ110" s="3536"/>
      <c r="BA110" s="3446"/>
      <c r="BB110" s="3536"/>
      <c r="BC110" s="3446"/>
      <c r="BD110" s="3536"/>
      <c r="BE110" s="3446"/>
      <c r="BF110" s="3446"/>
      <c r="BG110" s="3446"/>
      <c r="BH110" s="3446"/>
      <c r="BI110" s="3409"/>
      <c r="BJ110" s="3409"/>
      <c r="BK110" s="3412"/>
      <c r="BL110" s="1733"/>
      <c r="BM110" s="1733"/>
      <c r="BN110" s="3484"/>
      <c r="BO110" s="3484"/>
      <c r="BP110" s="3484"/>
      <c r="BQ110" s="3484"/>
      <c r="BR110" s="3530"/>
      <c r="BS110" s="1569"/>
      <c r="BT110" s="1569"/>
    </row>
    <row r="111" spans="1:72" s="571" customFormat="1" ht="30.75" customHeight="1" x14ac:dyDescent="0.2">
      <c r="A111" s="3369"/>
      <c r="B111" s="3373"/>
      <c r="C111" s="3374"/>
      <c r="D111" s="3499"/>
      <c r="E111" s="3499"/>
      <c r="F111" s="3499"/>
      <c r="G111" s="1569"/>
      <c r="H111" s="1627"/>
      <c r="I111" s="1628"/>
      <c r="J111" s="3464"/>
      <c r="K111" s="3501"/>
      <c r="L111" s="3402"/>
      <c r="M111" s="3404"/>
      <c r="N111" s="3534"/>
      <c r="O111" s="1756"/>
      <c r="P111" s="3520"/>
      <c r="Q111" s="3471"/>
      <c r="R111" s="3531"/>
      <c r="S111" s="3525"/>
      <c r="T111" s="3401"/>
      <c r="U111" s="3478"/>
      <c r="V111" s="3489" t="s">
        <v>1535</v>
      </c>
      <c r="W111" s="1767">
        <v>3000000</v>
      </c>
      <c r="X111" s="1736">
        <v>351000</v>
      </c>
      <c r="Y111" s="1736">
        <v>0</v>
      </c>
      <c r="Z111" s="1768">
        <v>20</v>
      </c>
      <c r="AA111" s="1769" t="s">
        <v>71</v>
      </c>
      <c r="AB111" s="3533"/>
      <c r="AC111" s="3446"/>
      <c r="AD111" s="3536"/>
      <c r="AE111" s="3446"/>
      <c r="AF111" s="3536"/>
      <c r="AG111" s="3446"/>
      <c r="AH111" s="3536"/>
      <c r="AI111" s="3446"/>
      <c r="AJ111" s="3536"/>
      <c r="AK111" s="3446"/>
      <c r="AL111" s="3536"/>
      <c r="AM111" s="3446"/>
      <c r="AN111" s="3536"/>
      <c r="AO111" s="3446"/>
      <c r="AP111" s="3536"/>
      <c r="AQ111" s="3446"/>
      <c r="AR111" s="3536"/>
      <c r="AS111" s="3446"/>
      <c r="AT111" s="3536"/>
      <c r="AU111" s="3446"/>
      <c r="AV111" s="3536"/>
      <c r="AW111" s="3446"/>
      <c r="AX111" s="3536"/>
      <c r="AY111" s="3446"/>
      <c r="AZ111" s="3536"/>
      <c r="BA111" s="3446"/>
      <c r="BB111" s="3536"/>
      <c r="BC111" s="3446"/>
      <c r="BD111" s="3536"/>
      <c r="BE111" s="3446"/>
      <c r="BF111" s="3446"/>
      <c r="BG111" s="3446"/>
      <c r="BH111" s="3446"/>
      <c r="BI111" s="3409"/>
      <c r="BJ111" s="3409"/>
      <c r="BK111" s="3412"/>
      <c r="BL111" s="1733"/>
      <c r="BM111" s="1733"/>
      <c r="BN111" s="3483">
        <v>43490</v>
      </c>
      <c r="BO111" s="3483"/>
      <c r="BP111" s="3483">
        <v>43600</v>
      </c>
      <c r="BQ111" s="3483"/>
      <c r="BR111" s="3530"/>
      <c r="BS111" s="1569"/>
      <c r="BT111" s="1569"/>
    </row>
    <row r="112" spans="1:72" s="571" customFormat="1" ht="31.5" customHeight="1" x14ac:dyDescent="0.2">
      <c r="A112" s="3369"/>
      <c r="B112" s="3373"/>
      <c r="C112" s="3374"/>
      <c r="D112" s="3499"/>
      <c r="E112" s="3499"/>
      <c r="F112" s="3499"/>
      <c r="G112" s="1569"/>
      <c r="H112" s="1658"/>
      <c r="I112" s="1659"/>
      <c r="J112" s="3464"/>
      <c r="K112" s="3501"/>
      <c r="L112" s="3402"/>
      <c r="M112" s="3404"/>
      <c r="N112" s="3534"/>
      <c r="O112" s="1756"/>
      <c r="P112" s="3520"/>
      <c r="Q112" s="3471"/>
      <c r="R112" s="3531"/>
      <c r="S112" s="3526"/>
      <c r="T112" s="3401"/>
      <c r="U112" s="3478"/>
      <c r="V112" s="3490"/>
      <c r="W112" s="1767">
        <v>2000000</v>
      </c>
      <c r="X112" s="1736"/>
      <c r="Y112" s="1736"/>
      <c r="Z112" s="1768">
        <v>88</v>
      </c>
      <c r="AA112" s="1765" t="s">
        <v>1534</v>
      </c>
      <c r="AB112" s="3533"/>
      <c r="AC112" s="3447"/>
      <c r="AD112" s="3536"/>
      <c r="AE112" s="3447"/>
      <c r="AF112" s="3536"/>
      <c r="AG112" s="3447"/>
      <c r="AH112" s="3536"/>
      <c r="AI112" s="3447"/>
      <c r="AJ112" s="3536"/>
      <c r="AK112" s="3447"/>
      <c r="AL112" s="3536"/>
      <c r="AM112" s="3447"/>
      <c r="AN112" s="3536"/>
      <c r="AO112" s="3447"/>
      <c r="AP112" s="3536"/>
      <c r="AQ112" s="3447"/>
      <c r="AR112" s="3536"/>
      <c r="AS112" s="3447"/>
      <c r="AT112" s="3536"/>
      <c r="AU112" s="3447"/>
      <c r="AV112" s="3536"/>
      <c r="AW112" s="3447"/>
      <c r="AX112" s="3536"/>
      <c r="AY112" s="3447"/>
      <c r="AZ112" s="3536"/>
      <c r="BA112" s="3447"/>
      <c r="BB112" s="3536"/>
      <c r="BC112" s="3447"/>
      <c r="BD112" s="3536"/>
      <c r="BE112" s="3447"/>
      <c r="BF112" s="3447"/>
      <c r="BG112" s="3447"/>
      <c r="BH112" s="3447"/>
      <c r="BI112" s="3410"/>
      <c r="BJ112" s="3410"/>
      <c r="BK112" s="3413"/>
      <c r="BL112" s="1749"/>
      <c r="BM112" s="1749"/>
      <c r="BN112" s="3484"/>
      <c r="BO112" s="3484"/>
      <c r="BP112" s="3484"/>
      <c r="BQ112" s="3484"/>
      <c r="BR112" s="3530"/>
      <c r="BS112" s="1569"/>
      <c r="BT112" s="1569"/>
    </row>
    <row r="113" spans="1:72" s="1569" customFormat="1" ht="15" customHeight="1" x14ac:dyDescent="0.2">
      <c r="A113" s="3369"/>
      <c r="B113" s="3373"/>
      <c r="C113" s="3374"/>
      <c r="D113" s="1703">
        <v>25</v>
      </c>
      <c r="E113" s="1410" t="s">
        <v>1536</v>
      </c>
      <c r="F113" s="1410"/>
      <c r="G113" s="1598"/>
      <c r="H113" s="1598"/>
      <c r="I113" s="1598"/>
      <c r="J113" s="1704"/>
      <c r="K113" s="1705"/>
      <c r="L113" s="1706"/>
      <c r="M113" s="1707"/>
      <c r="N113" s="1707"/>
      <c r="O113" s="1602"/>
      <c r="P113" s="1599"/>
      <c r="Q113" s="1601"/>
      <c r="R113" s="1708"/>
      <c r="S113" s="1709" t="s">
        <v>1537</v>
      </c>
      <c r="T113" s="1706"/>
      <c r="U113" s="1705"/>
      <c r="V113" s="1705"/>
      <c r="W113" s="1710"/>
      <c r="X113" s="1710"/>
      <c r="Y113" s="1711"/>
      <c r="Z113" s="1712"/>
      <c r="AA113" s="1712"/>
      <c r="AB113" s="1598"/>
      <c r="AC113" s="1598"/>
      <c r="AD113" s="1598"/>
      <c r="AE113" s="1598"/>
      <c r="AF113" s="1598"/>
      <c r="AG113" s="1598"/>
      <c r="AH113" s="1598"/>
      <c r="AI113" s="1598"/>
      <c r="AJ113" s="1598"/>
      <c r="AK113" s="1598"/>
      <c r="AL113" s="1598"/>
      <c r="AM113" s="1598"/>
      <c r="AN113" s="1598"/>
      <c r="AO113" s="1598"/>
      <c r="AP113" s="1598"/>
      <c r="AQ113" s="1598"/>
      <c r="AR113" s="1598"/>
      <c r="AS113" s="1598"/>
      <c r="AT113" s="1598"/>
      <c r="AU113" s="1598"/>
      <c r="AV113" s="1598"/>
      <c r="AW113" s="1598"/>
      <c r="AX113" s="1598"/>
      <c r="AY113" s="1598"/>
      <c r="AZ113" s="1598"/>
      <c r="BA113" s="1598"/>
      <c r="BB113" s="1607"/>
      <c r="BC113" s="1607"/>
      <c r="BD113" s="1601"/>
      <c r="BE113" s="1601"/>
      <c r="BF113" s="1601"/>
      <c r="BG113" s="1601"/>
      <c r="BH113" s="1601"/>
      <c r="BI113" s="1713"/>
      <c r="BJ113" s="1713"/>
      <c r="BK113" s="1601"/>
      <c r="BL113" s="1601"/>
      <c r="BM113" s="1601"/>
      <c r="BN113" s="1601"/>
      <c r="BO113" s="1601"/>
      <c r="BP113" s="1601"/>
      <c r="BQ113" s="1601"/>
      <c r="BR113" s="1608"/>
    </row>
    <row r="114" spans="1:72" s="1569" customFormat="1" ht="15" customHeight="1" x14ac:dyDescent="0.2">
      <c r="A114" s="3369"/>
      <c r="B114" s="3373"/>
      <c r="C114" s="3374"/>
      <c r="D114" s="3499"/>
      <c r="E114" s="3499"/>
      <c r="F114" s="3499"/>
      <c r="G114" s="1609">
        <v>81</v>
      </c>
      <c r="H114" s="151" t="s">
        <v>1538</v>
      </c>
      <c r="I114" s="151"/>
      <c r="J114" s="1610"/>
      <c r="K114" s="1611"/>
      <c r="L114" s="1612"/>
      <c r="M114" s="270"/>
      <c r="N114" s="270"/>
      <c r="O114" s="272"/>
      <c r="P114" s="278"/>
      <c r="Q114" s="153"/>
      <c r="R114" s="1613"/>
      <c r="S114" s="1714"/>
      <c r="T114" s="1612"/>
      <c r="U114" s="1611"/>
      <c r="V114" s="1611"/>
      <c r="W114" s="1668"/>
      <c r="X114" s="1668"/>
      <c r="Y114" s="1669"/>
      <c r="Z114" s="1715"/>
      <c r="AA114" s="1715"/>
      <c r="AB114" s="1716"/>
      <c r="AC114" s="1716"/>
      <c r="AD114" s="1716"/>
      <c r="AE114" s="1716"/>
      <c r="AF114" s="1716"/>
      <c r="AG114" s="1716"/>
      <c r="AH114" s="1716"/>
      <c r="AI114" s="1716"/>
      <c r="AJ114" s="1716"/>
      <c r="AK114" s="1716"/>
      <c r="AL114" s="1716"/>
      <c r="AM114" s="1716"/>
      <c r="AN114" s="1716"/>
      <c r="AO114" s="1716"/>
      <c r="AP114" s="1716"/>
      <c r="AQ114" s="1716"/>
      <c r="AR114" s="1716"/>
      <c r="AS114" s="1716"/>
      <c r="AT114" s="1716"/>
      <c r="AU114" s="1716"/>
      <c r="AV114" s="1716"/>
      <c r="AW114" s="1716"/>
      <c r="AX114" s="1716"/>
      <c r="AY114" s="1716"/>
      <c r="AZ114" s="159"/>
      <c r="BA114" s="159"/>
      <c r="BB114" s="159"/>
      <c r="BC114" s="159"/>
      <c r="BD114" s="153"/>
      <c r="BE114" s="153"/>
      <c r="BF114" s="153"/>
      <c r="BG114" s="153"/>
      <c r="BH114" s="153"/>
      <c r="BI114" s="1770"/>
      <c r="BJ114" s="1770"/>
      <c r="BK114" s="153"/>
      <c r="BL114" s="153"/>
      <c r="BM114" s="153"/>
      <c r="BN114" s="153"/>
      <c r="BO114" s="153"/>
      <c r="BP114" s="153"/>
      <c r="BQ114" s="153"/>
      <c r="BR114" s="160"/>
    </row>
    <row r="115" spans="1:72" s="571" customFormat="1" ht="51" customHeight="1" x14ac:dyDescent="0.2">
      <c r="A115" s="3369"/>
      <c r="B115" s="3373"/>
      <c r="C115" s="3374"/>
      <c r="D115" s="3499"/>
      <c r="E115" s="3499"/>
      <c r="F115" s="3499"/>
      <c r="G115" s="1569"/>
      <c r="H115" s="1618"/>
      <c r="I115" s="1619"/>
      <c r="J115" s="1635">
        <v>236</v>
      </c>
      <c r="K115" s="1633" t="s">
        <v>1539</v>
      </c>
      <c r="L115" s="1633" t="s">
        <v>1540</v>
      </c>
      <c r="M115" s="1635">
        <v>3</v>
      </c>
      <c r="N115" s="1636">
        <v>0.75</v>
      </c>
      <c r="O115" s="1771"/>
      <c r="P115" s="3520" t="s">
        <v>1541</v>
      </c>
      <c r="Q115" s="3471" t="s">
        <v>1542</v>
      </c>
      <c r="R115" s="1772">
        <f>SUM(W115)/S115</f>
        <v>0.19316206297083252</v>
      </c>
      <c r="S115" s="3537">
        <f>SUM(W115:W130)</f>
        <v>517700000</v>
      </c>
      <c r="T115" s="3401" t="s">
        <v>1543</v>
      </c>
      <c r="U115" s="3401" t="s">
        <v>1544</v>
      </c>
      <c r="V115" s="1638" t="s">
        <v>1545</v>
      </c>
      <c r="W115" s="1644">
        <v>100000000</v>
      </c>
      <c r="X115" s="1050">
        <f>16362366+12777533+16362366</f>
        <v>45502265</v>
      </c>
      <c r="Y115" s="1644">
        <f>7166000+5596000+7166000</f>
        <v>19928000</v>
      </c>
      <c r="Z115" s="1773" t="s">
        <v>689</v>
      </c>
      <c r="AA115" s="1765" t="s">
        <v>1447</v>
      </c>
      <c r="AB115" s="3491">
        <v>9110</v>
      </c>
      <c r="AC115" s="3445" t="s">
        <v>1546</v>
      </c>
      <c r="AD115" s="3491">
        <v>8787</v>
      </c>
      <c r="AE115" s="3445" t="s">
        <v>1547</v>
      </c>
      <c r="AF115" s="3445">
        <v>4273</v>
      </c>
      <c r="AG115" s="3491"/>
      <c r="AH115" s="3491">
        <v>3599</v>
      </c>
      <c r="AI115" s="3491"/>
      <c r="AJ115" s="3491">
        <v>7463</v>
      </c>
      <c r="AK115" s="3491"/>
      <c r="AL115" s="3491">
        <v>2562</v>
      </c>
      <c r="AM115" s="3491"/>
      <c r="AN115" s="3427"/>
      <c r="AO115" s="3427"/>
      <c r="AP115" s="3427"/>
      <c r="AQ115" s="3427"/>
      <c r="AR115" s="3427"/>
      <c r="AS115" s="3427"/>
      <c r="AT115" s="3427"/>
      <c r="AU115" s="3427"/>
      <c r="AV115" s="3427"/>
      <c r="AW115" s="3427"/>
      <c r="AX115" s="3427"/>
      <c r="AY115" s="3427"/>
      <c r="AZ115" s="3427"/>
      <c r="BA115" s="3427"/>
      <c r="BB115" s="3427"/>
      <c r="BC115" s="3427"/>
      <c r="BD115" s="3427"/>
      <c r="BE115" s="3427"/>
      <c r="BF115" s="3445">
        <v>17897</v>
      </c>
      <c r="BG115" s="3445">
        <v>8851</v>
      </c>
      <c r="BH115" s="3445">
        <v>15</v>
      </c>
      <c r="BI115" s="3408">
        <f>SUM(X115:X130)</f>
        <v>189974795</v>
      </c>
      <c r="BJ115" s="3408">
        <f>SUM(Y115:Y130)</f>
        <v>67286415</v>
      </c>
      <c r="BK115" s="3411">
        <f>BJ115/BI115</f>
        <v>0.35418601188647159</v>
      </c>
      <c r="BL115" s="3445">
        <v>20</v>
      </c>
      <c r="BM115" s="3211" t="s">
        <v>1548</v>
      </c>
      <c r="BN115" s="1688">
        <v>43490</v>
      </c>
      <c r="BO115" s="1738">
        <v>43516</v>
      </c>
      <c r="BP115" s="1688">
        <v>43819</v>
      </c>
      <c r="BQ115" s="1738">
        <v>43809</v>
      </c>
      <c r="BR115" s="3505" t="s">
        <v>1421</v>
      </c>
      <c r="BS115" s="1569"/>
      <c r="BT115" s="1569"/>
    </row>
    <row r="116" spans="1:72" s="571" customFormat="1" ht="40.5" customHeight="1" x14ac:dyDescent="0.2">
      <c r="A116" s="3369"/>
      <c r="B116" s="3373"/>
      <c r="C116" s="3374"/>
      <c r="D116" s="3499"/>
      <c r="E116" s="3499"/>
      <c r="F116" s="3499"/>
      <c r="G116" s="1569"/>
      <c r="H116" s="1627"/>
      <c r="I116" s="1628"/>
      <c r="J116" s="3464">
        <v>237</v>
      </c>
      <c r="K116" s="3501" t="s">
        <v>1549</v>
      </c>
      <c r="L116" s="3402" t="s">
        <v>1550</v>
      </c>
      <c r="M116" s="3544">
        <v>5</v>
      </c>
      <c r="N116" s="3545">
        <v>0.5</v>
      </c>
      <c r="O116" s="1771"/>
      <c r="P116" s="3520"/>
      <c r="Q116" s="3471"/>
      <c r="R116" s="3546">
        <f>SUM(W116:W117)/S115</f>
        <v>4.2205910759126906E-2</v>
      </c>
      <c r="S116" s="3538"/>
      <c r="T116" s="3401"/>
      <c r="U116" s="3401"/>
      <c r="V116" s="1638" t="s">
        <v>1551</v>
      </c>
      <c r="W116" s="1644">
        <v>10000000</v>
      </c>
      <c r="X116" s="1685">
        <v>5000000</v>
      </c>
      <c r="Y116" s="1644">
        <v>1226000</v>
      </c>
      <c r="Z116" s="1766">
        <v>20</v>
      </c>
      <c r="AA116" s="1765" t="s">
        <v>71</v>
      </c>
      <c r="AB116" s="3540"/>
      <c r="AC116" s="3446"/>
      <c r="AD116" s="3540"/>
      <c r="AE116" s="3446"/>
      <c r="AF116" s="3446"/>
      <c r="AG116" s="3540"/>
      <c r="AH116" s="3540"/>
      <c r="AI116" s="3540"/>
      <c r="AJ116" s="3540"/>
      <c r="AK116" s="3540"/>
      <c r="AL116" s="3540"/>
      <c r="AM116" s="3540"/>
      <c r="AN116" s="3428"/>
      <c r="AO116" s="3428"/>
      <c r="AP116" s="3428"/>
      <c r="AQ116" s="3428"/>
      <c r="AR116" s="3428"/>
      <c r="AS116" s="3428"/>
      <c r="AT116" s="3428"/>
      <c r="AU116" s="3428"/>
      <c r="AV116" s="3428"/>
      <c r="AW116" s="3428"/>
      <c r="AX116" s="3428"/>
      <c r="AY116" s="3428"/>
      <c r="AZ116" s="3428"/>
      <c r="BA116" s="3428"/>
      <c r="BB116" s="3428"/>
      <c r="BC116" s="3428"/>
      <c r="BD116" s="3428"/>
      <c r="BE116" s="3428"/>
      <c r="BF116" s="3446"/>
      <c r="BG116" s="3446"/>
      <c r="BH116" s="3446"/>
      <c r="BI116" s="3409"/>
      <c r="BJ116" s="3409"/>
      <c r="BK116" s="3412"/>
      <c r="BL116" s="3446"/>
      <c r="BM116" s="3212"/>
      <c r="BN116" s="1688">
        <v>43480</v>
      </c>
      <c r="BO116" s="1738">
        <v>43516</v>
      </c>
      <c r="BP116" s="1688">
        <v>43646</v>
      </c>
      <c r="BQ116" s="1738">
        <v>43809</v>
      </c>
      <c r="BR116" s="3543"/>
      <c r="BS116" s="3398"/>
      <c r="BT116" s="1569"/>
    </row>
    <row r="117" spans="1:72" s="571" customFormat="1" ht="44.25" customHeight="1" x14ac:dyDescent="0.2">
      <c r="A117" s="3369"/>
      <c r="B117" s="3373"/>
      <c r="C117" s="3374"/>
      <c r="D117" s="3499"/>
      <c r="E117" s="3499"/>
      <c r="F117" s="3499"/>
      <c r="G117" s="1569"/>
      <c r="H117" s="1627"/>
      <c r="I117" s="1628"/>
      <c r="J117" s="3464"/>
      <c r="K117" s="3501"/>
      <c r="L117" s="3402"/>
      <c r="M117" s="3544"/>
      <c r="N117" s="3545"/>
      <c r="O117" s="1771"/>
      <c r="P117" s="3520"/>
      <c r="Q117" s="3471"/>
      <c r="R117" s="3546"/>
      <c r="S117" s="3538"/>
      <c r="T117" s="3401"/>
      <c r="U117" s="3401"/>
      <c r="V117" s="1638" t="s">
        <v>1552</v>
      </c>
      <c r="W117" s="1644">
        <v>11850000</v>
      </c>
      <c r="X117" s="1685">
        <v>10000000</v>
      </c>
      <c r="Y117" s="1644">
        <v>2000000</v>
      </c>
      <c r="Z117" s="1766">
        <v>20</v>
      </c>
      <c r="AA117" s="1765" t="s">
        <v>71</v>
      </c>
      <c r="AB117" s="3540"/>
      <c r="AC117" s="3446"/>
      <c r="AD117" s="3540"/>
      <c r="AE117" s="3446"/>
      <c r="AF117" s="3446"/>
      <c r="AG117" s="3540"/>
      <c r="AH117" s="3540"/>
      <c r="AI117" s="3540"/>
      <c r="AJ117" s="3540"/>
      <c r="AK117" s="3540"/>
      <c r="AL117" s="3540"/>
      <c r="AM117" s="3540"/>
      <c r="AN117" s="3428"/>
      <c r="AO117" s="3428"/>
      <c r="AP117" s="3428"/>
      <c r="AQ117" s="3428"/>
      <c r="AR117" s="3428"/>
      <c r="AS117" s="3428"/>
      <c r="AT117" s="3428"/>
      <c r="AU117" s="3428"/>
      <c r="AV117" s="3428"/>
      <c r="AW117" s="3428"/>
      <c r="AX117" s="3428"/>
      <c r="AY117" s="3428"/>
      <c r="AZ117" s="3428"/>
      <c r="BA117" s="3428"/>
      <c r="BB117" s="3428"/>
      <c r="BC117" s="3428"/>
      <c r="BD117" s="3428"/>
      <c r="BE117" s="3428"/>
      <c r="BF117" s="3446"/>
      <c r="BG117" s="3446"/>
      <c r="BH117" s="3446"/>
      <c r="BI117" s="3409"/>
      <c r="BJ117" s="3409"/>
      <c r="BK117" s="3412"/>
      <c r="BL117" s="3446"/>
      <c r="BM117" s="3212"/>
      <c r="BN117" s="1688">
        <v>43485</v>
      </c>
      <c r="BO117" s="1738">
        <v>43516</v>
      </c>
      <c r="BP117" s="1688">
        <v>43610</v>
      </c>
      <c r="BQ117" s="1688">
        <v>43626</v>
      </c>
      <c r="BR117" s="3543"/>
      <c r="BS117" s="3398"/>
      <c r="BT117" s="1569"/>
    </row>
    <row r="118" spans="1:72" s="571" customFormat="1" ht="35.25" customHeight="1" x14ac:dyDescent="0.2">
      <c r="A118" s="3369"/>
      <c r="B118" s="3373"/>
      <c r="C118" s="3374"/>
      <c r="D118" s="3499"/>
      <c r="E118" s="3499"/>
      <c r="F118" s="3499"/>
      <c r="G118" s="1569"/>
      <c r="H118" s="1627"/>
      <c r="I118" s="1628"/>
      <c r="J118" s="3464">
        <v>238</v>
      </c>
      <c r="K118" s="3501" t="s">
        <v>1553</v>
      </c>
      <c r="L118" s="3402" t="s">
        <v>1554</v>
      </c>
      <c r="M118" s="3464">
        <v>12</v>
      </c>
      <c r="N118" s="3464">
        <v>3</v>
      </c>
      <c r="O118" s="1771"/>
      <c r="P118" s="3520"/>
      <c r="Q118" s="3471"/>
      <c r="R118" s="3531">
        <f>SUM(W118:W122)/S115</f>
        <v>0.14013907668533901</v>
      </c>
      <c r="S118" s="3538"/>
      <c r="T118" s="3401"/>
      <c r="U118" s="3401"/>
      <c r="V118" s="1638" t="s">
        <v>1555</v>
      </c>
      <c r="W118" s="1644">
        <v>23000000</v>
      </c>
      <c r="X118" s="1685">
        <f>4275000+4929166</f>
        <v>9204166</v>
      </c>
      <c r="Y118" s="1644">
        <f>1000000+1583000</f>
        <v>2583000</v>
      </c>
      <c r="Z118" s="1766">
        <v>20</v>
      </c>
      <c r="AA118" s="1765" t="s">
        <v>71</v>
      </c>
      <c r="AB118" s="3540"/>
      <c r="AC118" s="3446"/>
      <c r="AD118" s="3540"/>
      <c r="AE118" s="3446"/>
      <c r="AF118" s="3446"/>
      <c r="AG118" s="3540"/>
      <c r="AH118" s="3540"/>
      <c r="AI118" s="3540"/>
      <c r="AJ118" s="3540"/>
      <c r="AK118" s="3540"/>
      <c r="AL118" s="3540"/>
      <c r="AM118" s="3540"/>
      <c r="AN118" s="3428"/>
      <c r="AO118" s="3428"/>
      <c r="AP118" s="3428"/>
      <c r="AQ118" s="3428"/>
      <c r="AR118" s="3428"/>
      <c r="AS118" s="3428"/>
      <c r="AT118" s="3428"/>
      <c r="AU118" s="3428"/>
      <c r="AV118" s="3428"/>
      <c r="AW118" s="3428"/>
      <c r="AX118" s="3428"/>
      <c r="AY118" s="3428"/>
      <c r="AZ118" s="3428"/>
      <c r="BA118" s="3428"/>
      <c r="BB118" s="3428"/>
      <c r="BC118" s="3428"/>
      <c r="BD118" s="3428"/>
      <c r="BE118" s="3428"/>
      <c r="BF118" s="3446"/>
      <c r="BG118" s="3446"/>
      <c r="BH118" s="3446"/>
      <c r="BI118" s="3409"/>
      <c r="BJ118" s="3409"/>
      <c r="BK118" s="3412"/>
      <c r="BL118" s="3446"/>
      <c r="BM118" s="3212"/>
      <c r="BN118" s="1688">
        <v>43480</v>
      </c>
      <c r="BO118" s="1738">
        <v>43516</v>
      </c>
      <c r="BP118" s="1688">
        <v>43281</v>
      </c>
      <c r="BQ118" s="1738">
        <v>43809</v>
      </c>
      <c r="BR118" s="3543"/>
      <c r="BS118" s="3398"/>
      <c r="BT118" s="1569"/>
    </row>
    <row r="119" spans="1:72" s="571" customFormat="1" ht="33.75" customHeight="1" x14ac:dyDescent="0.2">
      <c r="A119" s="3369"/>
      <c r="B119" s="3373"/>
      <c r="C119" s="3374"/>
      <c r="D119" s="3499"/>
      <c r="E119" s="3499"/>
      <c r="F119" s="3499"/>
      <c r="G119" s="1569"/>
      <c r="H119" s="1627"/>
      <c r="I119" s="1628"/>
      <c r="J119" s="3464"/>
      <c r="K119" s="3501"/>
      <c r="L119" s="3402"/>
      <c r="M119" s="3464"/>
      <c r="N119" s="3464"/>
      <c r="O119" s="1771"/>
      <c r="P119" s="3520"/>
      <c r="Q119" s="3471"/>
      <c r="R119" s="3531"/>
      <c r="S119" s="3538"/>
      <c r="T119" s="3401"/>
      <c r="U119" s="3401"/>
      <c r="V119" s="1638" t="s">
        <v>1556</v>
      </c>
      <c r="W119" s="1644">
        <v>15550000</v>
      </c>
      <c r="X119" s="1685">
        <v>0</v>
      </c>
      <c r="Y119" s="1644">
        <v>0</v>
      </c>
      <c r="Z119" s="1766">
        <v>20</v>
      </c>
      <c r="AA119" s="1765" t="s">
        <v>71</v>
      </c>
      <c r="AB119" s="3540"/>
      <c r="AC119" s="3446"/>
      <c r="AD119" s="3540"/>
      <c r="AE119" s="3446"/>
      <c r="AF119" s="3446"/>
      <c r="AG119" s="3540"/>
      <c r="AH119" s="3540"/>
      <c r="AI119" s="3540"/>
      <c r="AJ119" s="3540"/>
      <c r="AK119" s="3540"/>
      <c r="AL119" s="3540"/>
      <c r="AM119" s="3540"/>
      <c r="AN119" s="3428"/>
      <c r="AO119" s="3428"/>
      <c r="AP119" s="3428"/>
      <c r="AQ119" s="3428"/>
      <c r="AR119" s="3428"/>
      <c r="AS119" s="3428"/>
      <c r="AT119" s="3428"/>
      <c r="AU119" s="3428"/>
      <c r="AV119" s="3428"/>
      <c r="AW119" s="3428"/>
      <c r="AX119" s="3428"/>
      <c r="AY119" s="3428"/>
      <c r="AZ119" s="3428"/>
      <c r="BA119" s="3428"/>
      <c r="BB119" s="3428"/>
      <c r="BC119" s="3428"/>
      <c r="BD119" s="3428"/>
      <c r="BE119" s="3428"/>
      <c r="BF119" s="3446"/>
      <c r="BG119" s="3446"/>
      <c r="BH119" s="3446"/>
      <c r="BI119" s="3409"/>
      <c r="BJ119" s="3409"/>
      <c r="BK119" s="3412"/>
      <c r="BL119" s="3446"/>
      <c r="BM119" s="3212"/>
      <c r="BN119" s="1639">
        <v>43575</v>
      </c>
      <c r="BO119" s="1639"/>
      <c r="BP119" s="1688">
        <v>43819</v>
      </c>
      <c r="BQ119" s="1688"/>
      <c r="BR119" s="3543"/>
      <c r="BS119" s="1569"/>
      <c r="BT119" s="1569"/>
    </row>
    <row r="120" spans="1:72" s="571" customFormat="1" ht="43.5" customHeight="1" x14ac:dyDescent="0.2">
      <c r="A120" s="3369"/>
      <c r="B120" s="3373"/>
      <c r="C120" s="3374"/>
      <c r="D120" s="3499"/>
      <c r="E120" s="3499"/>
      <c r="F120" s="3499"/>
      <c r="G120" s="1569"/>
      <c r="H120" s="1627"/>
      <c r="I120" s="1628"/>
      <c r="J120" s="3464"/>
      <c r="K120" s="3501"/>
      <c r="L120" s="3402"/>
      <c r="M120" s="3464"/>
      <c r="N120" s="3464"/>
      <c r="O120" s="1771"/>
      <c r="P120" s="3520"/>
      <c r="Q120" s="3471"/>
      <c r="R120" s="3531"/>
      <c r="S120" s="3538"/>
      <c r="T120" s="3401"/>
      <c r="U120" s="3401"/>
      <c r="V120" s="1638" t="s">
        <v>1557</v>
      </c>
      <c r="W120" s="1644">
        <v>13000000</v>
      </c>
      <c r="X120" s="1685">
        <v>0</v>
      </c>
      <c r="Y120" s="1644">
        <v>0</v>
      </c>
      <c r="Z120" s="1766">
        <v>20</v>
      </c>
      <c r="AA120" s="1765" t="s">
        <v>71</v>
      </c>
      <c r="AB120" s="3540"/>
      <c r="AC120" s="3446"/>
      <c r="AD120" s="3540"/>
      <c r="AE120" s="3446"/>
      <c r="AF120" s="3446"/>
      <c r="AG120" s="3540"/>
      <c r="AH120" s="3540"/>
      <c r="AI120" s="3540" t="s">
        <v>1558</v>
      </c>
      <c r="AJ120" s="3540"/>
      <c r="AK120" s="3540">
        <v>3335</v>
      </c>
      <c r="AL120" s="3540"/>
      <c r="AM120" s="3540"/>
      <c r="AN120" s="3428"/>
      <c r="AO120" s="3428"/>
      <c r="AP120" s="3428"/>
      <c r="AQ120" s="3428"/>
      <c r="AR120" s="3428"/>
      <c r="AS120" s="3428"/>
      <c r="AT120" s="3428"/>
      <c r="AU120" s="3428"/>
      <c r="AV120" s="3428"/>
      <c r="AW120" s="3428"/>
      <c r="AX120" s="3428"/>
      <c r="AY120" s="3428"/>
      <c r="AZ120" s="3428"/>
      <c r="BA120" s="3428"/>
      <c r="BB120" s="3428"/>
      <c r="BC120" s="3428"/>
      <c r="BD120" s="3428"/>
      <c r="BE120" s="3428"/>
      <c r="BF120" s="3446"/>
      <c r="BG120" s="3446"/>
      <c r="BH120" s="3446"/>
      <c r="BI120" s="3409"/>
      <c r="BJ120" s="3409"/>
      <c r="BK120" s="3412"/>
      <c r="BL120" s="3446"/>
      <c r="BM120" s="3212"/>
      <c r="BN120" s="1639">
        <v>43595</v>
      </c>
      <c r="BO120" s="1639"/>
      <c r="BP120" s="1639">
        <v>43692</v>
      </c>
      <c r="BQ120" s="1639"/>
      <c r="BR120" s="3543"/>
      <c r="BS120" s="1569"/>
      <c r="BT120" s="1569"/>
    </row>
    <row r="121" spans="1:72" s="571" customFormat="1" ht="27" customHeight="1" x14ac:dyDescent="0.2">
      <c r="A121" s="3369"/>
      <c r="B121" s="3373"/>
      <c r="C121" s="3374"/>
      <c r="D121" s="3499"/>
      <c r="E121" s="3499"/>
      <c r="F121" s="3499"/>
      <c r="G121" s="1569"/>
      <c r="H121" s="1627"/>
      <c r="I121" s="1628"/>
      <c r="J121" s="3464"/>
      <c r="K121" s="3501"/>
      <c r="L121" s="3402"/>
      <c r="M121" s="3464"/>
      <c r="N121" s="3464"/>
      <c r="O121" s="1771"/>
      <c r="P121" s="3520"/>
      <c r="Q121" s="3471"/>
      <c r="R121" s="3531"/>
      <c r="S121" s="3538"/>
      <c r="T121" s="3401"/>
      <c r="U121" s="3401"/>
      <c r="V121" s="1638" t="s">
        <v>1559</v>
      </c>
      <c r="W121" s="1644">
        <v>11000000</v>
      </c>
      <c r="X121" s="1685">
        <v>0</v>
      </c>
      <c r="Y121" s="1644">
        <v>0</v>
      </c>
      <c r="Z121" s="1766">
        <v>20</v>
      </c>
      <c r="AA121" s="1765" t="s">
        <v>71</v>
      </c>
      <c r="AB121" s="3540"/>
      <c r="AC121" s="3446"/>
      <c r="AD121" s="3540"/>
      <c r="AE121" s="3446"/>
      <c r="AF121" s="3446"/>
      <c r="AG121" s="3540" t="s">
        <v>1560</v>
      </c>
      <c r="AH121" s="3540"/>
      <c r="AI121" s="3540"/>
      <c r="AJ121" s="3540"/>
      <c r="AK121" s="3540"/>
      <c r="AL121" s="3540"/>
      <c r="AM121" s="3540" t="s">
        <v>1561</v>
      </c>
      <c r="AN121" s="3428"/>
      <c r="AO121" s="3428"/>
      <c r="AP121" s="3428"/>
      <c r="AQ121" s="3428"/>
      <c r="AR121" s="3428"/>
      <c r="AS121" s="3428"/>
      <c r="AT121" s="3428"/>
      <c r="AU121" s="3428"/>
      <c r="AV121" s="3428"/>
      <c r="AW121" s="3428"/>
      <c r="AX121" s="3428"/>
      <c r="AY121" s="3428"/>
      <c r="AZ121" s="3428"/>
      <c r="BA121" s="3428"/>
      <c r="BB121" s="3428"/>
      <c r="BC121" s="3428"/>
      <c r="BD121" s="3428"/>
      <c r="BE121" s="3428"/>
      <c r="BF121" s="3446"/>
      <c r="BG121" s="3446"/>
      <c r="BH121" s="3446"/>
      <c r="BI121" s="3409"/>
      <c r="BJ121" s="3409"/>
      <c r="BK121" s="3412"/>
      <c r="BL121" s="3446"/>
      <c r="BM121" s="3212"/>
      <c r="BN121" s="1639">
        <v>43565</v>
      </c>
      <c r="BO121" s="1639"/>
      <c r="BP121" s="1639">
        <v>43723</v>
      </c>
      <c r="BQ121" s="1639"/>
      <c r="BR121" s="3543"/>
      <c r="BS121" s="1569"/>
      <c r="BT121" s="1569"/>
    </row>
    <row r="122" spans="1:72" s="571" customFormat="1" ht="55.5" customHeight="1" x14ac:dyDescent="0.2">
      <c r="A122" s="3369"/>
      <c r="B122" s="3373"/>
      <c r="C122" s="3374"/>
      <c r="D122" s="3499"/>
      <c r="E122" s="3499"/>
      <c r="F122" s="3499"/>
      <c r="G122" s="1569"/>
      <c r="H122" s="1627"/>
      <c r="I122" s="1628"/>
      <c r="J122" s="3464"/>
      <c r="K122" s="3501"/>
      <c r="L122" s="3402"/>
      <c r="M122" s="3464"/>
      <c r="N122" s="3464"/>
      <c r="O122" s="1774" t="s">
        <v>1562</v>
      </c>
      <c r="P122" s="3520"/>
      <c r="Q122" s="3471"/>
      <c r="R122" s="3531"/>
      <c r="S122" s="3538"/>
      <c r="T122" s="3401"/>
      <c r="U122" s="3401"/>
      <c r="V122" s="1638" t="s">
        <v>1563</v>
      </c>
      <c r="W122" s="1644">
        <f>8800000+1200000</f>
        <v>10000000</v>
      </c>
      <c r="X122" s="1685">
        <v>7929166</v>
      </c>
      <c r="Y122" s="1644">
        <v>2166000</v>
      </c>
      <c r="Z122" s="1766">
        <v>20</v>
      </c>
      <c r="AA122" s="1765" t="s">
        <v>71</v>
      </c>
      <c r="AB122" s="3540"/>
      <c r="AC122" s="3446"/>
      <c r="AD122" s="3540"/>
      <c r="AE122" s="3446"/>
      <c r="AF122" s="3446"/>
      <c r="AG122" s="3540"/>
      <c r="AH122" s="3540"/>
      <c r="AI122" s="3540"/>
      <c r="AJ122" s="3540"/>
      <c r="AK122" s="3540"/>
      <c r="AL122" s="3540"/>
      <c r="AM122" s="3540"/>
      <c r="AN122" s="3428"/>
      <c r="AO122" s="3428"/>
      <c r="AP122" s="3428"/>
      <c r="AQ122" s="3428"/>
      <c r="AR122" s="3428"/>
      <c r="AS122" s="3428"/>
      <c r="AT122" s="3428"/>
      <c r="AU122" s="3428"/>
      <c r="AV122" s="3428"/>
      <c r="AW122" s="3428"/>
      <c r="AX122" s="3428"/>
      <c r="AY122" s="3428"/>
      <c r="AZ122" s="3428"/>
      <c r="BA122" s="3428"/>
      <c r="BB122" s="3428"/>
      <c r="BC122" s="3428"/>
      <c r="BD122" s="3428"/>
      <c r="BE122" s="3428"/>
      <c r="BF122" s="3446"/>
      <c r="BG122" s="3446"/>
      <c r="BH122" s="3446"/>
      <c r="BI122" s="3409"/>
      <c r="BJ122" s="3409"/>
      <c r="BK122" s="3412"/>
      <c r="BL122" s="3446"/>
      <c r="BM122" s="3212"/>
      <c r="BN122" s="1639">
        <v>43595</v>
      </c>
      <c r="BO122" s="1738">
        <v>43516</v>
      </c>
      <c r="BP122" s="1639">
        <v>43687</v>
      </c>
      <c r="BQ122" s="1688">
        <v>43626</v>
      </c>
      <c r="BR122" s="3543"/>
      <c r="BS122" s="1569"/>
      <c r="BT122" s="1569"/>
    </row>
    <row r="123" spans="1:72" s="571" customFormat="1" ht="50.25" customHeight="1" x14ac:dyDescent="0.2">
      <c r="A123" s="3369"/>
      <c r="B123" s="3373"/>
      <c r="C123" s="3374"/>
      <c r="D123" s="3499"/>
      <c r="E123" s="3499"/>
      <c r="F123" s="3499"/>
      <c r="G123" s="1569"/>
      <c r="H123" s="1627"/>
      <c r="I123" s="1628"/>
      <c r="J123" s="1775">
        <v>239</v>
      </c>
      <c r="K123" s="1776" t="s">
        <v>1564</v>
      </c>
      <c r="L123" s="1695" t="s">
        <v>1565</v>
      </c>
      <c r="M123" s="1777">
        <v>1.98</v>
      </c>
      <c r="N123" s="1775">
        <v>0</v>
      </c>
      <c r="O123" s="1771"/>
      <c r="P123" s="3520"/>
      <c r="Q123" s="3471"/>
      <c r="R123" s="1778">
        <f>SUM(W123)/S115</f>
        <v>0.14448522310218273</v>
      </c>
      <c r="S123" s="3538"/>
      <c r="T123" s="3401"/>
      <c r="U123" s="3401"/>
      <c r="V123" s="1699" t="s">
        <v>1566</v>
      </c>
      <c r="W123" s="1644">
        <v>74800000</v>
      </c>
      <c r="X123" s="1685">
        <v>0</v>
      </c>
      <c r="Y123" s="1644">
        <v>0</v>
      </c>
      <c r="Z123" s="1766">
        <v>20</v>
      </c>
      <c r="AA123" s="1765" t="s">
        <v>71</v>
      </c>
      <c r="AB123" s="3540"/>
      <c r="AC123" s="3446"/>
      <c r="AD123" s="3540"/>
      <c r="AE123" s="3446"/>
      <c r="AF123" s="3446"/>
      <c r="AG123" s="3540"/>
      <c r="AH123" s="3540"/>
      <c r="AI123" s="3540"/>
      <c r="AJ123" s="3540"/>
      <c r="AK123" s="3540"/>
      <c r="AL123" s="3540"/>
      <c r="AM123" s="3540"/>
      <c r="AN123" s="3428"/>
      <c r="AO123" s="3428"/>
      <c r="AP123" s="3428"/>
      <c r="AQ123" s="3428"/>
      <c r="AR123" s="3428"/>
      <c r="AS123" s="3428"/>
      <c r="AT123" s="3428"/>
      <c r="AU123" s="3428"/>
      <c r="AV123" s="3428"/>
      <c r="AW123" s="3428"/>
      <c r="AX123" s="3428"/>
      <c r="AY123" s="3428"/>
      <c r="AZ123" s="3428"/>
      <c r="BA123" s="3428"/>
      <c r="BB123" s="3428"/>
      <c r="BC123" s="3428"/>
      <c r="BD123" s="3428"/>
      <c r="BE123" s="3428"/>
      <c r="BF123" s="3446"/>
      <c r="BG123" s="3446"/>
      <c r="BH123" s="3446"/>
      <c r="BI123" s="3409"/>
      <c r="BJ123" s="3409"/>
      <c r="BK123" s="3412"/>
      <c r="BL123" s="3446"/>
      <c r="BM123" s="3212"/>
      <c r="BN123" s="1639">
        <v>43600</v>
      </c>
      <c r="BO123" s="1639"/>
      <c r="BP123" s="1639">
        <v>43661</v>
      </c>
      <c r="BQ123" s="1639"/>
      <c r="BR123" s="3543"/>
      <c r="BS123" s="1569"/>
      <c r="BT123" s="1569"/>
    </row>
    <row r="124" spans="1:72" s="571" customFormat="1" ht="38.25" customHeight="1" x14ac:dyDescent="0.2">
      <c r="A124" s="3369"/>
      <c r="B124" s="3373"/>
      <c r="C124" s="3374"/>
      <c r="D124" s="3499"/>
      <c r="E124" s="3499"/>
      <c r="F124" s="3499"/>
      <c r="G124" s="1569"/>
      <c r="H124" s="1627"/>
      <c r="I124" s="1628"/>
      <c r="J124" s="3464">
        <v>240</v>
      </c>
      <c r="K124" s="3501" t="s">
        <v>1567</v>
      </c>
      <c r="L124" s="3547" t="s">
        <v>1568</v>
      </c>
      <c r="M124" s="3548">
        <v>1</v>
      </c>
      <c r="N124" s="3297">
        <v>0.25</v>
      </c>
      <c r="O124" s="1771"/>
      <c r="P124" s="3520"/>
      <c r="Q124" s="3471"/>
      <c r="R124" s="3531">
        <f>SUM(W124:W130)/S115</f>
        <v>0.48000772648251883</v>
      </c>
      <c r="S124" s="3538"/>
      <c r="T124" s="3401"/>
      <c r="U124" s="3401"/>
      <c r="V124" s="1699" t="s">
        <v>1569</v>
      </c>
      <c r="W124" s="1644">
        <v>10000000</v>
      </c>
      <c r="X124" s="1685">
        <v>6819300</v>
      </c>
      <c r="Y124" s="1644">
        <v>0</v>
      </c>
      <c r="Z124" s="1766">
        <v>20</v>
      </c>
      <c r="AA124" s="1765" t="s">
        <v>71</v>
      </c>
      <c r="AB124" s="3540"/>
      <c r="AC124" s="3446"/>
      <c r="AD124" s="3540"/>
      <c r="AE124" s="3446"/>
      <c r="AF124" s="3446"/>
      <c r="AG124" s="3540"/>
      <c r="AH124" s="3540"/>
      <c r="AI124" s="3540"/>
      <c r="AJ124" s="3540"/>
      <c r="AK124" s="3540"/>
      <c r="AL124" s="3540"/>
      <c r="AM124" s="3540"/>
      <c r="AN124" s="3428"/>
      <c r="AO124" s="3428"/>
      <c r="AP124" s="3428"/>
      <c r="AQ124" s="3428"/>
      <c r="AR124" s="3428"/>
      <c r="AS124" s="3428"/>
      <c r="AT124" s="3428"/>
      <c r="AU124" s="3428"/>
      <c r="AV124" s="3428"/>
      <c r="AW124" s="3428"/>
      <c r="AX124" s="3428"/>
      <c r="AY124" s="3428"/>
      <c r="AZ124" s="3428"/>
      <c r="BA124" s="3428"/>
      <c r="BB124" s="3428"/>
      <c r="BC124" s="3428"/>
      <c r="BD124" s="3428"/>
      <c r="BE124" s="3428"/>
      <c r="BF124" s="3446"/>
      <c r="BG124" s="3446"/>
      <c r="BH124" s="3446"/>
      <c r="BI124" s="3409"/>
      <c r="BJ124" s="3409"/>
      <c r="BK124" s="3412"/>
      <c r="BL124" s="3446"/>
      <c r="BM124" s="3212"/>
      <c r="BN124" s="1639">
        <v>43534</v>
      </c>
      <c r="BO124" s="1738">
        <v>43516</v>
      </c>
      <c r="BP124" s="1639">
        <v>43615</v>
      </c>
      <c r="BQ124" s="1639">
        <v>43819</v>
      </c>
      <c r="BR124" s="3543"/>
      <c r="BS124" s="1569"/>
      <c r="BT124" s="1569"/>
    </row>
    <row r="125" spans="1:72" s="571" customFormat="1" ht="38.25" customHeight="1" x14ac:dyDescent="0.2">
      <c r="A125" s="3369"/>
      <c r="B125" s="3373"/>
      <c r="C125" s="3374"/>
      <c r="D125" s="3499"/>
      <c r="E125" s="3499"/>
      <c r="F125" s="3499"/>
      <c r="G125" s="1569"/>
      <c r="H125" s="1627"/>
      <c r="I125" s="1628"/>
      <c r="J125" s="3464"/>
      <c r="K125" s="3501"/>
      <c r="L125" s="3547"/>
      <c r="M125" s="3548"/>
      <c r="N125" s="3297"/>
      <c r="O125" s="1771"/>
      <c r="P125" s="3520"/>
      <c r="Q125" s="3471"/>
      <c r="R125" s="3531"/>
      <c r="S125" s="3538"/>
      <c r="T125" s="3401"/>
      <c r="U125" s="3401"/>
      <c r="V125" s="1699" t="s">
        <v>1570</v>
      </c>
      <c r="W125" s="1644">
        <v>45000000</v>
      </c>
      <c r="X125" s="1685">
        <f>17078959+17078959</f>
        <v>34157918</v>
      </c>
      <c r="Y125" s="1644">
        <f>7166000+7166000</f>
        <v>14332000</v>
      </c>
      <c r="Z125" s="1766">
        <v>20</v>
      </c>
      <c r="AA125" s="1765" t="s">
        <v>71</v>
      </c>
      <c r="AB125" s="3540"/>
      <c r="AC125" s="3446"/>
      <c r="AD125" s="3540"/>
      <c r="AE125" s="3446"/>
      <c r="AF125" s="3446"/>
      <c r="AG125" s="3540"/>
      <c r="AH125" s="3540"/>
      <c r="AI125" s="3540"/>
      <c r="AJ125" s="3540"/>
      <c r="AK125" s="3540"/>
      <c r="AL125" s="3540"/>
      <c r="AM125" s="3540"/>
      <c r="AN125" s="3428"/>
      <c r="AO125" s="3428"/>
      <c r="AP125" s="3428"/>
      <c r="AQ125" s="3428"/>
      <c r="AR125" s="3428"/>
      <c r="AS125" s="3428"/>
      <c r="AT125" s="3428"/>
      <c r="AU125" s="3428"/>
      <c r="AV125" s="3428"/>
      <c r="AW125" s="3428"/>
      <c r="AX125" s="3428"/>
      <c r="AY125" s="3428"/>
      <c r="AZ125" s="3428"/>
      <c r="BA125" s="3428"/>
      <c r="BB125" s="3428"/>
      <c r="BC125" s="3428"/>
      <c r="BD125" s="3428"/>
      <c r="BE125" s="3428"/>
      <c r="BF125" s="3446"/>
      <c r="BG125" s="3446"/>
      <c r="BH125" s="3446"/>
      <c r="BI125" s="3409"/>
      <c r="BJ125" s="3409"/>
      <c r="BK125" s="3412"/>
      <c r="BL125" s="3446"/>
      <c r="BM125" s="3212"/>
      <c r="BN125" s="1639">
        <v>43480</v>
      </c>
      <c r="BO125" s="1738">
        <v>43516</v>
      </c>
      <c r="BP125" s="1639">
        <v>43646</v>
      </c>
      <c r="BQ125" s="1639">
        <v>43819</v>
      </c>
      <c r="BR125" s="3543"/>
      <c r="BS125" s="1569"/>
      <c r="BT125" s="1569"/>
    </row>
    <row r="126" spans="1:72" s="571" customFormat="1" ht="30.75" customHeight="1" x14ac:dyDescent="0.2">
      <c r="A126" s="3369"/>
      <c r="B126" s="3373"/>
      <c r="C126" s="3374"/>
      <c r="D126" s="3499"/>
      <c r="E126" s="3499"/>
      <c r="F126" s="3499"/>
      <c r="G126" s="1569"/>
      <c r="H126" s="1627"/>
      <c r="I126" s="1628"/>
      <c r="J126" s="3464"/>
      <c r="K126" s="3501"/>
      <c r="L126" s="3547"/>
      <c r="M126" s="3548"/>
      <c r="N126" s="3297"/>
      <c r="O126" s="1771"/>
      <c r="P126" s="3520"/>
      <c r="Q126" s="3471"/>
      <c r="R126" s="3531"/>
      <c r="S126" s="3538"/>
      <c r="T126" s="3401"/>
      <c r="U126" s="3401"/>
      <c r="V126" s="1699" t="s">
        <v>1571</v>
      </c>
      <c r="W126" s="1644">
        <v>40000000</v>
      </c>
      <c r="X126" s="1685">
        <v>12777533</v>
      </c>
      <c r="Y126" s="1644">
        <v>5596000</v>
      </c>
      <c r="Z126" s="1766">
        <v>20</v>
      </c>
      <c r="AA126" s="1765" t="s">
        <v>71</v>
      </c>
      <c r="AB126" s="3540"/>
      <c r="AC126" s="3446"/>
      <c r="AD126" s="3540"/>
      <c r="AE126" s="3446"/>
      <c r="AF126" s="3446"/>
      <c r="AG126" s="3540"/>
      <c r="AH126" s="3540"/>
      <c r="AI126" s="3540"/>
      <c r="AJ126" s="3540"/>
      <c r="AK126" s="3540"/>
      <c r="AL126" s="3540"/>
      <c r="AM126" s="3540"/>
      <c r="AN126" s="3428"/>
      <c r="AO126" s="3428"/>
      <c r="AP126" s="3428"/>
      <c r="AQ126" s="3428"/>
      <c r="AR126" s="3428"/>
      <c r="AS126" s="3428"/>
      <c r="AT126" s="3428"/>
      <c r="AU126" s="3428"/>
      <c r="AV126" s="3428"/>
      <c r="AW126" s="3428"/>
      <c r="AX126" s="3428"/>
      <c r="AY126" s="3428"/>
      <c r="AZ126" s="3428"/>
      <c r="BA126" s="3428"/>
      <c r="BB126" s="3428"/>
      <c r="BC126" s="3428"/>
      <c r="BD126" s="3428"/>
      <c r="BE126" s="3428"/>
      <c r="BF126" s="3446"/>
      <c r="BG126" s="3446"/>
      <c r="BH126" s="3446"/>
      <c r="BI126" s="3409"/>
      <c r="BJ126" s="3409"/>
      <c r="BK126" s="3412"/>
      <c r="BL126" s="3446"/>
      <c r="BM126" s="3212"/>
      <c r="BN126" s="1639">
        <v>43480</v>
      </c>
      <c r="BO126" s="1738">
        <v>43517</v>
      </c>
      <c r="BP126" s="1639">
        <v>43646</v>
      </c>
      <c r="BQ126" s="1639">
        <v>43819</v>
      </c>
      <c r="BR126" s="3543"/>
      <c r="BS126" s="1569"/>
      <c r="BT126" s="1569"/>
    </row>
    <row r="127" spans="1:72" s="571" customFormat="1" ht="46.5" customHeight="1" x14ac:dyDescent="0.2">
      <c r="A127" s="3369"/>
      <c r="B127" s="3373"/>
      <c r="C127" s="3374"/>
      <c r="D127" s="3499"/>
      <c r="E127" s="3499"/>
      <c r="F127" s="3499"/>
      <c r="G127" s="1569"/>
      <c r="H127" s="1627"/>
      <c r="I127" s="1628"/>
      <c r="J127" s="3464"/>
      <c r="K127" s="3501"/>
      <c r="L127" s="3547"/>
      <c r="M127" s="3548"/>
      <c r="N127" s="3297"/>
      <c r="O127" s="1771"/>
      <c r="P127" s="3520"/>
      <c r="Q127" s="3471"/>
      <c r="R127" s="3531"/>
      <c r="S127" s="3538"/>
      <c r="T127" s="3401"/>
      <c r="U127" s="3401"/>
      <c r="V127" s="1699" t="s">
        <v>1572</v>
      </c>
      <c r="W127" s="1644">
        <v>53000000</v>
      </c>
      <c r="X127" s="1685">
        <v>0</v>
      </c>
      <c r="Y127" s="1644">
        <v>0</v>
      </c>
      <c r="Z127" s="1766">
        <v>20</v>
      </c>
      <c r="AA127" s="1765" t="s">
        <v>71</v>
      </c>
      <c r="AB127" s="3540"/>
      <c r="AC127" s="3446"/>
      <c r="AD127" s="3540"/>
      <c r="AE127" s="3446"/>
      <c r="AF127" s="3446"/>
      <c r="AG127" s="3540"/>
      <c r="AH127" s="3540"/>
      <c r="AI127" s="3540"/>
      <c r="AJ127" s="3540"/>
      <c r="AK127" s="3540"/>
      <c r="AL127" s="3540"/>
      <c r="AM127" s="3540"/>
      <c r="AN127" s="3428"/>
      <c r="AO127" s="3428"/>
      <c r="AP127" s="3428"/>
      <c r="AQ127" s="3428"/>
      <c r="AR127" s="3428"/>
      <c r="AS127" s="3428"/>
      <c r="AT127" s="3428"/>
      <c r="AU127" s="3428"/>
      <c r="AV127" s="3428"/>
      <c r="AW127" s="3428"/>
      <c r="AX127" s="3428"/>
      <c r="AY127" s="3428"/>
      <c r="AZ127" s="3428"/>
      <c r="BA127" s="3428"/>
      <c r="BB127" s="3428"/>
      <c r="BC127" s="3428"/>
      <c r="BD127" s="3428"/>
      <c r="BE127" s="3428"/>
      <c r="BF127" s="3446"/>
      <c r="BG127" s="3446"/>
      <c r="BH127" s="3446"/>
      <c r="BI127" s="3409"/>
      <c r="BJ127" s="3409"/>
      <c r="BK127" s="3412"/>
      <c r="BL127" s="3446"/>
      <c r="BM127" s="3212"/>
      <c r="BN127" s="1639">
        <v>43480</v>
      </c>
      <c r="BO127" s="1639"/>
      <c r="BP127" s="1639">
        <v>43799</v>
      </c>
      <c r="BQ127" s="1639"/>
      <c r="BR127" s="3543"/>
      <c r="BS127" s="1569"/>
      <c r="BT127" s="1569"/>
    </row>
    <row r="128" spans="1:72" s="571" customFormat="1" ht="44.25" customHeight="1" x14ac:dyDescent="0.2">
      <c r="A128" s="3369"/>
      <c r="B128" s="3373"/>
      <c r="C128" s="3374"/>
      <c r="D128" s="3499"/>
      <c r="E128" s="3499"/>
      <c r="F128" s="3499"/>
      <c r="G128" s="1569"/>
      <c r="H128" s="1627"/>
      <c r="I128" s="1628"/>
      <c r="J128" s="3464"/>
      <c r="K128" s="3501"/>
      <c r="L128" s="3547"/>
      <c r="M128" s="3548"/>
      <c r="N128" s="3297"/>
      <c r="O128" s="1771"/>
      <c r="P128" s="3520"/>
      <c r="Q128" s="3471"/>
      <c r="R128" s="3531"/>
      <c r="S128" s="3538"/>
      <c r="T128" s="3401"/>
      <c r="U128" s="3401"/>
      <c r="V128" s="1699" t="s">
        <v>1573</v>
      </c>
      <c r="W128" s="1644">
        <v>50000000</v>
      </c>
      <c r="X128" s="1685">
        <f>7165100+8833333+8904000</f>
        <v>24902433</v>
      </c>
      <c r="Y128" s="1644">
        <f>3180000+2226000</f>
        <v>5406000</v>
      </c>
      <c r="Z128" s="1766">
        <v>20</v>
      </c>
      <c r="AA128" s="1765" t="s">
        <v>71</v>
      </c>
      <c r="AB128" s="3540"/>
      <c r="AC128" s="3446"/>
      <c r="AD128" s="3540"/>
      <c r="AE128" s="3446"/>
      <c r="AF128" s="3446"/>
      <c r="AG128" s="3540"/>
      <c r="AH128" s="3540"/>
      <c r="AI128" s="3540"/>
      <c r="AJ128" s="3540"/>
      <c r="AK128" s="3540"/>
      <c r="AL128" s="3540"/>
      <c r="AM128" s="3540"/>
      <c r="AN128" s="3428"/>
      <c r="AO128" s="3428"/>
      <c r="AP128" s="3428"/>
      <c r="AQ128" s="3428"/>
      <c r="AR128" s="3428"/>
      <c r="AS128" s="3428"/>
      <c r="AT128" s="3428"/>
      <c r="AU128" s="3428"/>
      <c r="AV128" s="3428"/>
      <c r="AW128" s="3428"/>
      <c r="AX128" s="3428"/>
      <c r="AY128" s="3428"/>
      <c r="AZ128" s="3428"/>
      <c r="BA128" s="3428"/>
      <c r="BB128" s="3428"/>
      <c r="BC128" s="3428"/>
      <c r="BD128" s="3428"/>
      <c r="BE128" s="3428"/>
      <c r="BF128" s="3446"/>
      <c r="BG128" s="3446"/>
      <c r="BH128" s="3446"/>
      <c r="BI128" s="3409"/>
      <c r="BJ128" s="3409"/>
      <c r="BK128" s="3412"/>
      <c r="BL128" s="3446"/>
      <c r="BM128" s="3212"/>
      <c r="BN128" s="1639">
        <v>43480</v>
      </c>
      <c r="BO128" s="1738">
        <v>43517</v>
      </c>
      <c r="BP128" s="1639">
        <v>43799</v>
      </c>
      <c r="BQ128" s="1639">
        <v>43819</v>
      </c>
      <c r="BR128" s="3543"/>
      <c r="BS128" s="1569"/>
      <c r="BT128" s="1569"/>
    </row>
    <row r="129" spans="1:72" s="571" customFormat="1" ht="43.5" customHeight="1" x14ac:dyDescent="0.2">
      <c r="A129" s="3369"/>
      <c r="B129" s="3373"/>
      <c r="C129" s="3374"/>
      <c r="D129" s="3499"/>
      <c r="E129" s="3499"/>
      <c r="F129" s="3499"/>
      <c r="G129" s="1569"/>
      <c r="H129" s="1627"/>
      <c r="I129" s="1628"/>
      <c r="J129" s="3464"/>
      <c r="K129" s="3501"/>
      <c r="L129" s="3547"/>
      <c r="M129" s="3548"/>
      <c r="N129" s="3297"/>
      <c r="O129" s="1771"/>
      <c r="P129" s="3520"/>
      <c r="Q129" s="3471"/>
      <c r="R129" s="3531"/>
      <c r="S129" s="3538"/>
      <c r="T129" s="3401"/>
      <c r="U129" s="3401"/>
      <c r="V129" s="1699" t="s">
        <v>1574</v>
      </c>
      <c r="W129" s="1644">
        <v>35500000</v>
      </c>
      <c r="X129" s="1685">
        <f>12777533+8126948+12777533</f>
        <v>33682014</v>
      </c>
      <c r="Y129" s="1644">
        <f>5596000+2812415+5596000+45000</f>
        <v>14049415</v>
      </c>
      <c r="Z129" s="1766">
        <v>20</v>
      </c>
      <c r="AA129" s="1765" t="s">
        <v>71</v>
      </c>
      <c r="AB129" s="3540"/>
      <c r="AC129" s="3446"/>
      <c r="AD129" s="3540"/>
      <c r="AE129" s="3446"/>
      <c r="AF129" s="3446"/>
      <c r="AG129" s="3540"/>
      <c r="AH129" s="3540"/>
      <c r="AI129" s="3540"/>
      <c r="AJ129" s="3540"/>
      <c r="AK129" s="3540"/>
      <c r="AL129" s="3540"/>
      <c r="AM129" s="3540"/>
      <c r="AN129" s="3428"/>
      <c r="AO129" s="3428"/>
      <c r="AP129" s="3428"/>
      <c r="AQ129" s="3428"/>
      <c r="AR129" s="3428"/>
      <c r="AS129" s="3428"/>
      <c r="AT129" s="3428"/>
      <c r="AU129" s="3428"/>
      <c r="AV129" s="3428"/>
      <c r="AW129" s="3428"/>
      <c r="AX129" s="3428"/>
      <c r="AY129" s="3428"/>
      <c r="AZ129" s="3428"/>
      <c r="BA129" s="3428"/>
      <c r="BB129" s="3428"/>
      <c r="BC129" s="3428"/>
      <c r="BD129" s="3428"/>
      <c r="BE129" s="3428"/>
      <c r="BF129" s="3446"/>
      <c r="BG129" s="3446"/>
      <c r="BH129" s="3446"/>
      <c r="BI129" s="3409"/>
      <c r="BJ129" s="3409"/>
      <c r="BK129" s="3412"/>
      <c r="BL129" s="3446"/>
      <c r="BM129" s="3212"/>
      <c r="BN129" s="1639">
        <v>43480</v>
      </c>
      <c r="BO129" s="1738">
        <v>43517</v>
      </c>
      <c r="BP129" s="1639">
        <v>43799</v>
      </c>
      <c r="BQ129" s="1688">
        <v>43626</v>
      </c>
      <c r="BR129" s="3543"/>
      <c r="BS129" s="1569"/>
      <c r="BT129" s="1569"/>
    </row>
    <row r="130" spans="1:72" s="571" customFormat="1" ht="31.5" customHeight="1" x14ac:dyDescent="0.2">
      <c r="A130" s="3369"/>
      <c r="B130" s="3373"/>
      <c r="C130" s="3374"/>
      <c r="D130" s="3499"/>
      <c r="E130" s="3499"/>
      <c r="F130" s="3499"/>
      <c r="G130" s="1569"/>
      <c r="H130" s="1658"/>
      <c r="I130" s="1659"/>
      <c r="J130" s="3464"/>
      <c r="K130" s="3501"/>
      <c r="L130" s="3547"/>
      <c r="M130" s="3548"/>
      <c r="N130" s="3297"/>
      <c r="O130" s="1771"/>
      <c r="P130" s="3520"/>
      <c r="Q130" s="3471"/>
      <c r="R130" s="3531"/>
      <c r="S130" s="3539"/>
      <c r="T130" s="3401"/>
      <c r="U130" s="3401"/>
      <c r="V130" s="1699" t="s">
        <v>1382</v>
      </c>
      <c r="W130" s="1644">
        <v>15000000</v>
      </c>
      <c r="X130" s="1685">
        <v>0</v>
      </c>
      <c r="Y130" s="1644">
        <v>0</v>
      </c>
      <c r="Z130" s="1766">
        <v>20</v>
      </c>
      <c r="AA130" s="1765" t="s">
        <v>71</v>
      </c>
      <c r="AB130" s="3541"/>
      <c r="AC130" s="3447"/>
      <c r="AD130" s="3541"/>
      <c r="AE130" s="3447"/>
      <c r="AF130" s="3447"/>
      <c r="AG130" s="3541"/>
      <c r="AH130" s="3541"/>
      <c r="AI130" s="3541"/>
      <c r="AJ130" s="3541"/>
      <c r="AK130" s="3541"/>
      <c r="AL130" s="3541"/>
      <c r="AM130" s="3541"/>
      <c r="AN130" s="3429"/>
      <c r="AO130" s="3429"/>
      <c r="AP130" s="3429"/>
      <c r="AQ130" s="3429"/>
      <c r="AR130" s="3429"/>
      <c r="AS130" s="3429"/>
      <c r="AT130" s="3429"/>
      <c r="AU130" s="3429"/>
      <c r="AV130" s="3429"/>
      <c r="AW130" s="3429"/>
      <c r="AX130" s="3429"/>
      <c r="AY130" s="3429"/>
      <c r="AZ130" s="3429"/>
      <c r="BA130" s="3429"/>
      <c r="BB130" s="3429"/>
      <c r="BC130" s="3429"/>
      <c r="BD130" s="3429"/>
      <c r="BE130" s="3429"/>
      <c r="BF130" s="3447"/>
      <c r="BG130" s="3447"/>
      <c r="BH130" s="3447"/>
      <c r="BI130" s="3410"/>
      <c r="BJ130" s="3410"/>
      <c r="BK130" s="3413"/>
      <c r="BL130" s="3447"/>
      <c r="BM130" s="3213"/>
      <c r="BN130" s="1639">
        <v>43539</v>
      </c>
      <c r="BO130" s="1639"/>
      <c r="BP130" s="1639">
        <v>43819</v>
      </c>
      <c r="BQ130" s="1639"/>
      <c r="BR130" s="3543"/>
      <c r="BS130" s="1569"/>
      <c r="BT130" s="1569"/>
    </row>
    <row r="131" spans="1:72" s="1569" customFormat="1" ht="15" customHeight="1" x14ac:dyDescent="0.2">
      <c r="A131" s="3369"/>
      <c r="B131" s="3373"/>
      <c r="C131" s="3374"/>
      <c r="D131" s="3499"/>
      <c r="E131" s="3499"/>
      <c r="F131" s="3499"/>
      <c r="G131" s="1609">
        <v>82</v>
      </c>
      <c r="H131" s="151" t="s">
        <v>1575</v>
      </c>
      <c r="I131" s="151"/>
      <c r="J131" s="1663"/>
      <c r="K131" s="1664"/>
      <c r="L131" s="1665"/>
      <c r="M131" s="1750"/>
      <c r="N131" s="272"/>
      <c r="O131" s="272"/>
      <c r="P131" s="278"/>
      <c r="Q131" s="153"/>
      <c r="R131" s="1666"/>
      <c r="S131" s="1667"/>
      <c r="T131" s="1665"/>
      <c r="U131" s="1664"/>
      <c r="V131" s="1664"/>
      <c r="W131" s="1668"/>
      <c r="X131" s="1668"/>
      <c r="Y131" s="1669"/>
      <c r="Z131" s="1715"/>
      <c r="AA131" s="1715"/>
      <c r="AB131" s="1716"/>
      <c r="AC131" s="1716"/>
      <c r="AD131" s="1716"/>
      <c r="AE131" s="1716"/>
      <c r="AF131" s="1716"/>
      <c r="AG131" s="1716"/>
      <c r="AH131" s="1716"/>
      <c r="AI131" s="1716"/>
      <c r="AJ131" s="1716"/>
      <c r="AK131" s="1716"/>
      <c r="AL131" s="1716"/>
      <c r="AM131" s="1716"/>
      <c r="AN131" s="1716"/>
      <c r="AO131" s="1716"/>
      <c r="AP131" s="1716"/>
      <c r="AQ131" s="1716"/>
      <c r="AR131" s="1716"/>
      <c r="AS131" s="1716"/>
      <c r="AT131" s="1716"/>
      <c r="AU131" s="1716"/>
      <c r="AV131" s="1716"/>
      <c r="AW131" s="1716"/>
      <c r="AX131" s="1716"/>
      <c r="AY131" s="1716"/>
      <c r="AZ131" s="1716"/>
      <c r="BA131" s="1716"/>
      <c r="BB131" s="1716"/>
      <c r="BC131" s="1716"/>
      <c r="BD131" s="153"/>
      <c r="BE131" s="153"/>
      <c r="BF131" s="153"/>
      <c r="BG131" s="153"/>
      <c r="BH131" s="153"/>
      <c r="BI131" s="1770"/>
      <c r="BJ131" s="1770"/>
      <c r="BK131" s="153"/>
      <c r="BL131" s="153"/>
      <c r="BM131" s="153"/>
      <c r="BN131" s="153"/>
      <c r="BO131" s="153"/>
      <c r="BP131" s="153"/>
      <c r="BQ131" s="153"/>
      <c r="BR131" s="160"/>
    </row>
    <row r="132" spans="1:72" s="571" customFormat="1" ht="42" customHeight="1" x14ac:dyDescent="0.2">
      <c r="A132" s="3369"/>
      <c r="B132" s="3373"/>
      <c r="C132" s="3374"/>
      <c r="D132" s="3499"/>
      <c r="E132" s="3499"/>
      <c r="F132" s="3499"/>
      <c r="G132" s="1569"/>
      <c r="H132" s="1618"/>
      <c r="I132" s="1619"/>
      <c r="J132" s="3464">
        <v>241</v>
      </c>
      <c r="K132" s="3501" t="s">
        <v>1576</v>
      </c>
      <c r="L132" s="3402" t="s">
        <v>1577</v>
      </c>
      <c r="M132" s="3404">
        <v>1</v>
      </c>
      <c r="N132" s="3534">
        <v>0.25</v>
      </c>
      <c r="O132" s="3542" t="s">
        <v>1578</v>
      </c>
      <c r="P132" s="3520" t="s">
        <v>1579</v>
      </c>
      <c r="Q132" s="3471" t="s">
        <v>1580</v>
      </c>
      <c r="R132" s="3546">
        <f>SUM(W132:W133)/S132</f>
        <v>0.35340082775249587</v>
      </c>
      <c r="S132" s="3524">
        <f>SUM(W132:W135)</f>
        <v>84323515</v>
      </c>
      <c r="T132" s="3401" t="s">
        <v>1581</v>
      </c>
      <c r="U132" s="3401" t="s">
        <v>1582</v>
      </c>
      <c r="V132" s="1699" t="s">
        <v>1583</v>
      </c>
      <c r="W132" s="1644">
        <v>9800000</v>
      </c>
      <c r="X132" s="1779"/>
      <c r="Y132" s="1779"/>
      <c r="Z132" s="1773" t="s">
        <v>689</v>
      </c>
      <c r="AA132" s="1765" t="s">
        <v>1447</v>
      </c>
      <c r="AB132" s="3532">
        <v>1632</v>
      </c>
      <c r="AC132" s="3445">
        <v>310</v>
      </c>
      <c r="AD132" s="3535">
        <v>1568</v>
      </c>
      <c r="AE132" s="3445">
        <v>512</v>
      </c>
      <c r="AF132" s="3535">
        <v>974</v>
      </c>
      <c r="AG132" s="3445">
        <v>111</v>
      </c>
      <c r="AH132" s="3535">
        <v>718</v>
      </c>
      <c r="AI132" s="3445">
        <v>341</v>
      </c>
      <c r="AJ132" s="3535">
        <v>410</v>
      </c>
      <c r="AK132" s="3445">
        <v>120</v>
      </c>
      <c r="AL132" s="3535">
        <v>1098</v>
      </c>
      <c r="AM132" s="3445">
        <v>250</v>
      </c>
      <c r="AN132" s="3535"/>
      <c r="AO132" s="3445"/>
      <c r="AP132" s="3535"/>
      <c r="AQ132" s="3445"/>
      <c r="AR132" s="3535"/>
      <c r="AS132" s="3445"/>
      <c r="AT132" s="3535"/>
      <c r="AU132" s="3445"/>
      <c r="AV132" s="3535"/>
      <c r="AW132" s="3445"/>
      <c r="AX132" s="3535"/>
      <c r="AY132" s="3445"/>
      <c r="AZ132" s="3535"/>
      <c r="BA132" s="3445"/>
      <c r="BB132" s="3535"/>
      <c r="BC132" s="3445"/>
      <c r="BD132" s="3535"/>
      <c r="BE132" s="3445"/>
      <c r="BF132" s="1626"/>
      <c r="BG132" s="1626"/>
      <c r="BH132" s="3445">
        <v>1</v>
      </c>
      <c r="BI132" s="3408">
        <f>SUM(X133:X135)</f>
        <v>12311200</v>
      </c>
      <c r="BJ132" s="3408">
        <f>SUM(Y133:Y135)</f>
        <v>5596000</v>
      </c>
      <c r="BK132" s="3411">
        <f>BJ132/BI132</f>
        <v>0.45454545454545453</v>
      </c>
      <c r="BL132" s="3445">
        <v>20</v>
      </c>
      <c r="BM132" s="3211" t="s">
        <v>1548</v>
      </c>
      <c r="BN132" s="1688">
        <v>43656</v>
      </c>
      <c r="BO132" s="1738">
        <v>43516</v>
      </c>
      <c r="BP132" s="1688">
        <v>43723</v>
      </c>
      <c r="BQ132" s="1639">
        <v>43819</v>
      </c>
      <c r="BR132" s="3505" t="s">
        <v>1364</v>
      </c>
      <c r="BS132" s="1569"/>
      <c r="BT132" s="1569"/>
    </row>
    <row r="133" spans="1:72" s="571" customFormat="1" ht="45.75" customHeight="1" x14ac:dyDescent="0.2">
      <c r="A133" s="3369"/>
      <c r="B133" s="3373"/>
      <c r="C133" s="3374"/>
      <c r="D133" s="3499"/>
      <c r="E133" s="3499"/>
      <c r="F133" s="3499"/>
      <c r="G133" s="1569"/>
      <c r="H133" s="1627"/>
      <c r="I133" s="1628"/>
      <c r="J133" s="3464"/>
      <c r="K133" s="3501"/>
      <c r="L133" s="3402"/>
      <c r="M133" s="3404"/>
      <c r="N133" s="3534"/>
      <c r="O133" s="3542"/>
      <c r="P133" s="3520"/>
      <c r="Q133" s="3471"/>
      <c r="R133" s="3546"/>
      <c r="S133" s="3525"/>
      <c r="T133" s="3401"/>
      <c r="U133" s="3401"/>
      <c r="V133" s="1699" t="s">
        <v>1584</v>
      </c>
      <c r="W133" s="1644">
        <v>20000000</v>
      </c>
      <c r="X133" s="1050">
        <v>12311200</v>
      </c>
      <c r="Y133" s="1685">
        <v>5596000</v>
      </c>
      <c r="Z133" s="1766">
        <v>20</v>
      </c>
      <c r="AA133" s="1765" t="s">
        <v>71</v>
      </c>
      <c r="AB133" s="3533"/>
      <c r="AC133" s="3446"/>
      <c r="AD133" s="3536"/>
      <c r="AE133" s="3446"/>
      <c r="AF133" s="3536"/>
      <c r="AG133" s="3446"/>
      <c r="AH133" s="3536"/>
      <c r="AI133" s="3446"/>
      <c r="AJ133" s="3536"/>
      <c r="AK133" s="3446"/>
      <c r="AL133" s="3536"/>
      <c r="AM133" s="3446"/>
      <c r="AN133" s="3536"/>
      <c r="AO133" s="3446"/>
      <c r="AP133" s="3536"/>
      <c r="AQ133" s="3446"/>
      <c r="AR133" s="3536"/>
      <c r="AS133" s="3446"/>
      <c r="AT133" s="3536"/>
      <c r="AU133" s="3446"/>
      <c r="AV133" s="3536"/>
      <c r="AW133" s="3446"/>
      <c r="AX133" s="3536"/>
      <c r="AY133" s="3446"/>
      <c r="AZ133" s="3536"/>
      <c r="BA133" s="3446"/>
      <c r="BB133" s="3536"/>
      <c r="BC133" s="3446"/>
      <c r="BD133" s="3536"/>
      <c r="BE133" s="3446"/>
      <c r="BF133" s="3446">
        <v>3200</v>
      </c>
      <c r="BG133" s="3446">
        <v>822</v>
      </c>
      <c r="BH133" s="3446"/>
      <c r="BI133" s="3409"/>
      <c r="BJ133" s="3409"/>
      <c r="BK133" s="3412"/>
      <c r="BL133" s="3446"/>
      <c r="BM133" s="3212"/>
      <c r="BN133" s="1738">
        <v>43480</v>
      </c>
      <c r="BO133" s="1738"/>
      <c r="BP133" s="1738">
        <v>43646</v>
      </c>
      <c r="BQ133" s="1738"/>
      <c r="BR133" s="3530"/>
      <c r="BS133" s="3398"/>
      <c r="BT133" s="1569"/>
    </row>
    <row r="134" spans="1:72" s="571" customFormat="1" ht="40.5" customHeight="1" x14ac:dyDescent="0.2">
      <c r="A134" s="3369"/>
      <c r="B134" s="3373"/>
      <c r="C134" s="3374"/>
      <c r="D134" s="3499"/>
      <c r="E134" s="3499"/>
      <c r="F134" s="3499"/>
      <c r="G134" s="1569"/>
      <c r="H134" s="1627"/>
      <c r="I134" s="1628"/>
      <c r="J134" s="3416">
        <v>242</v>
      </c>
      <c r="K134" s="3549" t="s">
        <v>1585</v>
      </c>
      <c r="L134" s="3414" t="s">
        <v>1586</v>
      </c>
      <c r="M134" s="3551">
        <v>1</v>
      </c>
      <c r="N134" s="3534">
        <v>0.25</v>
      </c>
      <c r="O134" s="3542"/>
      <c r="P134" s="3520"/>
      <c r="Q134" s="3471"/>
      <c r="R134" s="3546">
        <f>SUM(W134:W135)/S132</f>
        <v>0.64659917224750418</v>
      </c>
      <c r="S134" s="3525"/>
      <c r="T134" s="3401"/>
      <c r="U134" s="3401"/>
      <c r="V134" s="1699" t="s">
        <v>1587</v>
      </c>
      <c r="W134" s="1644">
        <v>10000000</v>
      </c>
      <c r="X134" s="1685">
        <v>0</v>
      </c>
      <c r="Y134" s="1644">
        <v>0</v>
      </c>
      <c r="Z134" s="1766">
        <v>20</v>
      </c>
      <c r="AA134" s="1765" t="s">
        <v>71</v>
      </c>
      <c r="AB134" s="3533"/>
      <c r="AC134" s="3446"/>
      <c r="AD134" s="3536"/>
      <c r="AE134" s="3446"/>
      <c r="AF134" s="3536"/>
      <c r="AG134" s="3446"/>
      <c r="AH134" s="3536"/>
      <c r="AI134" s="3446"/>
      <c r="AJ134" s="3536"/>
      <c r="AK134" s="3446"/>
      <c r="AL134" s="3536"/>
      <c r="AM134" s="3446"/>
      <c r="AN134" s="3536"/>
      <c r="AO134" s="3446"/>
      <c r="AP134" s="3536"/>
      <c r="AQ134" s="3446"/>
      <c r="AR134" s="3536"/>
      <c r="AS134" s="3446"/>
      <c r="AT134" s="3536"/>
      <c r="AU134" s="3446"/>
      <c r="AV134" s="3536"/>
      <c r="AW134" s="3446"/>
      <c r="AX134" s="3536"/>
      <c r="AY134" s="3446"/>
      <c r="AZ134" s="3536"/>
      <c r="BA134" s="3446"/>
      <c r="BB134" s="3536"/>
      <c r="BC134" s="3446"/>
      <c r="BD134" s="3536"/>
      <c r="BE134" s="3446"/>
      <c r="BF134" s="3446"/>
      <c r="BG134" s="3446"/>
      <c r="BH134" s="3446"/>
      <c r="BI134" s="3409"/>
      <c r="BJ134" s="3409"/>
      <c r="BK134" s="3412"/>
      <c r="BL134" s="3446"/>
      <c r="BM134" s="3212"/>
      <c r="BN134" s="1738">
        <v>43480</v>
      </c>
      <c r="BO134" s="1738"/>
      <c r="BP134" s="1738">
        <v>43646</v>
      </c>
      <c r="BQ134" s="1738"/>
      <c r="BR134" s="3530"/>
      <c r="BS134" s="3398"/>
      <c r="BT134" s="1569"/>
    </row>
    <row r="135" spans="1:72" s="571" customFormat="1" ht="36.75" customHeight="1" x14ac:dyDescent="0.2">
      <c r="A135" s="3369"/>
      <c r="B135" s="3373"/>
      <c r="C135" s="3374"/>
      <c r="D135" s="3499"/>
      <c r="E135" s="3499"/>
      <c r="F135" s="3499"/>
      <c r="G135" s="1569"/>
      <c r="H135" s="1658"/>
      <c r="I135" s="1659"/>
      <c r="J135" s="3417"/>
      <c r="K135" s="3550"/>
      <c r="L135" s="3415"/>
      <c r="M135" s="3552"/>
      <c r="N135" s="3534"/>
      <c r="O135" s="3542"/>
      <c r="P135" s="3520"/>
      <c r="Q135" s="3471"/>
      <c r="R135" s="3546"/>
      <c r="S135" s="3526"/>
      <c r="T135" s="3401"/>
      <c r="U135" s="3401"/>
      <c r="V135" s="1699" t="s">
        <v>1588</v>
      </c>
      <c r="W135" s="1644">
        <v>44523515</v>
      </c>
      <c r="X135" s="1685">
        <v>0</v>
      </c>
      <c r="Y135" s="1644">
        <v>0</v>
      </c>
      <c r="Z135" s="1766">
        <v>20</v>
      </c>
      <c r="AA135" s="1765" t="s">
        <v>71</v>
      </c>
      <c r="AB135" s="3533"/>
      <c r="AC135" s="3447"/>
      <c r="AD135" s="3536"/>
      <c r="AE135" s="3447"/>
      <c r="AF135" s="3536"/>
      <c r="AG135" s="3447"/>
      <c r="AH135" s="3536"/>
      <c r="AI135" s="3447"/>
      <c r="AJ135" s="3536"/>
      <c r="AK135" s="3447"/>
      <c r="AL135" s="3536"/>
      <c r="AM135" s="3447"/>
      <c r="AN135" s="3536"/>
      <c r="AO135" s="3447"/>
      <c r="AP135" s="3536"/>
      <c r="AQ135" s="3447"/>
      <c r="AR135" s="3536"/>
      <c r="AS135" s="3447"/>
      <c r="AT135" s="3536"/>
      <c r="AU135" s="3447"/>
      <c r="AV135" s="3536"/>
      <c r="AW135" s="3447"/>
      <c r="AX135" s="3536"/>
      <c r="AY135" s="3447"/>
      <c r="AZ135" s="3536"/>
      <c r="BA135" s="3447"/>
      <c r="BB135" s="3536"/>
      <c r="BC135" s="3447"/>
      <c r="BD135" s="3536"/>
      <c r="BE135" s="3447"/>
      <c r="BF135" s="1662"/>
      <c r="BG135" s="1662"/>
      <c r="BH135" s="3447"/>
      <c r="BI135" s="3410"/>
      <c r="BJ135" s="3410"/>
      <c r="BK135" s="3413"/>
      <c r="BL135" s="3447"/>
      <c r="BM135" s="3213"/>
      <c r="BN135" s="1738">
        <v>43539</v>
      </c>
      <c r="BO135" s="1738"/>
      <c r="BP135" s="1738">
        <v>43819</v>
      </c>
      <c r="BQ135" s="1738"/>
      <c r="BR135" s="3530"/>
      <c r="BS135" s="3398"/>
      <c r="BT135" s="1569"/>
    </row>
    <row r="136" spans="1:72" s="1569" customFormat="1" ht="15" customHeight="1" x14ac:dyDescent="0.2">
      <c r="A136" s="3369"/>
      <c r="B136" s="3373"/>
      <c r="C136" s="3374"/>
      <c r="D136" s="1703">
        <v>27</v>
      </c>
      <c r="E136" s="1780" t="s">
        <v>1589</v>
      </c>
      <c r="F136" s="1780"/>
      <c r="G136" s="1781"/>
      <c r="H136" s="1781"/>
      <c r="I136" s="1598"/>
      <c r="J136" s="1704"/>
      <c r="K136" s="1705"/>
      <c r="L136" s="1706"/>
      <c r="M136" s="1707"/>
      <c r="N136" s="1707"/>
      <c r="O136" s="1602"/>
      <c r="P136" s="1599"/>
      <c r="Q136" s="1601"/>
      <c r="R136" s="1708"/>
      <c r="S136" s="1709"/>
      <c r="T136" s="1706"/>
      <c r="U136" s="1705"/>
      <c r="V136" s="1705"/>
      <c r="W136" s="1710"/>
      <c r="X136" s="1711"/>
      <c r="Y136" s="1711"/>
      <c r="Z136" s="1782"/>
      <c r="AA136" s="1782"/>
      <c r="AB136" s="1601"/>
      <c r="AC136" s="1601"/>
      <c r="AD136" s="1601"/>
      <c r="AE136" s="1601"/>
      <c r="AF136" s="1601"/>
      <c r="AG136" s="1601"/>
      <c r="AH136" s="1601"/>
      <c r="AI136" s="1601"/>
      <c r="AJ136" s="1601"/>
      <c r="AK136" s="1601"/>
      <c r="AL136" s="1601"/>
      <c r="AM136" s="1601"/>
      <c r="AN136" s="1601"/>
      <c r="AO136" s="1601"/>
      <c r="AP136" s="1601"/>
      <c r="AQ136" s="1601"/>
      <c r="AR136" s="1601"/>
      <c r="AS136" s="1601"/>
      <c r="AT136" s="1601"/>
      <c r="AU136" s="1601"/>
      <c r="AV136" s="1601"/>
      <c r="AW136" s="1601"/>
      <c r="AX136" s="1601"/>
      <c r="AY136" s="1601"/>
      <c r="AZ136" s="1601"/>
      <c r="BA136" s="1601"/>
      <c r="BB136" s="1601"/>
      <c r="BC136" s="1601"/>
      <c r="BD136" s="1601"/>
      <c r="BE136" s="1601"/>
      <c r="BF136" s="1601"/>
      <c r="BG136" s="1601"/>
      <c r="BH136" s="1601"/>
      <c r="BI136" s="1713"/>
      <c r="BJ136" s="1713"/>
      <c r="BK136" s="1601"/>
      <c r="BL136" s="1601"/>
      <c r="BM136" s="1601"/>
      <c r="BN136" s="1601"/>
      <c r="BO136" s="1601"/>
      <c r="BP136" s="1601"/>
      <c r="BQ136" s="1601"/>
      <c r="BR136" s="1608"/>
    </row>
    <row r="137" spans="1:72" s="1569" customFormat="1" ht="15" customHeight="1" x14ac:dyDescent="0.2">
      <c r="A137" s="3369"/>
      <c r="B137" s="3373"/>
      <c r="C137" s="3374"/>
      <c r="D137" s="3557"/>
      <c r="E137" s="3558"/>
      <c r="F137" s="3559"/>
      <c r="G137" s="1609">
        <v>85</v>
      </c>
      <c r="H137" s="151" t="s">
        <v>1590</v>
      </c>
      <c r="I137" s="151"/>
      <c r="J137" s="1610"/>
      <c r="K137" s="1611"/>
      <c r="L137" s="1612"/>
      <c r="M137" s="270"/>
      <c r="N137" s="270"/>
      <c r="O137" s="272"/>
      <c r="P137" s="278"/>
      <c r="Q137" s="153"/>
      <c r="R137" s="1613"/>
      <c r="S137" s="1714"/>
      <c r="T137" s="1612"/>
      <c r="U137" s="1611"/>
      <c r="V137" s="1611"/>
      <c r="W137" s="1668"/>
      <c r="X137" s="1668"/>
      <c r="Y137" s="1669"/>
      <c r="Z137" s="1715"/>
      <c r="AA137" s="1715"/>
      <c r="AB137" s="1716"/>
      <c r="AC137" s="1716"/>
      <c r="AD137" s="1716"/>
      <c r="AE137" s="1716"/>
      <c r="AF137" s="1716"/>
      <c r="AG137" s="1716"/>
      <c r="AH137" s="1716"/>
      <c r="AI137" s="1716"/>
      <c r="AJ137" s="1716"/>
      <c r="AK137" s="1716"/>
      <c r="AL137" s="1716"/>
      <c r="AM137" s="1716"/>
      <c r="AN137" s="1716"/>
      <c r="AO137" s="1716"/>
      <c r="AP137" s="1716"/>
      <c r="AQ137" s="1716"/>
      <c r="AR137" s="1716"/>
      <c r="AS137" s="1716"/>
      <c r="AT137" s="1716"/>
      <c r="AU137" s="1716"/>
      <c r="AV137" s="1716"/>
      <c r="AW137" s="1716"/>
      <c r="AX137" s="1716"/>
      <c r="AY137" s="1716"/>
      <c r="AZ137" s="1716"/>
      <c r="BA137" s="1716"/>
      <c r="BB137" s="1716"/>
      <c r="BC137" s="1716"/>
      <c r="BD137" s="1716"/>
      <c r="BE137" s="1716"/>
      <c r="BF137" s="1716"/>
      <c r="BG137" s="1716"/>
      <c r="BH137" s="1716"/>
      <c r="BI137" s="156"/>
      <c r="BJ137" s="156"/>
      <c r="BK137" s="1716"/>
      <c r="BL137" s="1716"/>
      <c r="BM137" s="1716"/>
      <c r="BN137" s="1716"/>
      <c r="BO137" s="1716"/>
      <c r="BP137" s="1716"/>
      <c r="BQ137" s="1716"/>
      <c r="BR137" s="1717"/>
    </row>
    <row r="138" spans="1:72" s="571" customFormat="1" ht="27.75" customHeight="1" x14ac:dyDescent="0.2">
      <c r="A138" s="3369"/>
      <c r="B138" s="3373"/>
      <c r="C138" s="3374"/>
      <c r="D138" s="3560"/>
      <c r="E138" s="3561"/>
      <c r="F138" s="3562"/>
      <c r="G138" s="1569"/>
      <c r="H138" s="1618"/>
      <c r="I138" s="1619"/>
      <c r="J138" s="3551">
        <v>250</v>
      </c>
      <c r="K138" s="3432" t="s">
        <v>1591</v>
      </c>
      <c r="L138" s="3567" t="s">
        <v>1592</v>
      </c>
      <c r="M138" s="3551">
        <v>3</v>
      </c>
      <c r="N138" s="3404">
        <v>2</v>
      </c>
      <c r="O138" s="3553" t="s">
        <v>1593</v>
      </c>
      <c r="P138" s="3520" t="s">
        <v>1594</v>
      </c>
      <c r="Q138" s="3471" t="s">
        <v>1595</v>
      </c>
      <c r="R138" s="3554">
        <f>SUM(W138:W151)/S138</f>
        <v>0.50827490823121779</v>
      </c>
      <c r="S138" s="3524">
        <f>SUM(W138:W164)</f>
        <v>700271633</v>
      </c>
      <c r="T138" s="3401" t="s">
        <v>1596</v>
      </c>
      <c r="U138" s="3401" t="s">
        <v>1597</v>
      </c>
      <c r="V138" s="3489" t="s">
        <v>1598</v>
      </c>
      <c r="W138" s="1672">
        <v>65420000</v>
      </c>
      <c r="X138" s="1736">
        <v>63867366</v>
      </c>
      <c r="Y138" s="1736">
        <v>2720000</v>
      </c>
      <c r="Z138" s="1783">
        <v>20</v>
      </c>
      <c r="AA138" s="1784" t="s">
        <v>1447</v>
      </c>
      <c r="AB138" s="3575">
        <v>5202</v>
      </c>
      <c r="AC138" s="3445">
        <v>1350</v>
      </c>
      <c r="AD138" s="3573">
        <v>4998</v>
      </c>
      <c r="AE138" s="3445">
        <v>1050</v>
      </c>
      <c r="AF138" s="3573">
        <v>3103</v>
      </c>
      <c r="AG138" s="3445">
        <v>250</v>
      </c>
      <c r="AH138" s="3573">
        <v>2288</v>
      </c>
      <c r="AI138" s="3445">
        <v>769</v>
      </c>
      <c r="AJ138" s="3573">
        <v>1306</v>
      </c>
      <c r="AK138" s="3445">
        <v>756</v>
      </c>
      <c r="AL138" s="3573">
        <v>3503</v>
      </c>
      <c r="AM138" s="3445">
        <v>625</v>
      </c>
      <c r="AN138" s="3573"/>
      <c r="AO138" s="3445"/>
      <c r="AP138" s="3573"/>
      <c r="AQ138" s="3445"/>
      <c r="AR138" s="3573"/>
      <c r="AS138" s="3445"/>
      <c r="AT138" s="3573"/>
      <c r="AU138" s="3445"/>
      <c r="AV138" s="3573"/>
      <c r="AW138" s="3445"/>
      <c r="AX138" s="3573"/>
      <c r="AY138" s="3445"/>
      <c r="AZ138" s="3573"/>
      <c r="BA138" s="3445"/>
      <c r="BB138" s="3573"/>
      <c r="BC138" s="3445"/>
      <c r="BD138" s="3573"/>
      <c r="BE138" s="3445"/>
      <c r="BF138" s="3445">
        <v>10200</v>
      </c>
      <c r="BG138" s="3445" t="s">
        <v>1599</v>
      </c>
      <c r="BH138" s="3445">
        <v>12</v>
      </c>
      <c r="BI138" s="3408">
        <f>SUM(X138:X164)</f>
        <v>353939398</v>
      </c>
      <c r="BJ138" s="3408">
        <f>SUM(Y138:Y164)</f>
        <v>7313000</v>
      </c>
      <c r="BK138" s="3411">
        <f>BJ138/BI138</f>
        <v>2.0661729215010985E-2</v>
      </c>
      <c r="BL138" s="1726"/>
      <c r="BM138" s="1726"/>
      <c r="BN138" s="3483">
        <v>43483</v>
      </c>
      <c r="BO138" s="3483">
        <v>43516</v>
      </c>
      <c r="BP138" s="3483">
        <v>43758</v>
      </c>
      <c r="BQ138" s="3483">
        <v>43819</v>
      </c>
      <c r="BR138" s="3505" t="s">
        <v>1421</v>
      </c>
      <c r="BS138" s="1569"/>
      <c r="BT138" s="1569"/>
    </row>
    <row r="139" spans="1:72" s="571" customFormat="1" ht="24.75" customHeight="1" x14ac:dyDescent="0.2">
      <c r="A139" s="3369"/>
      <c r="B139" s="3373"/>
      <c r="C139" s="3374"/>
      <c r="D139" s="3560"/>
      <c r="E139" s="3561"/>
      <c r="F139" s="3562"/>
      <c r="G139" s="1569"/>
      <c r="H139" s="1627"/>
      <c r="I139" s="1628"/>
      <c r="J139" s="3566"/>
      <c r="K139" s="3433"/>
      <c r="L139" s="3568"/>
      <c r="M139" s="3566"/>
      <c r="N139" s="3404"/>
      <c r="O139" s="3542"/>
      <c r="P139" s="3520"/>
      <c r="Q139" s="3471"/>
      <c r="R139" s="3555"/>
      <c r="S139" s="3525"/>
      <c r="T139" s="3401"/>
      <c r="U139" s="3401"/>
      <c r="V139" s="3490"/>
      <c r="W139" s="1672">
        <v>62420000</v>
      </c>
      <c r="X139" s="1736">
        <v>2261933</v>
      </c>
      <c r="Y139" s="1736">
        <v>0</v>
      </c>
      <c r="Z139" s="1783">
        <v>88</v>
      </c>
      <c r="AA139" s="1784" t="s">
        <v>1534</v>
      </c>
      <c r="AB139" s="3575"/>
      <c r="AC139" s="3446"/>
      <c r="AD139" s="3573"/>
      <c r="AE139" s="3446"/>
      <c r="AF139" s="3573"/>
      <c r="AG139" s="3446"/>
      <c r="AH139" s="3573"/>
      <c r="AI139" s="3446"/>
      <c r="AJ139" s="3573"/>
      <c r="AK139" s="3446"/>
      <c r="AL139" s="3573"/>
      <c r="AM139" s="3446"/>
      <c r="AN139" s="3573"/>
      <c r="AO139" s="3446"/>
      <c r="AP139" s="3573"/>
      <c r="AQ139" s="3446"/>
      <c r="AR139" s="3573"/>
      <c r="AS139" s="3446"/>
      <c r="AT139" s="3573"/>
      <c r="AU139" s="3446"/>
      <c r="AV139" s="3573"/>
      <c r="AW139" s="3446"/>
      <c r="AX139" s="3573"/>
      <c r="AY139" s="3446"/>
      <c r="AZ139" s="3573"/>
      <c r="BA139" s="3446"/>
      <c r="BB139" s="3573"/>
      <c r="BC139" s="3446"/>
      <c r="BD139" s="3573"/>
      <c r="BE139" s="3446"/>
      <c r="BF139" s="3446"/>
      <c r="BG139" s="3446"/>
      <c r="BH139" s="3446"/>
      <c r="BI139" s="3409"/>
      <c r="BJ139" s="3409"/>
      <c r="BK139" s="3412"/>
      <c r="BL139" s="1733"/>
      <c r="BM139" s="1733"/>
      <c r="BN139" s="3484"/>
      <c r="BO139" s="3484"/>
      <c r="BP139" s="3484"/>
      <c r="BQ139" s="3484"/>
      <c r="BR139" s="3505"/>
      <c r="BS139" s="1569"/>
      <c r="BT139" s="1569"/>
    </row>
    <row r="140" spans="1:72" s="571" customFormat="1" ht="29.25" customHeight="1" x14ac:dyDescent="0.2">
      <c r="A140" s="3369"/>
      <c r="B140" s="3373"/>
      <c r="C140" s="3374"/>
      <c r="D140" s="3560"/>
      <c r="E140" s="3561"/>
      <c r="F140" s="3562"/>
      <c r="G140" s="1569"/>
      <c r="H140" s="1627"/>
      <c r="I140" s="1628"/>
      <c r="J140" s="3566"/>
      <c r="K140" s="3433"/>
      <c r="L140" s="3568"/>
      <c r="M140" s="3566"/>
      <c r="N140" s="3404"/>
      <c r="O140" s="3542"/>
      <c r="P140" s="3520"/>
      <c r="Q140" s="3471"/>
      <c r="R140" s="3555"/>
      <c r="S140" s="3525"/>
      <c r="T140" s="3401"/>
      <c r="U140" s="3401"/>
      <c r="V140" s="3489" t="s">
        <v>1600</v>
      </c>
      <c r="W140" s="1672">
        <v>28000000</v>
      </c>
      <c r="X140" s="1736">
        <v>28000000</v>
      </c>
      <c r="Y140" s="1736">
        <v>0</v>
      </c>
      <c r="Z140" s="1766">
        <v>20</v>
      </c>
      <c r="AA140" s="1765" t="s">
        <v>71</v>
      </c>
      <c r="AB140" s="3576"/>
      <c r="AC140" s="3446"/>
      <c r="AD140" s="3574"/>
      <c r="AE140" s="3446"/>
      <c r="AF140" s="3574"/>
      <c r="AG140" s="3446"/>
      <c r="AH140" s="3574"/>
      <c r="AI140" s="3446"/>
      <c r="AJ140" s="3574"/>
      <c r="AK140" s="3446"/>
      <c r="AL140" s="3574"/>
      <c r="AM140" s="3446"/>
      <c r="AN140" s="3574"/>
      <c r="AO140" s="3446"/>
      <c r="AP140" s="3574"/>
      <c r="AQ140" s="3446"/>
      <c r="AR140" s="3574"/>
      <c r="AS140" s="3446"/>
      <c r="AT140" s="3574"/>
      <c r="AU140" s="3446"/>
      <c r="AV140" s="3574"/>
      <c r="AW140" s="3446"/>
      <c r="AX140" s="3574"/>
      <c r="AY140" s="3446"/>
      <c r="AZ140" s="3574"/>
      <c r="BA140" s="3446"/>
      <c r="BB140" s="3574"/>
      <c r="BC140" s="3446"/>
      <c r="BD140" s="3574"/>
      <c r="BE140" s="3446"/>
      <c r="BF140" s="3446"/>
      <c r="BG140" s="3446"/>
      <c r="BH140" s="3446"/>
      <c r="BI140" s="3409"/>
      <c r="BJ140" s="3409"/>
      <c r="BK140" s="3412"/>
      <c r="BL140" s="1733"/>
      <c r="BM140" s="1733"/>
      <c r="BN140" s="3577">
        <v>43753</v>
      </c>
      <c r="BO140" s="3577"/>
      <c r="BP140" s="3577">
        <v>43799</v>
      </c>
      <c r="BQ140" s="3577"/>
      <c r="BR140" s="3506"/>
      <c r="BS140" s="3398"/>
      <c r="BT140" s="1569"/>
    </row>
    <row r="141" spans="1:72" s="571" customFormat="1" ht="27.75" customHeight="1" x14ac:dyDescent="0.2">
      <c r="A141" s="3369"/>
      <c r="B141" s="3373"/>
      <c r="C141" s="3374"/>
      <c r="D141" s="3560"/>
      <c r="E141" s="3561"/>
      <c r="F141" s="3562"/>
      <c r="G141" s="1569"/>
      <c r="H141" s="1627"/>
      <c r="I141" s="1628"/>
      <c r="J141" s="3566"/>
      <c r="K141" s="3433"/>
      <c r="L141" s="3568"/>
      <c r="M141" s="3566"/>
      <c r="N141" s="3404"/>
      <c r="O141" s="3542"/>
      <c r="P141" s="3520"/>
      <c r="Q141" s="3471"/>
      <c r="R141" s="3555"/>
      <c r="S141" s="3525"/>
      <c r="T141" s="3401"/>
      <c r="U141" s="3401"/>
      <c r="V141" s="3490"/>
      <c r="W141" s="1672">
        <v>28000000</v>
      </c>
      <c r="X141" s="1736">
        <v>0</v>
      </c>
      <c r="Y141" s="1736">
        <v>0</v>
      </c>
      <c r="Z141" s="1766">
        <v>88</v>
      </c>
      <c r="AA141" s="1784" t="s">
        <v>1534</v>
      </c>
      <c r="AB141" s="3576"/>
      <c r="AC141" s="3446"/>
      <c r="AD141" s="3574"/>
      <c r="AE141" s="3446"/>
      <c r="AF141" s="3574"/>
      <c r="AG141" s="3446"/>
      <c r="AH141" s="3574"/>
      <c r="AI141" s="3446"/>
      <c r="AJ141" s="3574"/>
      <c r="AK141" s="3446"/>
      <c r="AL141" s="3574"/>
      <c r="AM141" s="3446"/>
      <c r="AN141" s="3574"/>
      <c r="AO141" s="3446"/>
      <c r="AP141" s="3574"/>
      <c r="AQ141" s="3446"/>
      <c r="AR141" s="3574"/>
      <c r="AS141" s="3446"/>
      <c r="AT141" s="3574"/>
      <c r="AU141" s="3446"/>
      <c r="AV141" s="3574"/>
      <c r="AW141" s="3446"/>
      <c r="AX141" s="3574"/>
      <c r="AY141" s="3446"/>
      <c r="AZ141" s="3574"/>
      <c r="BA141" s="3446"/>
      <c r="BB141" s="3574"/>
      <c r="BC141" s="3446"/>
      <c r="BD141" s="3574"/>
      <c r="BE141" s="3446"/>
      <c r="BF141" s="3446"/>
      <c r="BG141" s="3446"/>
      <c r="BH141" s="3446"/>
      <c r="BI141" s="3409"/>
      <c r="BJ141" s="3409"/>
      <c r="BK141" s="3412"/>
      <c r="BL141" s="1733"/>
      <c r="BM141" s="1733"/>
      <c r="BN141" s="3578"/>
      <c r="BO141" s="3578"/>
      <c r="BP141" s="3578"/>
      <c r="BQ141" s="3578"/>
      <c r="BR141" s="3506"/>
      <c r="BS141" s="3398"/>
      <c r="BT141" s="1569"/>
    </row>
    <row r="142" spans="1:72" s="571" customFormat="1" ht="30" customHeight="1" x14ac:dyDescent="0.2">
      <c r="A142" s="3369"/>
      <c r="B142" s="3373"/>
      <c r="C142" s="3374"/>
      <c r="D142" s="3560"/>
      <c r="E142" s="3561"/>
      <c r="F142" s="3562"/>
      <c r="G142" s="1569"/>
      <c r="H142" s="1627"/>
      <c r="I142" s="1628"/>
      <c r="J142" s="3566"/>
      <c r="K142" s="3433"/>
      <c r="L142" s="3568"/>
      <c r="M142" s="3566"/>
      <c r="N142" s="3404"/>
      <c r="O142" s="3542"/>
      <c r="P142" s="3520"/>
      <c r="Q142" s="3471"/>
      <c r="R142" s="3555"/>
      <c r="S142" s="3525"/>
      <c r="T142" s="3401"/>
      <c r="U142" s="3401"/>
      <c r="V142" s="3489" t="s">
        <v>1601</v>
      </c>
      <c r="W142" s="1736">
        <v>5000000</v>
      </c>
      <c r="X142" s="1736">
        <v>5000000</v>
      </c>
      <c r="Y142" s="1736">
        <v>0</v>
      </c>
      <c r="Z142" s="1766">
        <v>20</v>
      </c>
      <c r="AA142" s="1765" t="s">
        <v>71</v>
      </c>
      <c r="AB142" s="3576"/>
      <c r="AC142" s="3446"/>
      <c r="AD142" s="3574"/>
      <c r="AE142" s="3446"/>
      <c r="AF142" s="3574"/>
      <c r="AG142" s="3446"/>
      <c r="AH142" s="3574"/>
      <c r="AI142" s="3446"/>
      <c r="AJ142" s="3574"/>
      <c r="AK142" s="3446"/>
      <c r="AL142" s="3574"/>
      <c r="AM142" s="3446"/>
      <c r="AN142" s="3574"/>
      <c r="AO142" s="3446"/>
      <c r="AP142" s="3574"/>
      <c r="AQ142" s="3446"/>
      <c r="AR142" s="3574"/>
      <c r="AS142" s="3446"/>
      <c r="AT142" s="3574"/>
      <c r="AU142" s="3446"/>
      <c r="AV142" s="3574"/>
      <c r="AW142" s="3446"/>
      <c r="AX142" s="3574"/>
      <c r="AY142" s="3446"/>
      <c r="AZ142" s="3574"/>
      <c r="BA142" s="3446"/>
      <c r="BB142" s="3574"/>
      <c r="BC142" s="3446"/>
      <c r="BD142" s="3574"/>
      <c r="BE142" s="3446"/>
      <c r="BF142" s="3446"/>
      <c r="BG142" s="3446"/>
      <c r="BH142" s="3446"/>
      <c r="BI142" s="3409"/>
      <c r="BJ142" s="3409"/>
      <c r="BK142" s="3412"/>
      <c r="BL142" s="1733"/>
      <c r="BM142" s="1733"/>
      <c r="BN142" s="3577">
        <v>43570</v>
      </c>
      <c r="BO142" s="3577"/>
      <c r="BP142" s="3577">
        <v>43666</v>
      </c>
      <c r="BQ142" s="3577"/>
      <c r="BR142" s="3506"/>
      <c r="BS142" s="3398"/>
      <c r="BT142" s="1569"/>
    </row>
    <row r="143" spans="1:72" s="571" customFormat="1" ht="30.75" customHeight="1" x14ac:dyDescent="0.2">
      <c r="A143" s="3369"/>
      <c r="B143" s="3373"/>
      <c r="C143" s="3374"/>
      <c r="D143" s="3560"/>
      <c r="E143" s="3561"/>
      <c r="F143" s="3562"/>
      <c r="G143" s="1569"/>
      <c r="H143" s="1627"/>
      <c r="I143" s="1628"/>
      <c r="J143" s="3566"/>
      <c r="K143" s="3433"/>
      <c r="L143" s="3568"/>
      <c r="M143" s="3566"/>
      <c r="N143" s="3404"/>
      <c r="O143" s="3542"/>
      <c r="P143" s="3520"/>
      <c r="Q143" s="3471"/>
      <c r="R143" s="3555"/>
      <c r="S143" s="3525"/>
      <c r="T143" s="3401"/>
      <c r="U143" s="3401"/>
      <c r="V143" s="3490"/>
      <c r="W143" s="1736">
        <v>5000000</v>
      </c>
      <c r="X143" s="1736"/>
      <c r="Y143" s="1736"/>
      <c r="Z143" s="1766">
        <v>88</v>
      </c>
      <c r="AA143" s="1784" t="s">
        <v>1534</v>
      </c>
      <c r="AB143" s="3576"/>
      <c r="AC143" s="3446"/>
      <c r="AD143" s="3574"/>
      <c r="AE143" s="3446"/>
      <c r="AF143" s="3574"/>
      <c r="AG143" s="3446"/>
      <c r="AH143" s="3574"/>
      <c r="AI143" s="3446"/>
      <c r="AJ143" s="3574"/>
      <c r="AK143" s="3446"/>
      <c r="AL143" s="3574"/>
      <c r="AM143" s="3446"/>
      <c r="AN143" s="3574"/>
      <c r="AO143" s="3446"/>
      <c r="AP143" s="3574"/>
      <c r="AQ143" s="3446"/>
      <c r="AR143" s="3574"/>
      <c r="AS143" s="3446"/>
      <c r="AT143" s="3574"/>
      <c r="AU143" s="3446"/>
      <c r="AV143" s="3574"/>
      <c r="AW143" s="3446"/>
      <c r="AX143" s="3574"/>
      <c r="AY143" s="3446"/>
      <c r="AZ143" s="3574"/>
      <c r="BA143" s="3446"/>
      <c r="BB143" s="3574"/>
      <c r="BC143" s="3446"/>
      <c r="BD143" s="3574"/>
      <c r="BE143" s="3446"/>
      <c r="BF143" s="3446"/>
      <c r="BG143" s="3446"/>
      <c r="BH143" s="3446"/>
      <c r="BI143" s="3409"/>
      <c r="BJ143" s="3409"/>
      <c r="BK143" s="3412"/>
      <c r="BL143" s="1733"/>
      <c r="BM143" s="1733"/>
      <c r="BN143" s="3578"/>
      <c r="BO143" s="3578"/>
      <c r="BP143" s="3578"/>
      <c r="BQ143" s="3578"/>
      <c r="BR143" s="3506"/>
      <c r="BS143" s="3398"/>
      <c r="BT143" s="1569"/>
    </row>
    <row r="144" spans="1:72" s="571" customFormat="1" ht="28.5" customHeight="1" x14ac:dyDescent="0.2">
      <c r="A144" s="3369"/>
      <c r="B144" s="3373"/>
      <c r="C144" s="3374"/>
      <c r="D144" s="3560"/>
      <c r="E144" s="3561"/>
      <c r="F144" s="3562"/>
      <c r="G144" s="1569"/>
      <c r="H144" s="1627"/>
      <c r="I144" s="1628"/>
      <c r="J144" s="3566"/>
      <c r="K144" s="3433"/>
      <c r="L144" s="3568"/>
      <c r="M144" s="3566"/>
      <c r="N144" s="3404"/>
      <c r="O144" s="3542"/>
      <c r="P144" s="3520"/>
      <c r="Q144" s="3471"/>
      <c r="R144" s="3555"/>
      <c r="S144" s="3525"/>
      <c r="T144" s="3401"/>
      <c r="U144" s="3401"/>
      <c r="V144" s="3489" t="s">
        <v>1602</v>
      </c>
      <c r="W144" s="1672">
        <v>11400000</v>
      </c>
      <c r="X144" s="1736">
        <v>10690500</v>
      </c>
      <c r="Y144" s="1736">
        <v>0</v>
      </c>
      <c r="Z144" s="1766">
        <v>20</v>
      </c>
      <c r="AA144" s="1765" t="s">
        <v>71</v>
      </c>
      <c r="AB144" s="3576"/>
      <c r="AC144" s="3446"/>
      <c r="AD144" s="3574"/>
      <c r="AE144" s="3446"/>
      <c r="AF144" s="3574"/>
      <c r="AG144" s="3446"/>
      <c r="AH144" s="3574"/>
      <c r="AI144" s="3446"/>
      <c r="AJ144" s="3574"/>
      <c r="AK144" s="3446"/>
      <c r="AL144" s="3574"/>
      <c r="AM144" s="3446"/>
      <c r="AN144" s="3574"/>
      <c r="AO144" s="3446"/>
      <c r="AP144" s="3574"/>
      <c r="AQ144" s="3446"/>
      <c r="AR144" s="3574"/>
      <c r="AS144" s="3446"/>
      <c r="AT144" s="3574"/>
      <c r="AU144" s="3446"/>
      <c r="AV144" s="3574"/>
      <c r="AW144" s="3446"/>
      <c r="AX144" s="3574"/>
      <c r="AY144" s="3446"/>
      <c r="AZ144" s="3574"/>
      <c r="BA144" s="3446"/>
      <c r="BB144" s="3574"/>
      <c r="BC144" s="3446"/>
      <c r="BD144" s="3574"/>
      <c r="BE144" s="3446"/>
      <c r="BF144" s="3446"/>
      <c r="BG144" s="3446"/>
      <c r="BH144" s="3446"/>
      <c r="BI144" s="3409"/>
      <c r="BJ144" s="3409"/>
      <c r="BK144" s="3412"/>
      <c r="BL144" s="1733"/>
      <c r="BM144" s="1733"/>
      <c r="BN144" s="3577">
        <v>43539</v>
      </c>
      <c r="BO144" s="3577"/>
      <c r="BP144" s="3577">
        <v>43758</v>
      </c>
      <c r="BQ144" s="3577"/>
      <c r="BR144" s="3506"/>
      <c r="BS144" s="3398"/>
      <c r="BT144" s="1569"/>
    </row>
    <row r="145" spans="1:72" s="571" customFormat="1" ht="30.75" customHeight="1" x14ac:dyDescent="0.2">
      <c r="A145" s="3369"/>
      <c r="B145" s="3373"/>
      <c r="C145" s="3374"/>
      <c r="D145" s="3560"/>
      <c r="E145" s="3561"/>
      <c r="F145" s="3562"/>
      <c r="G145" s="1569"/>
      <c r="H145" s="1627"/>
      <c r="I145" s="1628"/>
      <c r="J145" s="3566"/>
      <c r="K145" s="3433"/>
      <c r="L145" s="3568"/>
      <c r="M145" s="3566"/>
      <c r="N145" s="3404"/>
      <c r="O145" s="3542"/>
      <c r="P145" s="3520"/>
      <c r="Q145" s="3471"/>
      <c r="R145" s="3555"/>
      <c r="S145" s="3525"/>
      <c r="T145" s="3401"/>
      <c r="U145" s="3401"/>
      <c r="V145" s="3490"/>
      <c r="W145" s="1672">
        <v>10000000</v>
      </c>
      <c r="X145" s="1736">
        <v>0</v>
      </c>
      <c r="Y145" s="1736">
        <v>0</v>
      </c>
      <c r="Z145" s="1766">
        <v>88</v>
      </c>
      <c r="AA145" s="1784" t="s">
        <v>1534</v>
      </c>
      <c r="AB145" s="3576"/>
      <c r="AC145" s="3446"/>
      <c r="AD145" s="3574"/>
      <c r="AE145" s="3446"/>
      <c r="AF145" s="3574"/>
      <c r="AG145" s="3446"/>
      <c r="AH145" s="3574"/>
      <c r="AI145" s="3446"/>
      <c r="AJ145" s="3574"/>
      <c r="AK145" s="3446"/>
      <c r="AL145" s="3574"/>
      <c r="AM145" s="3446"/>
      <c r="AN145" s="3574"/>
      <c r="AO145" s="3446"/>
      <c r="AP145" s="3574"/>
      <c r="AQ145" s="3446"/>
      <c r="AR145" s="3574"/>
      <c r="AS145" s="3446"/>
      <c r="AT145" s="3574"/>
      <c r="AU145" s="3446"/>
      <c r="AV145" s="3574"/>
      <c r="AW145" s="3446"/>
      <c r="AX145" s="3574"/>
      <c r="AY145" s="3446"/>
      <c r="AZ145" s="3574"/>
      <c r="BA145" s="3446"/>
      <c r="BB145" s="3574"/>
      <c r="BC145" s="3446"/>
      <c r="BD145" s="3574"/>
      <c r="BE145" s="3446"/>
      <c r="BF145" s="3446"/>
      <c r="BG145" s="3446"/>
      <c r="BH145" s="3446"/>
      <c r="BI145" s="3409"/>
      <c r="BJ145" s="3409"/>
      <c r="BK145" s="3412"/>
      <c r="BL145" s="1733"/>
      <c r="BM145" s="1733"/>
      <c r="BN145" s="3578"/>
      <c r="BO145" s="3578"/>
      <c r="BP145" s="3578"/>
      <c r="BQ145" s="3578"/>
      <c r="BR145" s="3506"/>
      <c r="BS145" s="3398"/>
      <c r="BT145" s="1569"/>
    </row>
    <row r="146" spans="1:72" s="571" customFormat="1" ht="35.25" customHeight="1" x14ac:dyDescent="0.2">
      <c r="A146" s="3369"/>
      <c r="B146" s="3373"/>
      <c r="C146" s="3374"/>
      <c r="D146" s="3560"/>
      <c r="E146" s="3561"/>
      <c r="F146" s="3562"/>
      <c r="G146" s="1569"/>
      <c r="H146" s="1627"/>
      <c r="I146" s="1628"/>
      <c r="J146" s="3566"/>
      <c r="K146" s="3433"/>
      <c r="L146" s="3568"/>
      <c r="M146" s="3566"/>
      <c r="N146" s="3404"/>
      <c r="O146" s="3542"/>
      <c r="P146" s="3520"/>
      <c r="Q146" s="3471"/>
      <c r="R146" s="3555"/>
      <c r="S146" s="3525"/>
      <c r="T146" s="3401"/>
      <c r="U146" s="3401"/>
      <c r="V146" s="1684" t="s">
        <v>1603</v>
      </c>
      <c r="W146" s="1685">
        <v>5000000</v>
      </c>
      <c r="X146" s="1685">
        <v>0</v>
      </c>
      <c r="Y146" s="1685">
        <v>0</v>
      </c>
      <c r="Z146" s="1766">
        <v>20</v>
      </c>
      <c r="AA146" s="1765" t="s">
        <v>71</v>
      </c>
      <c r="AB146" s="3576"/>
      <c r="AC146" s="3446"/>
      <c r="AD146" s="3574"/>
      <c r="AE146" s="3446"/>
      <c r="AF146" s="3574"/>
      <c r="AG146" s="3446"/>
      <c r="AH146" s="3574"/>
      <c r="AI146" s="3446"/>
      <c r="AJ146" s="3574"/>
      <c r="AK146" s="3446"/>
      <c r="AL146" s="3574"/>
      <c r="AM146" s="3446"/>
      <c r="AN146" s="3574"/>
      <c r="AO146" s="3446"/>
      <c r="AP146" s="3574"/>
      <c r="AQ146" s="3446"/>
      <c r="AR146" s="3574"/>
      <c r="AS146" s="3446"/>
      <c r="AT146" s="3574"/>
      <c r="AU146" s="3446"/>
      <c r="AV146" s="3574"/>
      <c r="AW146" s="3446"/>
      <c r="AX146" s="3574"/>
      <c r="AY146" s="3446"/>
      <c r="AZ146" s="3574"/>
      <c r="BA146" s="3446"/>
      <c r="BB146" s="3574"/>
      <c r="BC146" s="3446"/>
      <c r="BD146" s="3574"/>
      <c r="BE146" s="3446"/>
      <c r="BF146" s="3446"/>
      <c r="BG146" s="3446"/>
      <c r="BH146" s="3446"/>
      <c r="BI146" s="3409"/>
      <c r="BJ146" s="3409"/>
      <c r="BK146" s="3412"/>
      <c r="BL146" s="1733"/>
      <c r="BM146" s="1733"/>
      <c r="BN146" s="1738">
        <v>43539</v>
      </c>
      <c r="BO146" s="1738"/>
      <c r="BP146" s="1738">
        <v>43758</v>
      </c>
      <c r="BQ146" s="1738"/>
      <c r="BR146" s="3506"/>
      <c r="BS146" s="3398"/>
      <c r="BT146" s="1569"/>
    </row>
    <row r="147" spans="1:72" s="571" customFormat="1" ht="41.25" customHeight="1" x14ac:dyDescent="0.2">
      <c r="A147" s="3369"/>
      <c r="B147" s="3373"/>
      <c r="C147" s="3374"/>
      <c r="D147" s="3560"/>
      <c r="E147" s="3561"/>
      <c r="F147" s="3562"/>
      <c r="G147" s="1569"/>
      <c r="H147" s="1627"/>
      <c r="I147" s="1628"/>
      <c r="J147" s="3566"/>
      <c r="K147" s="3433"/>
      <c r="L147" s="3568"/>
      <c r="M147" s="3566"/>
      <c r="N147" s="3404"/>
      <c r="O147" s="3542"/>
      <c r="P147" s="3520"/>
      <c r="Q147" s="3471"/>
      <c r="R147" s="3555"/>
      <c r="S147" s="3525"/>
      <c r="T147" s="3401"/>
      <c r="U147" s="3401"/>
      <c r="V147" s="1684" t="s">
        <v>1604</v>
      </c>
      <c r="W147" s="1685">
        <v>12000000</v>
      </c>
      <c r="X147" s="1685">
        <v>12000000</v>
      </c>
      <c r="Y147" s="1685">
        <v>0</v>
      </c>
      <c r="Z147" s="1766">
        <v>20</v>
      </c>
      <c r="AA147" s="1765" t="s">
        <v>71</v>
      </c>
      <c r="AB147" s="3576"/>
      <c r="AC147" s="3446"/>
      <c r="AD147" s="3574"/>
      <c r="AE147" s="3446"/>
      <c r="AF147" s="3574"/>
      <c r="AG147" s="3446"/>
      <c r="AH147" s="3574"/>
      <c r="AI147" s="3446"/>
      <c r="AJ147" s="3574"/>
      <c r="AK147" s="3446"/>
      <c r="AL147" s="3574"/>
      <c r="AM147" s="3446"/>
      <c r="AN147" s="3574"/>
      <c r="AO147" s="3446"/>
      <c r="AP147" s="3574"/>
      <c r="AQ147" s="3446"/>
      <c r="AR147" s="3574"/>
      <c r="AS147" s="3446"/>
      <c r="AT147" s="3574"/>
      <c r="AU147" s="3446"/>
      <c r="AV147" s="3574"/>
      <c r="AW147" s="3446"/>
      <c r="AX147" s="3574"/>
      <c r="AY147" s="3446"/>
      <c r="AZ147" s="3574"/>
      <c r="BA147" s="3446"/>
      <c r="BB147" s="3574"/>
      <c r="BC147" s="3446"/>
      <c r="BD147" s="3574"/>
      <c r="BE147" s="3446"/>
      <c r="BF147" s="3446"/>
      <c r="BG147" s="3446"/>
      <c r="BH147" s="3446"/>
      <c r="BI147" s="3409"/>
      <c r="BJ147" s="3409"/>
      <c r="BK147" s="3412"/>
      <c r="BL147" s="1733"/>
      <c r="BM147" s="1733"/>
      <c r="BN147" s="1688">
        <v>43480</v>
      </c>
      <c r="BO147" s="1688"/>
      <c r="BP147" s="1688">
        <v>43646</v>
      </c>
      <c r="BQ147" s="1688"/>
      <c r="BR147" s="3506"/>
      <c r="BS147" s="3398"/>
      <c r="BT147" s="1569"/>
    </row>
    <row r="148" spans="1:72" s="571" customFormat="1" ht="30" customHeight="1" x14ac:dyDescent="0.2">
      <c r="A148" s="3369"/>
      <c r="B148" s="3373"/>
      <c r="C148" s="3374"/>
      <c r="D148" s="3560"/>
      <c r="E148" s="3561"/>
      <c r="F148" s="3562"/>
      <c r="G148" s="1569"/>
      <c r="H148" s="1627"/>
      <c r="I148" s="1628"/>
      <c r="J148" s="3566"/>
      <c r="K148" s="3433"/>
      <c r="L148" s="3568"/>
      <c r="M148" s="3566"/>
      <c r="N148" s="3404"/>
      <c r="O148" s="3542"/>
      <c r="P148" s="3520"/>
      <c r="Q148" s="3471"/>
      <c r="R148" s="3555"/>
      <c r="S148" s="3525"/>
      <c r="T148" s="3401"/>
      <c r="U148" s="3401"/>
      <c r="V148" s="3489" t="s">
        <v>1605</v>
      </c>
      <c r="W148" s="1672">
        <v>40000000</v>
      </c>
      <c r="X148" s="1736">
        <v>40000000</v>
      </c>
      <c r="Y148" s="1736">
        <v>0</v>
      </c>
      <c r="Z148" s="1766">
        <v>20</v>
      </c>
      <c r="AA148" s="1765" t="s">
        <v>71</v>
      </c>
      <c r="AB148" s="3576"/>
      <c r="AC148" s="3446"/>
      <c r="AD148" s="3574"/>
      <c r="AE148" s="3446"/>
      <c r="AF148" s="3574"/>
      <c r="AG148" s="3446"/>
      <c r="AH148" s="3574"/>
      <c r="AI148" s="3446"/>
      <c r="AJ148" s="3574"/>
      <c r="AK148" s="3446"/>
      <c r="AL148" s="3574"/>
      <c r="AM148" s="3446"/>
      <c r="AN148" s="3574"/>
      <c r="AO148" s="3446"/>
      <c r="AP148" s="3574"/>
      <c r="AQ148" s="3446"/>
      <c r="AR148" s="3574"/>
      <c r="AS148" s="3446"/>
      <c r="AT148" s="3574"/>
      <c r="AU148" s="3446"/>
      <c r="AV148" s="3574"/>
      <c r="AW148" s="3446"/>
      <c r="AX148" s="3574"/>
      <c r="AY148" s="3446"/>
      <c r="AZ148" s="3574"/>
      <c r="BA148" s="3446"/>
      <c r="BB148" s="3574"/>
      <c r="BC148" s="3446"/>
      <c r="BD148" s="3574"/>
      <c r="BE148" s="3446"/>
      <c r="BF148" s="3446"/>
      <c r="BG148" s="3446"/>
      <c r="BH148" s="3446"/>
      <c r="BI148" s="3409"/>
      <c r="BJ148" s="3409"/>
      <c r="BK148" s="3412"/>
      <c r="BL148" s="1631">
        <v>20</v>
      </c>
      <c r="BM148" s="1733"/>
      <c r="BN148" s="3483">
        <v>43480</v>
      </c>
      <c r="BO148" s="3483"/>
      <c r="BP148" s="3483">
        <v>43646</v>
      </c>
      <c r="BQ148" s="3483"/>
      <c r="BR148" s="3506"/>
      <c r="BS148" s="1569"/>
      <c r="BT148" s="1569"/>
    </row>
    <row r="149" spans="1:72" s="571" customFormat="1" ht="27.75" customHeight="1" x14ac:dyDescent="0.2">
      <c r="A149" s="3369"/>
      <c r="B149" s="3373"/>
      <c r="C149" s="3374"/>
      <c r="D149" s="3560"/>
      <c r="E149" s="3561"/>
      <c r="F149" s="3562"/>
      <c r="G149" s="1569"/>
      <c r="H149" s="1627"/>
      <c r="I149" s="1628"/>
      <c r="J149" s="3566"/>
      <c r="K149" s="3433"/>
      <c r="L149" s="3568"/>
      <c r="M149" s="3566"/>
      <c r="N149" s="3404"/>
      <c r="O149" s="3542"/>
      <c r="P149" s="3520"/>
      <c r="Q149" s="3471"/>
      <c r="R149" s="3555"/>
      <c r="S149" s="3525"/>
      <c r="T149" s="3401"/>
      <c r="U149" s="3401"/>
      <c r="V149" s="3490"/>
      <c r="W149" s="1672">
        <v>43690500</v>
      </c>
      <c r="X149" s="1736">
        <v>0</v>
      </c>
      <c r="Y149" s="1736">
        <v>0</v>
      </c>
      <c r="Z149" s="1766">
        <v>88</v>
      </c>
      <c r="AA149" s="1784" t="s">
        <v>1534</v>
      </c>
      <c r="AB149" s="3576"/>
      <c r="AC149" s="3446"/>
      <c r="AD149" s="3574"/>
      <c r="AE149" s="3446"/>
      <c r="AF149" s="3574"/>
      <c r="AG149" s="3446"/>
      <c r="AH149" s="3574"/>
      <c r="AI149" s="3446"/>
      <c r="AJ149" s="3574"/>
      <c r="AK149" s="3446"/>
      <c r="AL149" s="3574"/>
      <c r="AM149" s="3446"/>
      <c r="AN149" s="3574"/>
      <c r="AO149" s="3446"/>
      <c r="AP149" s="3574"/>
      <c r="AQ149" s="3446"/>
      <c r="AR149" s="3574"/>
      <c r="AS149" s="3446"/>
      <c r="AT149" s="3574"/>
      <c r="AU149" s="3446"/>
      <c r="AV149" s="3574"/>
      <c r="AW149" s="3446"/>
      <c r="AX149" s="3574"/>
      <c r="AY149" s="3446"/>
      <c r="AZ149" s="3574"/>
      <c r="BA149" s="3446"/>
      <c r="BB149" s="3574"/>
      <c r="BC149" s="3446"/>
      <c r="BD149" s="3574"/>
      <c r="BE149" s="3446"/>
      <c r="BF149" s="3446"/>
      <c r="BG149" s="3446"/>
      <c r="BH149" s="3446"/>
      <c r="BI149" s="3409"/>
      <c r="BJ149" s="3409"/>
      <c r="BK149" s="3412"/>
      <c r="BL149" s="1733"/>
      <c r="BM149" s="1733"/>
      <c r="BN149" s="3484"/>
      <c r="BO149" s="3484"/>
      <c r="BP149" s="3484"/>
      <c r="BQ149" s="3484"/>
      <c r="BR149" s="3506"/>
      <c r="BS149" s="1569"/>
      <c r="BT149" s="1569"/>
    </row>
    <row r="150" spans="1:72" s="571" customFormat="1" ht="27" customHeight="1" x14ac:dyDescent="0.2">
      <c r="A150" s="3369"/>
      <c r="B150" s="3373"/>
      <c r="C150" s="3374"/>
      <c r="D150" s="3560"/>
      <c r="E150" s="3561"/>
      <c r="F150" s="3562"/>
      <c r="G150" s="1569"/>
      <c r="H150" s="1627"/>
      <c r="I150" s="1628"/>
      <c r="J150" s="3566"/>
      <c r="K150" s="3433"/>
      <c r="L150" s="3568"/>
      <c r="M150" s="3566"/>
      <c r="N150" s="3404"/>
      <c r="O150" s="3542"/>
      <c r="P150" s="3520"/>
      <c r="Q150" s="3471"/>
      <c r="R150" s="3555"/>
      <c r="S150" s="3525"/>
      <c r="T150" s="3401"/>
      <c r="U150" s="3401"/>
      <c r="V150" s="3489" t="s">
        <v>1606</v>
      </c>
      <c r="W150" s="1672">
        <v>20000000</v>
      </c>
      <c r="X150" s="1736">
        <v>20000000</v>
      </c>
      <c r="Y150" s="1736">
        <v>0</v>
      </c>
      <c r="Z150" s="1766">
        <v>20</v>
      </c>
      <c r="AA150" s="1765" t="s">
        <v>71</v>
      </c>
      <c r="AB150" s="3576"/>
      <c r="AC150" s="3446"/>
      <c r="AD150" s="3574"/>
      <c r="AE150" s="3446"/>
      <c r="AF150" s="3574"/>
      <c r="AG150" s="3446"/>
      <c r="AH150" s="3574"/>
      <c r="AI150" s="3446"/>
      <c r="AJ150" s="3574"/>
      <c r="AK150" s="3446"/>
      <c r="AL150" s="3574"/>
      <c r="AM150" s="3446"/>
      <c r="AN150" s="3574"/>
      <c r="AO150" s="3446"/>
      <c r="AP150" s="3574"/>
      <c r="AQ150" s="3446"/>
      <c r="AR150" s="3574"/>
      <c r="AS150" s="3446"/>
      <c r="AT150" s="3574"/>
      <c r="AU150" s="3446"/>
      <c r="AV150" s="3574"/>
      <c r="AW150" s="3446"/>
      <c r="AX150" s="3574"/>
      <c r="AY150" s="3446"/>
      <c r="AZ150" s="3574"/>
      <c r="BA150" s="3446"/>
      <c r="BB150" s="3574"/>
      <c r="BC150" s="3446"/>
      <c r="BD150" s="3574"/>
      <c r="BE150" s="3446"/>
      <c r="BF150" s="3446"/>
      <c r="BG150" s="3446"/>
      <c r="BH150" s="3446"/>
      <c r="BI150" s="3409"/>
      <c r="BJ150" s="3409"/>
      <c r="BK150" s="3412"/>
      <c r="BL150" s="1733"/>
      <c r="BM150" s="1733"/>
      <c r="BN150" s="3577">
        <v>43534</v>
      </c>
      <c r="BO150" s="3577"/>
      <c r="BP150" s="3577">
        <v>43692</v>
      </c>
      <c r="BQ150" s="3577"/>
      <c r="BR150" s="3506"/>
      <c r="BS150" s="1569"/>
      <c r="BT150" s="1569"/>
    </row>
    <row r="151" spans="1:72" s="571" customFormat="1" ht="27" customHeight="1" x14ac:dyDescent="0.2">
      <c r="A151" s="3369"/>
      <c r="B151" s="3373"/>
      <c r="C151" s="3374"/>
      <c r="D151" s="3560"/>
      <c r="E151" s="3561"/>
      <c r="F151" s="3562"/>
      <c r="G151" s="1569"/>
      <c r="H151" s="1627"/>
      <c r="I151" s="1628"/>
      <c r="J151" s="3552"/>
      <c r="K151" s="3434"/>
      <c r="L151" s="3569"/>
      <c r="M151" s="3552"/>
      <c r="N151" s="3404"/>
      <c r="O151" s="3542"/>
      <c r="P151" s="3520"/>
      <c r="Q151" s="3471"/>
      <c r="R151" s="3556"/>
      <c r="S151" s="3525"/>
      <c r="T151" s="3401"/>
      <c r="U151" s="3401"/>
      <c r="V151" s="3490"/>
      <c r="W151" s="1672">
        <v>20000000</v>
      </c>
      <c r="X151" s="1736">
        <v>0</v>
      </c>
      <c r="Y151" s="1736">
        <v>0</v>
      </c>
      <c r="Z151" s="1766">
        <v>88</v>
      </c>
      <c r="AA151" s="1784" t="s">
        <v>1534</v>
      </c>
      <c r="AB151" s="3576"/>
      <c r="AC151" s="3446"/>
      <c r="AD151" s="3574"/>
      <c r="AE151" s="3446"/>
      <c r="AF151" s="3574"/>
      <c r="AG151" s="3446"/>
      <c r="AH151" s="3574"/>
      <c r="AI151" s="3446"/>
      <c r="AJ151" s="3574"/>
      <c r="AK151" s="3446"/>
      <c r="AL151" s="3574"/>
      <c r="AM151" s="3446"/>
      <c r="AN151" s="3574"/>
      <c r="AO151" s="3446"/>
      <c r="AP151" s="3574"/>
      <c r="AQ151" s="3446"/>
      <c r="AR151" s="3574"/>
      <c r="AS151" s="3446"/>
      <c r="AT151" s="3574"/>
      <c r="AU151" s="3446"/>
      <c r="AV151" s="3574"/>
      <c r="AW151" s="3446"/>
      <c r="AX151" s="3574"/>
      <c r="AY151" s="3446"/>
      <c r="AZ151" s="3574"/>
      <c r="BA151" s="3446"/>
      <c r="BB151" s="3574"/>
      <c r="BC151" s="3446"/>
      <c r="BD151" s="3574"/>
      <c r="BE151" s="3446"/>
      <c r="BF151" s="3446"/>
      <c r="BG151" s="3446"/>
      <c r="BH151" s="3446"/>
      <c r="BI151" s="3409"/>
      <c r="BJ151" s="3409"/>
      <c r="BK151" s="3412"/>
      <c r="BL151" s="1733"/>
      <c r="BM151" s="1733"/>
      <c r="BN151" s="3578"/>
      <c r="BO151" s="3578"/>
      <c r="BP151" s="3578"/>
      <c r="BQ151" s="3578"/>
      <c r="BR151" s="3506"/>
      <c r="BS151" s="1569"/>
      <c r="BT151" s="1569"/>
    </row>
    <row r="152" spans="1:72" s="571" customFormat="1" ht="42" customHeight="1" x14ac:dyDescent="0.2">
      <c r="A152" s="3369"/>
      <c r="B152" s="3373"/>
      <c r="C152" s="3374"/>
      <c r="D152" s="3560"/>
      <c r="E152" s="3561"/>
      <c r="F152" s="3562"/>
      <c r="G152" s="1569"/>
      <c r="H152" s="1627"/>
      <c r="I152" s="1628"/>
      <c r="J152" s="3404">
        <v>251</v>
      </c>
      <c r="K152" s="3401" t="s">
        <v>1607</v>
      </c>
      <c r="L152" s="3401" t="s">
        <v>1608</v>
      </c>
      <c r="M152" s="3404">
        <v>1</v>
      </c>
      <c r="N152" s="3579">
        <v>0.25</v>
      </c>
      <c r="O152" s="3542"/>
      <c r="P152" s="3520"/>
      <c r="Q152" s="3471"/>
      <c r="R152" s="3531">
        <f>SUM(W152:W156)/S138</f>
        <v>7.0958179167026181E-2</v>
      </c>
      <c r="S152" s="3525"/>
      <c r="T152" s="3401"/>
      <c r="U152" s="3401"/>
      <c r="V152" s="999" t="s">
        <v>1609</v>
      </c>
      <c r="W152" s="1644">
        <v>18000000</v>
      </c>
      <c r="X152" s="1685">
        <f>10904000+2000000+2000000</f>
        <v>14904000</v>
      </c>
      <c r="Y152" s="1644">
        <v>1000000</v>
      </c>
      <c r="Z152" s="1766">
        <v>20</v>
      </c>
      <c r="AA152" s="1765" t="s">
        <v>71</v>
      </c>
      <c r="AB152" s="3576"/>
      <c r="AC152" s="3446"/>
      <c r="AD152" s="3574"/>
      <c r="AE152" s="3446"/>
      <c r="AF152" s="3574"/>
      <c r="AG152" s="3446"/>
      <c r="AH152" s="3574"/>
      <c r="AI152" s="3446"/>
      <c r="AJ152" s="3574"/>
      <c r="AK152" s="3446"/>
      <c r="AL152" s="3574"/>
      <c r="AM152" s="3446"/>
      <c r="AN152" s="3574"/>
      <c r="AO152" s="3446"/>
      <c r="AP152" s="3574"/>
      <c r="AQ152" s="3446"/>
      <c r="AR152" s="3574"/>
      <c r="AS152" s="3446"/>
      <c r="AT152" s="3574"/>
      <c r="AU152" s="3446"/>
      <c r="AV152" s="3574"/>
      <c r="AW152" s="3446"/>
      <c r="AX152" s="3574"/>
      <c r="AY152" s="3446"/>
      <c r="AZ152" s="3574"/>
      <c r="BA152" s="3446"/>
      <c r="BB152" s="3574"/>
      <c r="BC152" s="3446"/>
      <c r="BD152" s="3574"/>
      <c r="BE152" s="3446"/>
      <c r="BF152" s="3446"/>
      <c r="BG152" s="3446"/>
      <c r="BH152" s="3446"/>
      <c r="BI152" s="3409"/>
      <c r="BJ152" s="3409"/>
      <c r="BK152" s="3412"/>
      <c r="BL152" s="1733"/>
      <c r="BM152" s="1733"/>
      <c r="BN152" s="1688">
        <v>43480</v>
      </c>
      <c r="BO152" s="1688">
        <v>43516</v>
      </c>
      <c r="BP152" s="1688">
        <v>43646</v>
      </c>
      <c r="BQ152" s="1688">
        <v>43819</v>
      </c>
      <c r="BR152" s="3506"/>
      <c r="BS152" s="1569"/>
      <c r="BT152" s="1569"/>
    </row>
    <row r="153" spans="1:72" s="571" customFormat="1" ht="46.5" customHeight="1" x14ac:dyDescent="0.2">
      <c r="A153" s="3369"/>
      <c r="B153" s="3373"/>
      <c r="C153" s="3374"/>
      <c r="D153" s="3560"/>
      <c r="E153" s="3561"/>
      <c r="F153" s="3562"/>
      <c r="G153" s="1569"/>
      <c r="H153" s="1627"/>
      <c r="I153" s="1628"/>
      <c r="J153" s="3404"/>
      <c r="K153" s="3401"/>
      <c r="L153" s="3401"/>
      <c r="M153" s="3404"/>
      <c r="N153" s="3580"/>
      <c r="O153" s="3542"/>
      <c r="P153" s="3520"/>
      <c r="Q153" s="3471"/>
      <c r="R153" s="3531"/>
      <c r="S153" s="3525"/>
      <c r="T153" s="3401"/>
      <c r="U153" s="3401"/>
      <c r="V153" s="999" t="s">
        <v>1610</v>
      </c>
      <c r="W153" s="1644">
        <v>5000000</v>
      </c>
      <c r="X153" s="1685">
        <v>0</v>
      </c>
      <c r="Y153" s="1685">
        <v>0</v>
      </c>
      <c r="Z153" s="1766">
        <v>20</v>
      </c>
      <c r="AA153" s="1765" t="s">
        <v>71</v>
      </c>
      <c r="AB153" s="3576"/>
      <c r="AC153" s="3446"/>
      <c r="AD153" s="3574"/>
      <c r="AE153" s="3446"/>
      <c r="AF153" s="3574"/>
      <c r="AG153" s="3446"/>
      <c r="AH153" s="3574"/>
      <c r="AI153" s="3446"/>
      <c r="AJ153" s="3574"/>
      <c r="AK153" s="3446"/>
      <c r="AL153" s="3574"/>
      <c r="AM153" s="3446"/>
      <c r="AN153" s="3574"/>
      <c r="AO153" s="3446"/>
      <c r="AP153" s="3574"/>
      <c r="AQ153" s="3446"/>
      <c r="AR153" s="3574"/>
      <c r="AS153" s="3446"/>
      <c r="AT153" s="3574"/>
      <c r="AU153" s="3446"/>
      <c r="AV153" s="3574"/>
      <c r="AW153" s="3446"/>
      <c r="AX153" s="3574"/>
      <c r="AY153" s="3446"/>
      <c r="AZ153" s="3574"/>
      <c r="BA153" s="3446"/>
      <c r="BB153" s="3574"/>
      <c r="BC153" s="3446"/>
      <c r="BD153" s="3574"/>
      <c r="BE153" s="3446"/>
      <c r="BF153" s="3446"/>
      <c r="BG153" s="3446"/>
      <c r="BH153" s="3446"/>
      <c r="BI153" s="3409"/>
      <c r="BJ153" s="3409"/>
      <c r="BK153" s="3412"/>
      <c r="BM153" s="1680" t="s">
        <v>1611</v>
      </c>
      <c r="BN153" s="1639">
        <v>43539</v>
      </c>
      <c r="BO153" s="1639"/>
      <c r="BP153" s="1785" t="s">
        <v>1612</v>
      </c>
      <c r="BQ153" s="1785"/>
      <c r="BR153" s="3506"/>
      <c r="BS153" s="1569"/>
      <c r="BT153" s="1569"/>
    </row>
    <row r="154" spans="1:72" s="571" customFormat="1" ht="38.25" customHeight="1" x14ac:dyDescent="0.2">
      <c r="A154" s="3369"/>
      <c r="B154" s="3373"/>
      <c r="C154" s="3374"/>
      <c r="D154" s="3560"/>
      <c r="E154" s="3561"/>
      <c r="F154" s="3562"/>
      <c r="G154" s="1569"/>
      <c r="H154" s="1627"/>
      <c r="I154" s="1628"/>
      <c r="J154" s="3404"/>
      <c r="K154" s="3401"/>
      <c r="L154" s="3401"/>
      <c r="M154" s="3404"/>
      <c r="N154" s="3580"/>
      <c r="O154" s="3542"/>
      <c r="P154" s="3520"/>
      <c r="Q154" s="3471"/>
      <c r="R154" s="3531"/>
      <c r="S154" s="3525"/>
      <c r="T154" s="3401"/>
      <c r="U154" s="3401"/>
      <c r="V154" s="999" t="s">
        <v>1613</v>
      </c>
      <c r="W154" s="1644">
        <v>14690000</v>
      </c>
      <c r="X154" s="1685">
        <v>0</v>
      </c>
      <c r="Y154" s="1685">
        <v>0</v>
      </c>
      <c r="Z154" s="1766">
        <v>20</v>
      </c>
      <c r="AA154" s="1765" t="s">
        <v>71</v>
      </c>
      <c r="AB154" s="3576"/>
      <c r="AC154" s="3446"/>
      <c r="AD154" s="3574"/>
      <c r="AE154" s="3446"/>
      <c r="AF154" s="3574"/>
      <c r="AG154" s="3446"/>
      <c r="AH154" s="3574"/>
      <c r="AI154" s="3446"/>
      <c r="AJ154" s="3574"/>
      <c r="AK154" s="3446"/>
      <c r="AL154" s="3574"/>
      <c r="AM154" s="3446"/>
      <c r="AN154" s="3574"/>
      <c r="AO154" s="3446"/>
      <c r="AP154" s="3574"/>
      <c r="AQ154" s="3446"/>
      <c r="AR154" s="3574"/>
      <c r="AS154" s="3446"/>
      <c r="AT154" s="3574"/>
      <c r="AU154" s="3446"/>
      <c r="AV154" s="3574"/>
      <c r="AW154" s="3446"/>
      <c r="AX154" s="3574"/>
      <c r="AY154" s="3446"/>
      <c r="AZ154" s="3574"/>
      <c r="BA154" s="3446"/>
      <c r="BB154" s="3574"/>
      <c r="BC154" s="3446"/>
      <c r="BD154" s="3574"/>
      <c r="BE154" s="3446"/>
      <c r="BF154" s="3446"/>
      <c r="BG154" s="3446"/>
      <c r="BH154" s="3446"/>
      <c r="BI154" s="3409"/>
      <c r="BJ154" s="3409"/>
      <c r="BK154" s="3412"/>
      <c r="BL154" s="1631">
        <v>88</v>
      </c>
      <c r="BM154" s="1733" t="s">
        <v>1614</v>
      </c>
      <c r="BN154" s="1688">
        <v>43490</v>
      </c>
      <c r="BO154" s="1688"/>
      <c r="BP154" s="1688">
        <v>43646</v>
      </c>
      <c r="BQ154" s="1688"/>
      <c r="BR154" s="3506"/>
      <c r="BS154" s="1569"/>
      <c r="BT154" s="1569"/>
    </row>
    <row r="155" spans="1:72" s="571" customFormat="1" ht="33" customHeight="1" x14ac:dyDescent="0.2">
      <c r="A155" s="3369"/>
      <c r="B155" s="3373"/>
      <c r="C155" s="3374"/>
      <c r="D155" s="3560"/>
      <c r="E155" s="3561"/>
      <c r="F155" s="3562"/>
      <c r="G155" s="1569"/>
      <c r="H155" s="1627"/>
      <c r="I155" s="1628"/>
      <c r="J155" s="3404"/>
      <c r="K155" s="3401"/>
      <c r="L155" s="3401"/>
      <c r="M155" s="3404"/>
      <c r="N155" s="3580"/>
      <c r="O155" s="3542"/>
      <c r="P155" s="3520"/>
      <c r="Q155" s="3471"/>
      <c r="R155" s="3531"/>
      <c r="S155" s="3525"/>
      <c r="T155" s="3401"/>
      <c r="U155" s="3401"/>
      <c r="V155" s="999" t="s">
        <v>1615</v>
      </c>
      <c r="W155" s="1644">
        <v>5000000</v>
      </c>
      <c r="X155" s="1685">
        <v>0</v>
      </c>
      <c r="Y155" s="1685">
        <v>0</v>
      </c>
      <c r="Z155" s="1766">
        <v>20</v>
      </c>
      <c r="AA155" s="1765" t="s">
        <v>71</v>
      </c>
      <c r="AB155" s="3576"/>
      <c r="AC155" s="3446"/>
      <c r="AD155" s="3574"/>
      <c r="AE155" s="3446"/>
      <c r="AF155" s="3574"/>
      <c r="AG155" s="3446"/>
      <c r="AH155" s="3574"/>
      <c r="AI155" s="3446"/>
      <c r="AJ155" s="3574"/>
      <c r="AK155" s="3446"/>
      <c r="AL155" s="3574"/>
      <c r="AM155" s="3446"/>
      <c r="AN155" s="3574"/>
      <c r="AO155" s="3446"/>
      <c r="AP155" s="3574"/>
      <c r="AQ155" s="3446"/>
      <c r="AR155" s="3574"/>
      <c r="AS155" s="3446"/>
      <c r="AT155" s="3574"/>
      <c r="AU155" s="3446"/>
      <c r="AV155" s="3574"/>
      <c r="AW155" s="3446"/>
      <c r="AX155" s="3574"/>
      <c r="AY155" s="3446"/>
      <c r="AZ155" s="3574"/>
      <c r="BA155" s="3446"/>
      <c r="BB155" s="3574"/>
      <c r="BC155" s="3446"/>
      <c r="BD155" s="3574"/>
      <c r="BE155" s="3446"/>
      <c r="BF155" s="3446"/>
      <c r="BG155" s="3446"/>
      <c r="BH155" s="3446"/>
      <c r="BI155" s="3409"/>
      <c r="BJ155" s="3409"/>
      <c r="BK155" s="3412"/>
      <c r="BL155" s="1733"/>
      <c r="BM155" s="1733"/>
      <c r="BN155" s="1639">
        <v>43539</v>
      </c>
      <c r="BO155" s="1639"/>
      <c r="BP155" s="1639">
        <v>43758</v>
      </c>
      <c r="BQ155" s="1639"/>
      <c r="BR155" s="3506"/>
      <c r="BS155" s="1569"/>
      <c r="BT155" s="1569"/>
    </row>
    <row r="156" spans="1:72" s="571" customFormat="1" ht="39.75" customHeight="1" x14ac:dyDescent="0.2">
      <c r="A156" s="3369"/>
      <c r="B156" s="3373"/>
      <c r="C156" s="3374"/>
      <c r="D156" s="3560"/>
      <c r="E156" s="3561"/>
      <c r="F156" s="3562"/>
      <c r="G156" s="1569"/>
      <c r="H156" s="1627"/>
      <c r="I156" s="1628"/>
      <c r="J156" s="3404"/>
      <c r="K156" s="3401"/>
      <c r="L156" s="3401"/>
      <c r="M156" s="3404"/>
      <c r="N156" s="3581"/>
      <c r="O156" s="3542"/>
      <c r="P156" s="3520"/>
      <c r="Q156" s="3471"/>
      <c r="R156" s="3531"/>
      <c r="S156" s="3525"/>
      <c r="T156" s="3401"/>
      <c r="U156" s="3401"/>
      <c r="V156" s="999" t="s">
        <v>1616</v>
      </c>
      <c r="W156" s="1644">
        <v>7000000</v>
      </c>
      <c r="X156" s="1685">
        <v>0</v>
      </c>
      <c r="Y156" s="1685">
        <v>0</v>
      </c>
      <c r="Z156" s="1766">
        <v>20</v>
      </c>
      <c r="AA156" s="1765" t="s">
        <v>71</v>
      </c>
      <c r="AB156" s="3576"/>
      <c r="AC156" s="3446"/>
      <c r="AD156" s="3574"/>
      <c r="AE156" s="3446"/>
      <c r="AF156" s="3574"/>
      <c r="AG156" s="3446"/>
      <c r="AH156" s="3574"/>
      <c r="AI156" s="3446"/>
      <c r="AJ156" s="3574"/>
      <c r="AK156" s="3446"/>
      <c r="AL156" s="3574"/>
      <c r="AM156" s="3446"/>
      <c r="AN156" s="3574"/>
      <c r="AO156" s="3446"/>
      <c r="AP156" s="3574"/>
      <c r="AQ156" s="3446"/>
      <c r="AR156" s="3574"/>
      <c r="AS156" s="3446"/>
      <c r="AT156" s="3574"/>
      <c r="AU156" s="3446"/>
      <c r="AV156" s="3574"/>
      <c r="AW156" s="3446"/>
      <c r="AX156" s="3574"/>
      <c r="AY156" s="3446"/>
      <c r="AZ156" s="3574"/>
      <c r="BA156" s="3446"/>
      <c r="BB156" s="3574"/>
      <c r="BC156" s="3446"/>
      <c r="BD156" s="3574"/>
      <c r="BE156" s="3446"/>
      <c r="BF156" s="3446"/>
      <c r="BG156" s="3446"/>
      <c r="BH156" s="3446"/>
      <c r="BI156" s="3409"/>
      <c r="BJ156" s="3409"/>
      <c r="BK156" s="3412"/>
      <c r="BL156" s="1733"/>
      <c r="BM156" s="1733"/>
      <c r="BN156" s="1639">
        <v>43539</v>
      </c>
      <c r="BO156" s="1639"/>
      <c r="BP156" s="1639">
        <v>43758</v>
      </c>
      <c r="BQ156" s="1639"/>
      <c r="BR156" s="3506"/>
      <c r="BS156" s="1569"/>
      <c r="BT156" s="1569"/>
    </row>
    <row r="157" spans="1:72" s="571" customFormat="1" ht="66" customHeight="1" x14ac:dyDescent="0.2">
      <c r="A157" s="3369"/>
      <c r="B157" s="3373"/>
      <c r="C157" s="3374"/>
      <c r="D157" s="3560"/>
      <c r="E157" s="3561"/>
      <c r="F157" s="3562"/>
      <c r="G157" s="1569"/>
      <c r="H157" s="1627"/>
      <c r="I157" s="1628"/>
      <c r="J157" s="1635">
        <v>252</v>
      </c>
      <c r="K157" s="1633" t="s">
        <v>1617</v>
      </c>
      <c r="L157" s="1633" t="s">
        <v>1618</v>
      </c>
      <c r="M157" s="1635">
        <v>1</v>
      </c>
      <c r="N157" s="1635">
        <v>0</v>
      </c>
      <c r="O157" s="3542"/>
      <c r="P157" s="3520"/>
      <c r="Q157" s="3471"/>
      <c r="R157" s="1778">
        <f>SUM(W157)/S138</f>
        <v>3.5486229669965799E-2</v>
      </c>
      <c r="S157" s="3525"/>
      <c r="T157" s="3401"/>
      <c r="U157" s="3401"/>
      <c r="V157" s="1786" t="s">
        <v>1619</v>
      </c>
      <c r="W157" s="1644">
        <v>24850000</v>
      </c>
      <c r="X157" s="1685">
        <v>0</v>
      </c>
      <c r="Y157" s="1685">
        <v>0</v>
      </c>
      <c r="Z157" s="1766">
        <v>20</v>
      </c>
      <c r="AA157" s="1765" t="s">
        <v>71</v>
      </c>
      <c r="AB157" s="3576"/>
      <c r="AC157" s="3446"/>
      <c r="AD157" s="3574"/>
      <c r="AE157" s="3446"/>
      <c r="AF157" s="3574"/>
      <c r="AG157" s="3446"/>
      <c r="AH157" s="3574"/>
      <c r="AI157" s="3446"/>
      <c r="AJ157" s="3574"/>
      <c r="AK157" s="3446"/>
      <c r="AL157" s="3574"/>
      <c r="AM157" s="3446"/>
      <c r="AN157" s="3574"/>
      <c r="AO157" s="3446"/>
      <c r="AP157" s="3574"/>
      <c r="AQ157" s="3446"/>
      <c r="AR157" s="3574"/>
      <c r="AS157" s="3446"/>
      <c r="AT157" s="3574"/>
      <c r="AU157" s="3446"/>
      <c r="AV157" s="3574"/>
      <c r="AW157" s="3446"/>
      <c r="AX157" s="3574"/>
      <c r="AY157" s="3446"/>
      <c r="AZ157" s="3574"/>
      <c r="BA157" s="3446"/>
      <c r="BB157" s="3574"/>
      <c r="BC157" s="3446"/>
      <c r="BD157" s="3574"/>
      <c r="BE157" s="3446"/>
      <c r="BF157" s="3446"/>
      <c r="BG157" s="3446"/>
      <c r="BH157" s="3446"/>
      <c r="BI157" s="3409"/>
      <c r="BJ157" s="3409"/>
      <c r="BK157" s="3412"/>
      <c r="BL157" s="1733"/>
      <c r="BM157" s="1733"/>
      <c r="BN157" s="1639">
        <v>43497</v>
      </c>
      <c r="BO157" s="1639"/>
      <c r="BP157" s="1639">
        <v>43779</v>
      </c>
      <c r="BQ157" s="1639"/>
      <c r="BR157" s="3506"/>
      <c r="BS157" s="1569"/>
      <c r="BT157" s="1569"/>
    </row>
    <row r="158" spans="1:72" s="571" customFormat="1" ht="26.25" customHeight="1" x14ac:dyDescent="0.2">
      <c r="A158" s="3369"/>
      <c r="B158" s="3373"/>
      <c r="C158" s="3374"/>
      <c r="D158" s="3560"/>
      <c r="E158" s="3561"/>
      <c r="F158" s="3562"/>
      <c r="G158" s="1569"/>
      <c r="H158" s="1627"/>
      <c r="I158" s="1628"/>
      <c r="J158" s="3551">
        <v>253</v>
      </c>
      <c r="K158" s="3381" t="s">
        <v>1620</v>
      </c>
      <c r="L158" s="3381" t="s">
        <v>1621</v>
      </c>
      <c r="M158" s="3570">
        <v>0.5</v>
      </c>
      <c r="N158" s="3534">
        <v>0.125</v>
      </c>
      <c r="O158" s="3542"/>
      <c r="P158" s="3520"/>
      <c r="Q158" s="3471"/>
      <c r="R158" s="3554">
        <f>SUM(W158:W160)/S138</f>
        <v>0.34272414973005194</v>
      </c>
      <c r="S158" s="3525"/>
      <c r="T158" s="3401"/>
      <c r="U158" s="3478"/>
      <c r="V158" s="3489" t="s">
        <v>1622</v>
      </c>
      <c r="W158" s="1787">
        <v>85000000</v>
      </c>
      <c r="X158" s="1736">
        <v>56487599</v>
      </c>
      <c r="Y158" s="1736">
        <v>3593000</v>
      </c>
      <c r="Z158" s="1766">
        <v>20</v>
      </c>
      <c r="AA158" s="1765" t="s">
        <v>71</v>
      </c>
      <c r="AB158" s="3576"/>
      <c r="AC158" s="3446"/>
      <c r="AD158" s="3574"/>
      <c r="AE158" s="3446"/>
      <c r="AF158" s="3574"/>
      <c r="AG158" s="3446"/>
      <c r="AH158" s="3574"/>
      <c r="AI158" s="3446"/>
      <c r="AJ158" s="3574"/>
      <c r="AK158" s="3446"/>
      <c r="AL158" s="3574"/>
      <c r="AM158" s="3446"/>
      <c r="AN158" s="3574"/>
      <c r="AO158" s="3446"/>
      <c r="AP158" s="3574"/>
      <c r="AQ158" s="3446"/>
      <c r="AR158" s="3574"/>
      <c r="AS158" s="3446"/>
      <c r="AT158" s="3574"/>
      <c r="AU158" s="3446"/>
      <c r="AV158" s="3574"/>
      <c r="AW158" s="3446"/>
      <c r="AX158" s="3574"/>
      <c r="AY158" s="3446"/>
      <c r="AZ158" s="3574"/>
      <c r="BA158" s="3446"/>
      <c r="BB158" s="3574"/>
      <c r="BC158" s="3446"/>
      <c r="BD158" s="3574"/>
      <c r="BE158" s="3446"/>
      <c r="BF158" s="3446"/>
      <c r="BG158" s="3446"/>
      <c r="BH158" s="3446"/>
      <c r="BI158" s="3409"/>
      <c r="BJ158" s="3409"/>
      <c r="BK158" s="3412"/>
      <c r="BL158" s="1733"/>
      <c r="BM158" s="1733"/>
      <c r="BN158" s="3406">
        <v>43490</v>
      </c>
      <c r="BO158" s="3406">
        <v>43521</v>
      </c>
      <c r="BP158" s="3406">
        <v>43784</v>
      </c>
      <c r="BQ158" s="3406">
        <v>43809</v>
      </c>
      <c r="BR158" s="3506"/>
      <c r="BS158" s="1569"/>
      <c r="BT158" s="1569"/>
    </row>
    <row r="159" spans="1:72" s="571" customFormat="1" ht="27.75" customHeight="1" x14ac:dyDescent="0.2">
      <c r="A159" s="3369"/>
      <c r="B159" s="3373"/>
      <c r="C159" s="3374"/>
      <c r="D159" s="3560"/>
      <c r="E159" s="3561"/>
      <c r="F159" s="3562"/>
      <c r="G159" s="1569"/>
      <c r="H159" s="1627"/>
      <c r="I159" s="1628"/>
      <c r="J159" s="3566"/>
      <c r="K159" s="3460"/>
      <c r="L159" s="3460"/>
      <c r="M159" s="3571"/>
      <c r="N159" s="3534"/>
      <c r="O159" s="3542"/>
      <c r="P159" s="3520"/>
      <c r="Q159" s="3471"/>
      <c r="R159" s="3555"/>
      <c r="S159" s="3525"/>
      <c r="T159" s="3401"/>
      <c r="U159" s="3478"/>
      <c r="V159" s="3490"/>
      <c r="W159" s="1788">
        <v>140000000</v>
      </c>
      <c r="X159" s="1736">
        <v>100728000</v>
      </c>
      <c r="Y159" s="1736">
        <v>0</v>
      </c>
      <c r="Z159" s="1766">
        <v>88</v>
      </c>
      <c r="AA159" s="1765" t="s">
        <v>1534</v>
      </c>
      <c r="AB159" s="3576"/>
      <c r="AC159" s="3446"/>
      <c r="AD159" s="3574"/>
      <c r="AE159" s="3446"/>
      <c r="AF159" s="3574"/>
      <c r="AG159" s="3446"/>
      <c r="AH159" s="3574"/>
      <c r="AI159" s="3446"/>
      <c r="AJ159" s="3574"/>
      <c r="AK159" s="3446"/>
      <c r="AL159" s="3574"/>
      <c r="AM159" s="3446"/>
      <c r="AN159" s="3574"/>
      <c r="AO159" s="3446"/>
      <c r="AP159" s="3574"/>
      <c r="AQ159" s="3446"/>
      <c r="AR159" s="3574"/>
      <c r="AS159" s="3446"/>
      <c r="AT159" s="3574"/>
      <c r="AU159" s="3446"/>
      <c r="AV159" s="3574"/>
      <c r="AW159" s="3446"/>
      <c r="AX159" s="3574"/>
      <c r="AY159" s="3446"/>
      <c r="AZ159" s="3574"/>
      <c r="BA159" s="3446"/>
      <c r="BB159" s="3574"/>
      <c r="BC159" s="3446"/>
      <c r="BD159" s="3574"/>
      <c r="BE159" s="3446"/>
      <c r="BF159" s="3446"/>
      <c r="BG159" s="3446"/>
      <c r="BH159" s="3446"/>
      <c r="BI159" s="3409"/>
      <c r="BJ159" s="3409"/>
      <c r="BK159" s="3412"/>
      <c r="BL159" s="1733"/>
      <c r="BM159" s="1733"/>
      <c r="BN159" s="3407"/>
      <c r="BO159" s="3407"/>
      <c r="BP159" s="3407"/>
      <c r="BQ159" s="3407"/>
      <c r="BR159" s="3506"/>
      <c r="BS159" s="1569"/>
      <c r="BT159" s="1569"/>
    </row>
    <row r="160" spans="1:72" s="571" customFormat="1" ht="37.5" customHeight="1" x14ac:dyDescent="0.2">
      <c r="A160" s="3369"/>
      <c r="B160" s="3373"/>
      <c r="C160" s="3374"/>
      <c r="D160" s="3560"/>
      <c r="E160" s="3561"/>
      <c r="F160" s="3562"/>
      <c r="G160" s="1569"/>
      <c r="H160" s="1627"/>
      <c r="I160" s="1628"/>
      <c r="J160" s="3552"/>
      <c r="K160" s="3382"/>
      <c r="L160" s="3382"/>
      <c r="M160" s="3572"/>
      <c r="N160" s="3534"/>
      <c r="O160" s="3542"/>
      <c r="P160" s="3520"/>
      <c r="Q160" s="3471"/>
      <c r="R160" s="3556"/>
      <c r="S160" s="3525"/>
      <c r="T160" s="3401"/>
      <c r="U160" s="3478"/>
      <c r="V160" s="1789" t="s">
        <v>1623</v>
      </c>
      <c r="W160" s="1685">
        <v>15000000</v>
      </c>
      <c r="X160" s="1685">
        <v>0</v>
      </c>
      <c r="Y160" s="1685">
        <v>0</v>
      </c>
      <c r="Z160" s="1766">
        <v>20</v>
      </c>
      <c r="AA160" s="1765" t="s">
        <v>71</v>
      </c>
      <c r="AB160" s="3576"/>
      <c r="AC160" s="3446"/>
      <c r="AD160" s="3574"/>
      <c r="AE160" s="3446"/>
      <c r="AF160" s="3574"/>
      <c r="AG160" s="3446"/>
      <c r="AH160" s="3574"/>
      <c r="AI160" s="3446"/>
      <c r="AJ160" s="3574"/>
      <c r="AK160" s="3446"/>
      <c r="AL160" s="3574"/>
      <c r="AM160" s="3446"/>
      <c r="AN160" s="3574"/>
      <c r="AO160" s="3446"/>
      <c r="AP160" s="3574"/>
      <c r="AQ160" s="3446"/>
      <c r="AR160" s="3574"/>
      <c r="AS160" s="3446"/>
      <c r="AT160" s="3574"/>
      <c r="AU160" s="3446"/>
      <c r="AV160" s="3574"/>
      <c r="AW160" s="3446"/>
      <c r="AX160" s="3574"/>
      <c r="AY160" s="3446"/>
      <c r="AZ160" s="3574"/>
      <c r="BA160" s="3446"/>
      <c r="BB160" s="3574"/>
      <c r="BC160" s="3446"/>
      <c r="BD160" s="3574"/>
      <c r="BE160" s="3446"/>
      <c r="BF160" s="3446"/>
      <c r="BG160" s="3446"/>
      <c r="BH160" s="3446"/>
      <c r="BI160" s="3409"/>
      <c r="BJ160" s="3409"/>
      <c r="BK160" s="3412"/>
      <c r="BL160" s="1733"/>
      <c r="BM160" s="1733"/>
      <c r="BN160" s="1639">
        <v>43542</v>
      </c>
      <c r="BO160" s="1639"/>
      <c r="BP160" s="1639">
        <v>43785</v>
      </c>
      <c r="BQ160" s="1639"/>
      <c r="BR160" s="3506"/>
      <c r="BS160" s="1569"/>
      <c r="BT160" s="1569"/>
    </row>
    <row r="161" spans="1:72" s="571" customFormat="1" ht="43.5" customHeight="1" x14ac:dyDescent="0.2">
      <c r="A161" s="3369"/>
      <c r="B161" s="3373"/>
      <c r="C161" s="3374"/>
      <c r="D161" s="3560"/>
      <c r="E161" s="3561"/>
      <c r="F161" s="3562"/>
      <c r="G161" s="1569"/>
      <c r="H161" s="1627"/>
      <c r="I161" s="1628"/>
      <c r="J161" s="3404">
        <v>254</v>
      </c>
      <c r="K161" s="3401" t="s">
        <v>1624</v>
      </c>
      <c r="L161" s="3401" t="s">
        <v>1625</v>
      </c>
      <c r="M161" s="3404">
        <v>1</v>
      </c>
      <c r="N161" s="3579">
        <v>0.25</v>
      </c>
      <c r="O161" s="3542"/>
      <c r="P161" s="3520"/>
      <c r="Q161" s="3471"/>
      <c r="R161" s="3554">
        <f>SUM(W161:W164)/S138</f>
        <v>4.25565332017383E-2</v>
      </c>
      <c r="S161" s="3525"/>
      <c r="T161" s="3401"/>
      <c r="U161" s="3478"/>
      <c r="V161" s="999" t="s">
        <v>1626</v>
      </c>
      <c r="W161" s="1644">
        <v>17101133</v>
      </c>
      <c r="X161" s="1685">
        <v>0</v>
      </c>
      <c r="Y161" s="1644">
        <v>0</v>
      </c>
      <c r="Z161" s="1766">
        <v>20</v>
      </c>
      <c r="AA161" s="1765" t="s">
        <v>71</v>
      </c>
      <c r="AB161" s="3576"/>
      <c r="AC161" s="3446"/>
      <c r="AD161" s="3574"/>
      <c r="AE161" s="3446"/>
      <c r="AF161" s="3574"/>
      <c r="AG161" s="3446"/>
      <c r="AH161" s="3574"/>
      <c r="AI161" s="3446"/>
      <c r="AJ161" s="3574"/>
      <c r="AK161" s="3446"/>
      <c r="AL161" s="3574"/>
      <c r="AM161" s="3446"/>
      <c r="AN161" s="3574"/>
      <c r="AO161" s="3446"/>
      <c r="AP161" s="3574"/>
      <c r="AQ161" s="3446"/>
      <c r="AR161" s="3574"/>
      <c r="AS161" s="3446"/>
      <c r="AT161" s="3574"/>
      <c r="AU161" s="3446"/>
      <c r="AV161" s="3574"/>
      <c r="AW161" s="3446"/>
      <c r="AX161" s="3574"/>
      <c r="AY161" s="3446"/>
      <c r="AZ161" s="3574"/>
      <c r="BA161" s="3446"/>
      <c r="BB161" s="3574"/>
      <c r="BC161" s="3446"/>
      <c r="BD161" s="3574"/>
      <c r="BE161" s="3446"/>
      <c r="BF161" s="3446"/>
      <c r="BG161" s="3446"/>
      <c r="BH161" s="3446"/>
      <c r="BI161" s="3409"/>
      <c r="BJ161" s="3409"/>
      <c r="BK161" s="3412"/>
      <c r="BL161" s="1733"/>
      <c r="BM161" s="1733"/>
      <c r="BN161" s="1688">
        <v>43480</v>
      </c>
      <c r="BO161" s="1688"/>
      <c r="BP161" s="1688">
        <v>43646</v>
      </c>
      <c r="BQ161" s="1688"/>
      <c r="BR161" s="3506"/>
      <c r="BS161" s="1569"/>
      <c r="BT161" s="1569"/>
    </row>
    <row r="162" spans="1:72" s="571" customFormat="1" ht="36" customHeight="1" x14ac:dyDescent="0.2">
      <c r="A162" s="3369"/>
      <c r="B162" s="3373"/>
      <c r="C162" s="3374"/>
      <c r="D162" s="3560"/>
      <c r="E162" s="3561"/>
      <c r="F162" s="3562"/>
      <c r="G162" s="1569"/>
      <c r="H162" s="1627"/>
      <c r="I162" s="1628"/>
      <c r="J162" s="3404"/>
      <c r="K162" s="3401"/>
      <c r="L162" s="3401"/>
      <c r="M162" s="3404"/>
      <c r="N162" s="3580"/>
      <c r="O162" s="3542"/>
      <c r="P162" s="3520"/>
      <c r="Q162" s="3471"/>
      <c r="R162" s="3555"/>
      <c r="S162" s="3525"/>
      <c r="T162" s="3401"/>
      <c r="U162" s="3478"/>
      <c r="V162" s="999" t="s">
        <v>1627</v>
      </c>
      <c r="W162" s="1644">
        <v>5000000</v>
      </c>
      <c r="X162" s="1685">
        <v>0</v>
      </c>
      <c r="Y162" s="1644">
        <v>0</v>
      </c>
      <c r="Z162" s="1766">
        <v>20</v>
      </c>
      <c r="AA162" s="1765" t="s">
        <v>71</v>
      </c>
      <c r="AB162" s="3576"/>
      <c r="AC162" s="3446"/>
      <c r="AD162" s="3574"/>
      <c r="AE162" s="3446"/>
      <c r="AF162" s="3574"/>
      <c r="AG162" s="3446"/>
      <c r="AH162" s="3574"/>
      <c r="AI162" s="3446"/>
      <c r="AJ162" s="3574"/>
      <c r="AK162" s="3446"/>
      <c r="AL162" s="3574"/>
      <c r="AM162" s="3446"/>
      <c r="AN162" s="3574"/>
      <c r="AO162" s="3446"/>
      <c r="AP162" s="3574"/>
      <c r="AQ162" s="3446"/>
      <c r="AR162" s="3574"/>
      <c r="AS162" s="3446"/>
      <c r="AT162" s="3574"/>
      <c r="AU162" s="3446"/>
      <c r="AV162" s="3574"/>
      <c r="AW162" s="3446"/>
      <c r="AX162" s="3574"/>
      <c r="AY162" s="3446"/>
      <c r="AZ162" s="3574"/>
      <c r="BA162" s="3446"/>
      <c r="BB162" s="3574"/>
      <c r="BC162" s="3446"/>
      <c r="BD162" s="3574"/>
      <c r="BE162" s="3446"/>
      <c r="BF162" s="3446"/>
      <c r="BG162" s="3446"/>
      <c r="BH162" s="3446"/>
      <c r="BI162" s="3409"/>
      <c r="BJ162" s="3409"/>
      <c r="BK162" s="3412"/>
      <c r="BL162" s="1733"/>
      <c r="BM162" s="1733"/>
      <c r="BN162" s="1639">
        <v>43539</v>
      </c>
      <c r="BO162" s="1639"/>
      <c r="BP162" s="1639">
        <v>43697</v>
      </c>
      <c r="BQ162" s="1639"/>
      <c r="BR162" s="3506"/>
      <c r="BS162" s="1569"/>
      <c r="BT162" s="1569"/>
    </row>
    <row r="163" spans="1:72" s="571" customFormat="1" ht="39.75" customHeight="1" x14ac:dyDescent="0.2">
      <c r="A163" s="3369"/>
      <c r="B163" s="3373"/>
      <c r="C163" s="3374"/>
      <c r="D163" s="3563"/>
      <c r="E163" s="3564"/>
      <c r="F163" s="3565"/>
      <c r="G163" s="1569"/>
      <c r="H163" s="1627"/>
      <c r="I163" s="1628"/>
      <c r="J163" s="3404"/>
      <c r="K163" s="3401"/>
      <c r="L163" s="3401"/>
      <c r="M163" s="3404"/>
      <c r="N163" s="3580"/>
      <c r="O163" s="3542"/>
      <c r="P163" s="3520"/>
      <c r="Q163" s="3471"/>
      <c r="R163" s="3555"/>
      <c r="S163" s="3525"/>
      <c r="T163" s="3401"/>
      <c r="U163" s="3478"/>
      <c r="V163" s="999" t="s">
        <v>1628</v>
      </c>
      <c r="W163" s="1644">
        <v>5000000</v>
      </c>
      <c r="X163" s="1685">
        <v>0</v>
      </c>
      <c r="Y163" s="1644">
        <v>0</v>
      </c>
      <c r="Z163" s="1766">
        <v>20</v>
      </c>
      <c r="AA163" s="1765" t="s">
        <v>71</v>
      </c>
      <c r="AB163" s="3576"/>
      <c r="AC163" s="3446"/>
      <c r="AD163" s="3574"/>
      <c r="AE163" s="3446"/>
      <c r="AF163" s="3574"/>
      <c r="AG163" s="3446"/>
      <c r="AH163" s="3574"/>
      <c r="AI163" s="3446"/>
      <c r="AJ163" s="3574"/>
      <c r="AK163" s="3446"/>
      <c r="AL163" s="3574"/>
      <c r="AM163" s="3446"/>
      <c r="AN163" s="3574"/>
      <c r="AO163" s="3446"/>
      <c r="AP163" s="3574"/>
      <c r="AQ163" s="3446"/>
      <c r="AR163" s="3574"/>
      <c r="AS163" s="3446"/>
      <c r="AT163" s="3574"/>
      <c r="AU163" s="3446"/>
      <c r="AV163" s="3574"/>
      <c r="AW163" s="3446"/>
      <c r="AX163" s="3574"/>
      <c r="AY163" s="3446"/>
      <c r="AZ163" s="3574"/>
      <c r="BA163" s="3446"/>
      <c r="BB163" s="3574"/>
      <c r="BC163" s="3446"/>
      <c r="BD163" s="3574"/>
      <c r="BE163" s="3446"/>
      <c r="BF163" s="3446"/>
      <c r="BG163" s="3446"/>
      <c r="BH163" s="3446"/>
      <c r="BI163" s="3409"/>
      <c r="BJ163" s="3409"/>
      <c r="BK163" s="3412"/>
      <c r="BL163" s="1733"/>
      <c r="BM163" s="1733"/>
      <c r="BN163" s="1639">
        <v>43539</v>
      </c>
      <c r="BO163" s="1639"/>
      <c r="BP163" s="1639">
        <v>43689</v>
      </c>
      <c r="BQ163" s="1639"/>
      <c r="BR163" s="3506"/>
      <c r="BS163" s="1569"/>
      <c r="BT163" s="1569"/>
    </row>
    <row r="164" spans="1:72" s="571" customFormat="1" ht="27" customHeight="1" x14ac:dyDescent="0.2">
      <c r="A164" s="3369"/>
      <c r="B164" s="3373"/>
      <c r="C164" s="3374"/>
      <c r="D164" s="1703">
        <v>27</v>
      </c>
      <c r="E164" s="1780" t="s">
        <v>1589</v>
      </c>
      <c r="F164" s="1780"/>
      <c r="G164" s="1569"/>
      <c r="H164" s="1658"/>
      <c r="I164" s="1659"/>
      <c r="J164" s="3404"/>
      <c r="K164" s="3401"/>
      <c r="L164" s="3401"/>
      <c r="M164" s="3404"/>
      <c r="N164" s="3581"/>
      <c r="O164" s="3542"/>
      <c r="P164" s="3520"/>
      <c r="Q164" s="3471"/>
      <c r="R164" s="3556"/>
      <c r="S164" s="3526"/>
      <c r="T164" s="3401"/>
      <c r="U164" s="3478"/>
      <c r="V164" s="999" t="s">
        <v>1602</v>
      </c>
      <c r="W164" s="1644">
        <v>2700000</v>
      </c>
      <c r="X164" s="1685">
        <v>0</v>
      </c>
      <c r="Y164" s="1644">
        <v>0</v>
      </c>
      <c r="Z164" s="1766">
        <v>20</v>
      </c>
      <c r="AA164" s="1765" t="s">
        <v>71</v>
      </c>
      <c r="AB164" s="3576"/>
      <c r="AC164" s="3447"/>
      <c r="AD164" s="3574"/>
      <c r="AE164" s="3447"/>
      <c r="AF164" s="3574"/>
      <c r="AG164" s="3447"/>
      <c r="AH164" s="3574"/>
      <c r="AI164" s="3447"/>
      <c r="AJ164" s="3574"/>
      <c r="AK164" s="3447"/>
      <c r="AL164" s="3574"/>
      <c r="AM164" s="3447"/>
      <c r="AN164" s="3574"/>
      <c r="AO164" s="3447"/>
      <c r="AP164" s="3574"/>
      <c r="AQ164" s="3447"/>
      <c r="AR164" s="3574"/>
      <c r="AS164" s="3447"/>
      <c r="AT164" s="3574"/>
      <c r="AU164" s="3447"/>
      <c r="AV164" s="3574"/>
      <c r="AW164" s="3447"/>
      <c r="AX164" s="3574"/>
      <c r="AY164" s="3447"/>
      <c r="AZ164" s="3574"/>
      <c r="BA164" s="3447"/>
      <c r="BB164" s="3574"/>
      <c r="BC164" s="3447"/>
      <c r="BD164" s="3574"/>
      <c r="BE164" s="3447"/>
      <c r="BF164" s="3447"/>
      <c r="BG164" s="3447"/>
      <c r="BH164" s="3447"/>
      <c r="BI164" s="3410"/>
      <c r="BJ164" s="3410"/>
      <c r="BK164" s="3413"/>
      <c r="BL164" s="1749"/>
      <c r="BM164" s="1749"/>
      <c r="BN164" s="1639">
        <v>43539</v>
      </c>
      <c r="BO164" s="1639"/>
      <c r="BP164" s="1639">
        <v>43728</v>
      </c>
      <c r="BQ164" s="1639"/>
      <c r="BR164" s="3506"/>
      <c r="BS164" s="1569"/>
      <c r="BT164" s="1569"/>
    </row>
    <row r="165" spans="1:72" s="1569" customFormat="1" ht="15" customHeight="1" x14ac:dyDescent="0.2">
      <c r="A165" s="3369"/>
      <c r="B165" s="3373"/>
      <c r="C165" s="3374"/>
      <c r="D165" s="3582"/>
      <c r="E165" s="3582"/>
      <c r="F165" s="3582"/>
      <c r="G165" s="1609">
        <v>86</v>
      </c>
      <c r="H165" s="151" t="s">
        <v>1629</v>
      </c>
      <c r="I165" s="151"/>
      <c r="J165" s="1663"/>
      <c r="K165" s="1664"/>
      <c r="L165" s="1665"/>
      <c r="M165" s="1750"/>
      <c r="N165" s="209"/>
      <c r="O165" s="272"/>
      <c r="P165" s="278"/>
      <c r="Q165" s="153"/>
      <c r="R165" s="1666"/>
      <c r="S165" s="1667"/>
      <c r="T165" s="1665"/>
      <c r="U165" s="1664"/>
      <c r="V165" s="1664"/>
      <c r="W165" s="1668"/>
      <c r="X165" s="1668"/>
      <c r="Y165" s="1669"/>
      <c r="Z165" s="1715"/>
      <c r="AA165" s="1715"/>
      <c r="AB165" s="1716"/>
      <c r="AC165" s="1716"/>
      <c r="AD165" s="1716"/>
      <c r="AE165" s="1716"/>
      <c r="AF165" s="1716"/>
      <c r="AG165" s="1716"/>
      <c r="AH165" s="1716"/>
      <c r="AI165" s="1716"/>
      <c r="AJ165" s="1716"/>
      <c r="AK165" s="1716"/>
      <c r="AL165" s="1716"/>
      <c r="AM165" s="1716"/>
      <c r="AN165" s="1716"/>
      <c r="AO165" s="1716"/>
      <c r="AP165" s="1716"/>
      <c r="AQ165" s="1716"/>
      <c r="AR165" s="1716"/>
      <c r="AS165" s="1716"/>
      <c r="AT165" s="1716"/>
      <c r="AU165" s="1716"/>
      <c r="AV165" s="1716"/>
      <c r="AW165" s="1716"/>
      <c r="AX165" s="1716"/>
      <c r="AY165" s="1716"/>
      <c r="AZ165" s="1716"/>
      <c r="BA165" s="1716"/>
      <c r="BB165" s="1716"/>
      <c r="BC165" s="1716"/>
      <c r="BD165" s="1716"/>
      <c r="BE165" s="1716"/>
      <c r="BF165" s="1716"/>
      <c r="BG165" s="1716"/>
      <c r="BH165" s="1716"/>
      <c r="BI165" s="156"/>
      <c r="BJ165" s="156"/>
      <c r="BK165" s="1716"/>
      <c r="BL165" s="1716"/>
      <c r="BM165" s="1716"/>
      <c r="BN165" s="1716"/>
      <c r="BO165" s="1716"/>
      <c r="BP165" s="1716"/>
      <c r="BQ165" s="1716"/>
      <c r="BR165" s="1717"/>
    </row>
    <row r="166" spans="1:72" s="571" customFormat="1" ht="45.75" customHeight="1" x14ac:dyDescent="0.2">
      <c r="A166" s="3369"/>
      <c r="B166" s="3373"/>
      <c r="C166" s="3374"/>
      <c r="D166" s="3582"/>
      <c r="E166" s="3582"/>
      <c r="F166" s="3582"/>
      <c r="G166" s="1569"/>
      <c r="H166" s="1618"/>
      <c r="I166" s="1619"/>
      <c r="J166" s="3404">
        <v>255</v>
      </c>
      <c r="K166" s="3401" t="s">
        <v>1630</v>
      </c>
      <c r="L166" s="3401" t="s">
        <v>1631</v>
      </c>
      <c r="M166" s="3404">
        <v>12</v>
      </c>
      <c r="N166" s="3551">
        <v>3</v>
      </c>
      <c r="O166" s="3542" t="s">
        <v>1632</v>
      </c>
      <c r="P166" s="3520" t="s">
        <v>1633</v>
      </c>
      <c r="Q166" s="3471" t="s">
        <v>1634</v>
      </c>
      <c r="R166" s="3531">
        <f>SUM(W166:W169)/S166</f>
        <v>1</v>
      </c>
      <c r="S166" s="3583">
        <f>SUM(W166:W169)</f>
        <v>99372400</v>
      </c>
      <c r="T166" s="3401" t="s">
        <v>1635</v>
      </c>
      <c r="U166" s="3401" t="s">
        <v>1636</v>
      </c>
      <c r="V166" s="1790" t="s">
        <v>1637</v>
      </c>
      <c r="W166" s="1644">
        <v>40000000</v>
      </c>
      <c r="X166" s="1050">
        <f>9915000+8740000+8740000+4000000+7916666</f>
        <v>39311666</v>
      </c>
      <c r="Y166" s="959">
        <f>3583000+1900000+1900000</f>
        <v>7383000</v>
      </c>
      <c r="Z166" s="1791" t="s">
        <v>689</v>
      </c>
      <c r="AA166" s="1792" t="s">
        <v>371</v>
      </c>
      <c r="AB166" s="3532">
        <v>2138</v>
      </c>
      <c r="AC166" s="3445">
        <v>220</v>
      </c>
      <c r="AD166" s="3535">
        <v>2062</v>
      </c>
      <c r="AE166" s="3445">
        <v>50</v>
      </c>
      <c r="AF166" s="3535"/>
      <c r="AG166" s="3445"/>
      <c r="AH166" s="3535"/>
      <c r="AI166" s="3445"/>
      <c r="AJ166" s="3535">
        <v>4200</v>
      </c>
      <c r="AK166" s="3445">
        <v>270</v>
      </c>
      <c r="AL166" s="3535"/>
      <c r="AM166" s="3445"/>
      <c r="AN166" s="3535"/>
      <c r="AO166" s="3445"/>
      <c r="AP166" s="3535"/>
      <c r="AQ166" s="3445"/>
      <c r="AR166" s="3535"/>
      <c r="AS166" s="3445"/>
      <c r="AT166" s="3535"/>
      <c r="AU166" s="3445"/>
      <c r="AV166" s="3535"/>
      <c r="AW166" s="3445"/>
      <c r="AX166" s="3535"/>
      <c r="AY166" s="3445"/>
      <c r="AZ166" s="3535"/>
      <c r="BA166" s="3445"/>
      <c r="BB166" s="3535"/>
      <c r="BC166" s="3445"/>
      <c r="BD166" s="3535"/>
      <c r="BE166" s="3445"/>
      <c r="BF166" s="3445">
        <v>4200</v>
      </c>
      <c r="BG166" s="3535">
        <v>270</v>
      </c>
      <c r="BH166" s="1626"/>
      <c r="BI166" s="3408">
        <f>SUM(X166:X169)</f>
        <v>74378332</v>
      </c>
      <c r="BJ166" s="3408">
        <f>SUM(Y166:Y169)</f>
        <v>13083000</v>
      </c>
      <c r="BK166" s="3411">
        <f>BJ166/BI166</f>
        <v>0.17589800212244608</v>
      </c>
      <c r="BL166" s="1726"/>
      <c r="BM166" s="1726"/>
      <c r="BN166" s="1688">
        <v>43480</v>
      </c>
      <c r="BO166" s="1688">
        <v>43511</v>
      </c>
      <c r="BP166" s="1688">
        <v>43646</v>
      </c>
      <c r="BQ166" s="1688">
        <v>43626</v>
      </c>
      <c r="BR166" s="3505" t="s">
        <v>1421</v>
      </c>
      <c r="BS166" s="1569"/>
      <c r="BT166" s="1569"/>
    </row>
    <row r="167" spans="1:72" s="571" customFormat="1" ht="33" customHeight="1" x14ac:dyDescent="0.2">
      <c r="A167" s="3369"/>
      <c r="B167" s="3373"/>
      <c r="C167" s="3374"/>
      <c r="D167" s="3582"/>
      <c r="E167" s="3582"/>
      <c r="F167" s="3582"/>
      <c r="G167" s="1569"/>
      <c r="H167" s="1627"/>
      <c r="I167" s="1628"/>
      <c r="J167" s="3404"/>
      <c r="K167" s="3401"/>
      <c r="L167" s="3401"/>
      <c r="M167" s="3404"/>
      <c r="N167" s="3566"/>
      <c r="O167" s="3542"/>
      <c r="P167" s="3520"/>
      <c r="Q167" s="3471"/>
      <c r="R167" s="3531"/>
      <c r="S167" s="3583"/>
      <c r="T167" s="3401"/>
      <c r="U167" s="3401"/>
      <c r="V167" s="1790" t="s">
        <v>1638</v>
      </c>
      <c r="W167" s="1644">
        <v>18372400</v>
      </c>
      <c r="X167" s="1685">
        <v>0</v>
      </c>
      <c r="Y167" s="1644">
        <v>0</v>
      </c>
      <c r="Z167" s="1793" t="s">
        <v>1639</v>
      </c>
      <c r="AA167" s="1765" t="s">
        <v>1640</v>
      </c>
      <c r="AB167" s="3533"/>
      <c r="AC167" s="3446"/>
      <c r="AD167" s="3536"/>
      <c r="AE167" s="3446"/>
      <c r="AF167" s="3536"/>
      <c r="AG167" s="3446"/>
      <c r="AH167" s="3536"/>
      <c r="AI167" s="3446"/>
      <c r="AJ167" s="3536"/>
      <c r="AK167" s="3446"/>
      <c r="AL167" s="3536"/>
      <c r="AM167" s="3446"/>
      <c r="AN167" s="3536"/>
      <c r="AO167" s="3446"/>
      <c r="AP167" s="3536"/>
      <c r="AQ167" s="3446"/>
      <c r="AR167" s="3536"/>
      <c r="AS167" s="3446"/>
      <c r="AT167" s="3536"/>
      <c r="AU167" s="3446"/>
      <c r="AV167" s="3536"/>
      <c r="AW167" s="3446"/>
      <c r="AX167" s="3536"/>
      <c r="AY167" s="3446"/>
      <c r="AZ167" s="3536"/>
      <c r="BA167" s="3446"/>
      <c r="BB167" s="3536"/>
      <c r="BC167" s="3446"/>
      <c r="BD167" s="3536"/>
      <c r="BE167" s="3446"/>
      <c r="BF167" s="3446"/>
      <c r="BG167" s="3536"/>
      <c r="BH167" s="3446">
        <v>5</v>
      </c>
      <c r="BI167" s="3409"/>
      <c r="BJ167" s="3409"/>
      <c r="BK167" s="3412"/>
      <c r="BL167" s="1733"/>
      <c r="BM167" s="1733"/>
      <c r="BN167" s="1639">
        <v>43784</v>
      </c>
      <c r="BO167" s="1639"/>
      <c r="BP167" s="1639">
        <v>43814</v>
      </c>
      <c r="BQ167" s="1639"/>
      <c r="BR167" s="3530"/>
      <c r="BS167" s="1569"/>
      <c r="BT167" s="1569"/>
    </row>
    <row r="168" spans="1:72" s="571" customFormat="1" ht="40.5" customHeight="1" x14ac:dyDescent="0.2">
      <c r="A168" s="3369"/>
      <c r="B168" s="3373"/>
      <c r="C168" s="3374"/>
      <c r="D168" s="3582"/>
      <c r="E168" s="3582"/>
      <c r="F168" s="3582"/>
      <c r="G168" s="1569"/>
      <c r="H168" s="1627"/>
      <c r="I168" s="1628"/>
      <c r="J168" s="3404"/>
      <c r="K168" s="3401"/>
      <c r="L168" s="3401"/>
      <c r="M168" s="3404"/>
      <c r="N168" s="3566"/>
      <c r="O168" s="3542"/>
      <c r="P168" s="3520"/>
      <c r="Q168" s="3471"/>
      <c r="R168" s="3531"/>
      <c r="S168" s="3583"/>
      <c r="T168" s="3401"/>
      <c r="U168" s="3401"/>
      <c r="V168" s="1790" t="s">
        <v>1641</v>
      </c>
      <c r="W168" s="1644">
        <v>5000000</v>
      </c>
      <c r="X168" s="1685">
        <v>0</v>
      </c>
      <c r="Y168" s="1644">
        <v>0</v>
      </c>
      <c r="Z168" s="1793" t="s">
        <v>1639</v>
      </c>
      <c r="AA168" s="1765" t="s">
        <v>1640</v>
      </c>
      <c r="AB168" s="3533"/>
      <c r="AC168" s="3446"/>
      <c r="AD168" s="3536"/>
      <c r="AE168" s="3446"/>
      <c r="AF168" s="3536"/>
      <c r="AG168" s="3446"/>
      <c r="AH168" s="3536"/>
      <c r="AI168" s="3446"/>
      <c r="AJ168" s="3536"/>
      <c r="AK168" s="3446"/>
      <c r="AL168" s="3536"/>
      <c r="AM168" s="3446"/>
      <c r="AN168" s="3536"/>
      <c r="AO168" s="3446"/>
      <c r="AP168" s="3536"/>
      <c r="AQ168" s="3446"/>
      <c r="AR168" s="3536"/>
      <c r="AS168" s="3446"/>
      <c r="AT168" s="3536"/>
      <c r="AU168" s="3446"/>
      <c r="AV168" s="3536"/>
      <c r="AW168" s="3446"/>
      <c r="AX168" s="3536"/>
      <c r="AY168" s="3446"/>
      <c r="AZ168" s="3536"/>
      <c r="BA168" s="3446"/>
      <c r="BB168" s="3536"/>
      <c r="BC168" s="3446"/>
      <c r="BD168" s="3536"/>
      <c r="BE168" s="3446"/>
      <c r="BF168" s="3446"/>
      <c r="BG168" s="3536"/>
      <c r="BH168" s="3446"/>
      <c r="BI168" s="3409"/>
      <c r="BJ168" s="3409"/>
      <c r="BK168" s="3412"/>
      <c r="BL168" s="1631">
        <v>20</v>
      </c>
      <c r="BM168" s="1733" t="s">
        <v>1614</v>
      </c>
      <c r="BN168" s="1639">
        <v>43646</v>
      </c>
      <c r="BO168" s="1639"/>
      <c r="BP168" s="1639">
        <v>43784</v>
      </c>
      <c r="BQ168" s="1639"/>
      <c r="BR168" s="3530"/>
      <c r="BS168" s="1569"/>
      <c r="BT168" s="1569"/>
    </row>
    <row r="169" spans="1:72" s="571" customFormat="1" ht="50.25" customHeight="1" x14ac:dyDescent="0.2">
      <c r="A169" s="3369"/>
      <c r="B169" s="3373"/>
      <c r="C169" s="3374"/>
      <c r="D169" s="3582"/>
      <c r="E169" s="3582"/>
      <c r="F169" s="3582"/>
      <c r="G169" s="1569"/>
      <c r="H169" s="1627"/>
      <c r="I169" s="1628"/>
      <c r="J169" s="3404"/>
      <c r="K169" s="3401"/>
      <c r="L169" s="3401"/>
      <c r="M169" s="3404"/>
      <c r="N169" s="3552"/>
      <c r="O169" s="3542"/>
      <c r="P169" s="3520"/>
      <c r="Q169" s="3471"/>
      <c r="R169" s="3531"/>
      <c r="S169" s="3583"/>
      <c r="T169" s="3401"/>
      <c r="U169" s="3401"/>
      <c r="V169" s="1638" t="s">
        <v>1642</v>
      </c>
      <c r="W169" s="1644">
        <v>36000000</v>
      </c>
      <c r="X169" s="1685">
        <f>8550000+8550000+6000000+6000000+5000000+966666</f>
        <v>35066666</v>
      </c>
      <c r="Y169" s="1644">
        <f>3800000+1900000</f>
        <v>5700000</v>
      </c>
      <c r="Z169" s="1794" t="s">
        <v>1639</v>
      </c>
      <c r="AA169" s="1769" t="s">
        <v>1640</v>
      </c>
      <c r="AB169" s="3533"/>
      <c r="AC169" s="3447"/>
      <c r="AD169" s="3536"/>
      <c r="AE169" s="3447"/>
      <c r="AF169" s="3536"/>
      <c r="AG169" s="3447"/>
      <c r="AH169" s="3536"/>
      <c r="AI169" s="3447"/>
      <c r="AJ169" s="3536"/>
      <c r="AK169" s="3447"/>
      <c r="AL169" s="3536"/>
      <c r="AM169" s="3447"/>
      <c r="AN169" s="3536"/>
      <c r="AO169" s="3447"/>
      <c r="AP169" s="3536"/>
      <c r="AQ169" s="3447"/>
      <c r="AR169" s="3536"/>
      <c r="AS169" s="3447"/>
      <c r="AT169" s="3536"/>
      <c r="AU169" s="3447"/>
      <c r="AV169" s="3536"/>
      <c r="AW169" s="3447"/>
      <c r="AX169" s="3536"/>
      <c r="AY169" s="3447"/>
      <c r="AZ169" s="3536"/>
      <c r="BA169" s="3447"/>
      <c r="BB169" s="3536"/>
      <c r="BC169" s="3447"/>
      <c r="BD169" s="3536"/>
      <c r="BE169" s="3447"/>
      <c r="BF169" s="3447"/>
      <c r="BG169" s="3536"/>
      <c r="BH169" s="1662"/>
      <c r="BI169" s="3410"/>
      <c r="BJ169" s="3410"/>
      <c r="BK169" s="3413"/>
      <c r="BL169" s="1749"/>
      <c r="BM169" s="1749"/>
      <c r="BN169" s="1639">
        <v>43539</v>
      </c>
      <c r="BO169" s="1688">
        <v>43511</v>
      </c>
      <c r="BP169" s="1639">
        <v>43758</v>
      </c>
      <c r="BQ169" s="1688">
        <v>43626</v>
      </c>
      <c r="BR169" s="3530"/>
      <c r="BS169" s="1569"/>
      <c r="BT169" s="1569"/>
    </row>
    <row r="170" spans="1:72" s="1596" customFormat="1" ht="15" customHeight="1" x14ac:dyDescent="0.2">
      <c r="A170" s="3369"/>
      <c r="B170" s="3373"/>
      <c r="C170" s="3374"/>
      <c r="D170" s="3582"/>
      <c r="E170" s="3582"/>
      <c r="F170" s="3582"/>
      <c r="G170" s="302"/>
      <c r="H170" s="302"/>
      <c r="I170" s="302"/>
      <c r="J170" s="1795"/>
      <c r="K170" s="1796"/>
      <c r="L170" s="1797"/>
      <c r="M170" s="1798"/>
      <c r="N170" s="1798"/>
      <c r="O170" s="244"/>
      <c r="P170" s="245"/>
      <c r="Q170" s="1591"/>
      <c r="R170" s="1799"/>
      <c r="S170" s="1800"/>
      <c r="T170" s="1797"/>
      <c r="U170" s="1796"/>
      <c r="V170" s="1796"/>
      <c r="W170" s="1801"/>
      <c r="X170" s="1801"/>
      <c r="Y170" s="1802"/>
      <c r="Z170" s="1803"/>
      <c r="AA170" s="1803"/>
      <c r="AB170" s="1804"/>
      <c r="AC170" s="1804"/>
      <c r="AD170" s="1804"/>
      <c r="AE170" s="1804"/>
      <c r="AF170" s="1804"/>
      <c r="AG170" s="1804"/>
      <c r="AH170" s="1804"/>
      <c r="AI170" s="1804"/>
      <c r="AJ170" s="1804"/>
      <c r="AK170" s="1804"/>
      <c r="AL170" s="1804"/>
      <c r="AM170" s="1804"/>
      <c r="AN170" s="1804"/>
      <c r="AO170" s="1804"/>
      <c r="AP170" s="1804"/>
      <c r="AQ170" s="1804"/>
      <c r="AR170" s="1804"/>
      <c r="AS170" s="1804"/>
      <c r="AT170" s="1804"/>
      <c r="AU170" s="1804"/>
      <c r="AV170" s="1804"/>
      <c r="AW170" s="1804"/>
      <c r="AX170" s="1804"/>
      <c r="AY170" s="1804"/>
      <c r="AZ170" s="1804"/>
      <c r="BA170" s="1804"/>
      <c r="BB170" s="1804"/>
      <c r="BC170" s="1804"/>
      <c r="BD170" s="1804"/>
      <c r="BE170" s="1804"/>
      <c r="BF170" s="1804"/>
      <c r="BG170" s="1804"/>
      <c r="BH170" s="1804"/>
      <c r="BI170" s="1805"/>
      <c r="BJ170" s="1805"/>
      <c r="BK170" s="1804"/>
      <c r="BL170" s="1804"/>
      <c r="BM170" s="1804"/>
      <c r="BN170" s="1804"/>
      <c r="BO170" s="1804"/>
      <c r="BP170" s="1804"/>
      <c r="BQ170" s="1804"/>
      <c r="BR170" s="1806"/>
      <c r="BS170" s="1807"/>
      <c r="BT170" s="1807"/>
    </row>
    <row r="171" spans="1:72" s="1569" customFormat="1" ht="15" customHeight="1" x14ac:dyDescent="0.2">
      <c r="A171" s="3369"/>
      <c r="B171" s="3373"/>
      <c r="C171" s="3374"/>
      <c r="D171" s="3582"/>
      <c r="E171" s="3582"/>
      <c r="F171" s="3582"/>
      <c r="G171" s="1598"/>
      <c r="H171" s="1598"/>
      <c r="I171" s="1598"/>
      <c r="J171" s="1599"/>
      <c r="K171" s="1600"/>
      <c r="L171" s="1601"/>
      <c r="M171" s="1598"/>
      <c r="N171" s="1598"/>
      <c r="O171" s="1602"/>
      <c r="P171" s="1599"/>
      <c r="Q171" s="1601"/>
      <c r="R171" s="1603"/>
      <c r="S171" s="1808"/>
      <c r="T171" s="1601"/>
      <c r="U171" s="1600"/>
      <c r="V171" s="1600"/>
      <c r="W171" s="1710"/>
      <c r="X171" s="1710"/>
      <c r="Y171" s="1711"/>
      <c r="Z171" s="1712"/>
      <c r="AA171" s="1712"/>
      <c r="AB171" s="1605"/>
      <c r="AC171" s="1605"/>
      <c r="AD171" s="1605"/>
      <c r="AE171" s="1605"/>
      <c r="AF171" s="1605"/>
      <c r="AG171" s="1605"/>
      <c r="AH171" s="1605"/>
      <c r="AI171" s="1605"/>
      <c r="AJ171" s="1605"/>
      <c r="AK171" s="1605"/>
      <c r="AL171" s="1605"/>
      <c r="AM171" s="1605"/>
      <c r="AN171" s="1605"/>
      <c r="AO171" s="1605"/>
      <c r="AP171" s="1605"/>
      <c r="AQ171" s="1605"/>
      <c r="AR171" s="1605"/>
      <c r="AS171" s="1605"/>
      <c r="AT171" s="1605"/>
      <c r="AU171" s="1605"/>
      <c r="AV171" s="1605"/>
      <c r="AW171" s="1605"/>
      <c r="AX171" s="1605"/>
      <c r="AY171" s="1605"/>
      <c r="AZ171" s="1605"/>
      <c r="BA171" s="1605"/>
      <c r="BB171" s="1605"/>
      <c r="BC171" s="1605"/>
      <c r="BD171" s="1601"/>
      <c r="BE171" s="1601"/>
      <c r="BF171" s="1601"/>
      <c r="BG171" s="1601"/>
      <c r="BH171" s="1601"/>
      <c r="BI171" s="1713"/>
      <c r="BJ171" s="1713"/>
      <c r="BK171" s="1601"/>
      <c r="BL171" s="1601"/>
      <c r="BM171" s="1601"/>
      <c r="BN171" s="1601"/>
      <c r="BO171" s="1601"/>
      <c r="BP171" s="1601"/>
      <c r="BQ171" s="1601"/>
      <c r="BR171" s="1608"/>
    </row>
    <row r="172" spans="1:72" s="1569" customFormat="1" ht="15" customHeight="1" x14ac:dyDescent="0.2">
      <c r="A172" s="3369"/>
      <c r="B172" s="3373"/>
      <c r="C172" s="3374"/>
      <c r="D172" s="3582"/>
      <c r="E172" s="3582"/>
      <c r="F172" s="3582"/>
      <c r="G172" s="1809">
        <v>84</v>
      </c>
      <c r="H172" s="151" t="s">
        <v>1643</v>
      </c>
      <c r="I172" s="151"/>
      <c r="J172" s="278"/>
      <c r="K172" s="1015"/>
      <c r="L172" s="153"/>
      <c r="M172" s="151"/>
      <c r="N172" s="151"/>
      <c r="O172" s="272"/>
      <c r="P172" s="278"/>
      <c r="Q172" s="153"/>
      <c r="R172" s="1810"/>
      <c r="S172" s="287"/>
      <c r="T172" s="153"/>
      <c r="U172" s="1015"/>
      <c r="V172" s="1015"/>
      <c r="W172" s="1668"/>
      <c r="X172" s="1668"/>
      <c r="Y172" s="1669"/>
      <c r="Z172" s="1715"/>
      <c r="AA172" s="1715"/>
      <c r="AB172" s="1716"/>
      <c r="AC172" s="1716"/>
      <c r="AD172" s="1716"/>
      <c r="AE172" s="1716"/>
      <c r="AF172" s="1716"/>
      <c r="AG172" s="1716"/>
      <c r="AH172" s="1716"/>
      <c r="AI172" s="1716"/>
      <c r="AJ172" s="1716"/>
      <c r="AK172" s="1716"/>
      <c r="AL172" s="1716"/>
      <c r="AM172" s="1716"/>
      <c r="AN172" s="1716"/>
      <c r="AO172" s="1716"/>
      <c r="AP172" s="1716"/>
      <c r="AQ172" s="1716"/>
      <c r="AR172" s="1716"/>
      <c r="AS172" s="1716"/>
      <c r="AT172" s="1716"/>
      <c r="AU172" s="1716"/>
      <c r="AV172" s="1716"/>
      <c r="AW172" s="1716"/>
      <c r="AX172" s="1716"/>
      <c r="AY172" s="1716"/>
      <c r="AZ172" s="1716"/>
      <c r="BA172" s="1716"/>
      <c r="BB172" s="1716"/>
      <c r="BC172" s="1716"/>
      <c r="BD172" s="1716"/>
      <c r="BE172" s="1716"/>
      <c r="BF172" s="1716"/>
      <c r="BG172" s="1716"/>
      <c r="BH172" s="1716"/>
      <c r="BI172" s="156"/>
      <c r="BJ172" s="156"/>
      <c r="BK172" s="1716"/>
      <c r="BL172" s="1716"/>
      <c r="BM172" s="1716"/>
      <c r="BN172" s="1716"/>
      <c r="BO172" s="1716"/>
      <c r="BP172" s="1716"/>
      <c r="BQ172" s="1716"/>
      <c r="BR172" s="1717"/>
    </row>
    <row r="173" spans="1:72" s="571" customFormat="1" ht="52.5" customHeight="1" x14ac:dyDescent="0.25">
      <c r="A173" s="3369"/>
      <c r="B173" s="3373"/>
      <c r="C173" s="3374"/>
      <c r="D173" s="3582"/>
      <c r="E173" s="3582"/>
      <c r="F173" s="3582"/>
      <c r="G173" s="1811"/>
      <c r="H173" s="1812"/>
      <c r="I173" s="1720"/>
      <c r="J173" s="3438">
        <v>247</v>
      </c>
      <c r="K173" s="3584" t="s">
        <v>1644</v>
      </c>
      <c r="L173" s="3584" t="s">
        <v>1645</v>
      </c>
      <c r="M173" s="3566">
        <v>1</v>
      </c>
      <c r="N173" s="3579">
        <v>0.25</v>
      </c>
      <c r="O173" s="3591" t="s">
        <v>1646</v>
      </c>
      <c r="P173" s="3520" t="s">
        <v>1647</v>
      </c>
      <c r="Q173" s="3584" t="s">
        <v>1648</v>
      </c>
      <c r="R173" s="3555">
        <f>SUM(W173:W177)/S173</f>
        <v>1</v>
      </c>
      <c r="S173" s="3525">
        <f>SUM(W173:W177)</f>
        <v>49687000</v>
      </c>
      <c r="T173" s="3584" t="s">
        <v>1649</v>
      </c>
      <c r="U173" s="3471" t="s">
        <v>1650</v>
      </c>
      <c r="V173" s="999" t="s">
        <v>1651</v>
      </c>
      <c r="W173" s="1644">
        <v>40387000</v>
      </c>
      <c r="X173" s="1685">
        <f>8929166+8929166</f>
        <v>17858332</v>
      </c>
      <c r="Y173" s="1644">
        <f>3583000+3583000</f>
        <v>7166000</v>
      </c>
      <c r="Z173" s="1783">
        <v>20</v>
      </c>
      <c r="AA173" s="1765" t="s">
        <v>71</v>
      </c>
      <c r="AB173" s="3586">
        <v>357</v>
      </c>
      <c r="AC173" s="3588">
        <v>75</v>
      </c>
      <c r="AD173" s="3597">
        <v>343</v>
      </c>
      <c r="AE173" s="3588">
        <v>100</v>
      </c>
      <c r="AF173" s="3289"/>
      <c r="AG173" s="3594"/>
      <c r="AH173" s="3289"/>
      <c r="AI173" s="3594"/>
      <c r="AJ173" s="3289">
        <v>700</v>
      </c>
      <c r="AK173" s="3594">
        <v>175</v>
      </c>
      <c r="AL173" s="3289"/>
      <c r="AM173" s="3594"/>
      <c r="AN173" s="3289"/>
      <c r="AO173" s="3594"/>
      <c r="AP173" s="3289"/>
      <c r="AQ173" s="3594"/>
      <c r="AR173" s="3289"/>
      <c r="AS173" s="3594"/>
      <c r="AT173" s="3289"/>
      <c r="AU173" s="3594"/>
      <c r="AV173" s="3289"/>
      <c r="AW173" s="3594"/>
      <c r="AX173" s="3289"/>
      <c r="AY173" s="3594"/>
      <c r="AZ173" s="3289"/>
      <c r="BA173" s="3594"/>
      <c r="BB173" s="3289"/>
      <c r="BC173" s="3594"/>
      <c r="BD173" s="3289"/>
      <c r="BE173" s="3594"/>
      <c r="BF173" s="3594">
        <v>700</v>
      </c>
      <c r="BG173" s="3289">
        <v>175</v>
      </c>
      <c r="BH173" s="3289" t="s">
        <v>1652</v>
      </c>
      <c r="BI173" s="3408">
        <f>SUM(X173:X177)</f>
        <v>22858332</v>
      </c>
      <c r="BJ173" s="3408">
        <f>SUM(Y173:Y177)</f>
        <v>10749000</v>
      </c>
      <c r="BK173" s="3411">
        <f>BJ173/BI173</f>
        <v>0.47024428554104475</v>
      </c>
      <c r="BL173" s="3445">
        <v>20</v>
      </c>
      <c r="BM173" s="3445" t="s">
        <v>1614</v>
      </c>
      <c r="BN173" s="1688">
        <v>43480</v>
      </c>
      <c r="BO173" s="1813" t="s">
        <v>1653</v>
      </c>
      <c r="BP173" s="1688">
        <v>43281</v>
      </c>
      <c r="BQ173" s="1688">
        <v>43809</v>
      </c>
      <c r="BR173" s="3505" t="s">
        <v>1421</v>
      </c>
      <c r="BS173" s="1569"/>
      <c r="BT173" s="1569"/>
    </row>
    <row r="174" spans="1:72" s="571" customFormat="1" ht="33" customHeight="1" x14ac:dyDescent="0.25">
      <c r="A174" s="3369"/>
      <c r="B174" s="3373"/>
      <c r="C174" s="3374"/>
      <c r="D174" s="3582"/>
      <c r="E174" s="3582"/>
      <c r="F174" s="3582"/>
      <c r="G174" s="1729"/>
      <c r="H174" s="1727"/>
      <c r="I174" s="1729"/>
      <c r="J174" s="3438"/>
      <c r="K174" s="3584"/>
      <c r="L174" s="3584"/>
      <c r="M174" s="3566"/>
      <c r="N174" s="3580"/>
      <c r="O174" s="3591"/>
      <c r="P174" s="3520"/>
      <c r="Q174" s="3584"/>
      <c r="R174" s="3555"/>
      <c r="S174" s="3525"/>
      <c r="T174" s="3584"/>
      <c r="U174" s="3471"/>
      <c r="V174" s="999" t="s">
        <v>1654</v>
      </c>
      <c r="W174" s="1644">
        <v>3300000</v>
      </c>
      <c r="X174" s="1685">
        <v>0</v>
      </c>
      <c r="Y174" s="1644">
        <v>0</v>
      </c>
      <c r="Z174" s="1766">
        <v>20</v>
      </c>
      <c r="AA174" s="1765" t="s">
        <v>71</v>
      </c>
      <c r="AB174" s="3587"/>
      <c r="AC174" s="3589"/>
      <c r="AD174" s="3598"/>
      <c r="AE174" s="3589"/>
      <c r="AF174" s="3515"/>
      <c r="AG174" s="3595"/>
      <c r="AH174" s="3515"/>
      <c r="AI174" s="3595"/>
      <c r="AJ174" s="3515"/>
      <c r="AK174" s="3595"/>
      <c r="AL174" s="3515"/>
      <c r="AM174" s="3595"/>
      <c r="AN174" s="3515"/>
      <c r="AO174" s="3595"/>
      <c r="AP174" s="3515"/>
      <c r="AQ174" s="3595"/>
      <c r="AR174" s="3515"/>
      <c r="AS174" s="3595"/>
      <c r="AT174" s="3515"/>
      <c r="AU174" s="3595"/>
      <c r="AV174" s="3515"/>
      <c r="AW174" s="3595"/>
      <c r="AX174" s="3515"/>
      <c r="AY174" s="3595"/>
      <c r="AZ174" s="3515"/>
      <c r="BA174" s="3595"/>
      <c r="BB174" s="3515"/>
      <c r="BC174" s="3595"/>
      <c r="BD174" s="3515"/>
      <c r="BE174" s="3595"/>
      <c r="BF174" s="3595"/>
      <c r="BG174" s="3515"/>
      <c r="BH174" s="3515"/>
      <c r="BI174" s="3409"/>
      <c r="BJ174" s="3409"/>
      <c r="BK174" s="3412"/>
      <c r="BL174" s="3446"/>
      <c r="BM174" s="3446"/>
      <c r="BN174" s="1639">
        <v>43539</v>
      </c>
      <c r="BO174" s="1639"/>
      <c r="BP174" s="1639">
        <v>43697</v>
      </c>
      <c r="BQ174" s="1639"/>
      <c r="BR174" s="3530"/>
      <c r="BS174" s="1569"/>
      <c r="BT174" s="1569"/>
    </row>
    <row r="175" spans="1:72" s="571" customFormat="1" ht="75" customHeight="1" x14ac:dyDescent="0.25">
      <c r="A175" s="3369"/>
      <c r="B175" s="3373"/>
      <c r="C175" s="3374"/>
      <c r="D175" s="3582"/>
      <c r="E175" s="3582"/>
      <c r="F175" s="3582"/>
      <c r="G175" s="1729"/>
      <c r="H175" s="1727"/>
      <c r="I175" s="1729"/>
      <c r="J175" s="3438"/>
      <c r="K175" s="3584"/>
      <c r="L175" s="3584"/>
      <c r="M175" s="3566"/>
      <c r="N175" s="3580"/>
      <c r="O175" s="3591"/>
      <c r="P175" s="3520"/>
      <c r="Q175" s="3584"/>
      <c r="R175" s="3555"/>
      <c r="S175" s="3525"/>
      <c r="T175" s="3584"/>
      <c r="U175" s="3471"/>
      <c r="V175" s="999" t="s">
        <v>1655</v>
      </c>
      <c r="W175" s="1644">
        <v>3000000</v>
      </c>
      <c r="X175" s="1685">
        <v>3000000</v>
      </c>
      <c r="Y175" s="1644">
        <v>2000000</v>
      </c>
      <c r="Z175" s="1766">
        <v>20</v>
      </c>
      <c r="AA175" s="1765" t="s">
        <v>71</v>
      </c>
      <c r="AB175" s="3587"/>
      <c r="AC175" s="3589"/>
      <c r="AD175" s="3598"/>
      <c r="AE175" s="3589"/>
      <c r="AF175" s="3515"/>
      <c r="AG175" s="3595"/>
      <c r="AH175" s="3515"/>
      <c r="AI175" s="3595"/>
      <c r="AJ175" s="3515"/>
      <c r="AK175" s="3595"/>
      <c r="AL175" s="3515"/>
      <c r="AM175" s="3595"/>
      <c r="AN175" s="3515"/>
      <c r="AO175" s="3595"/>
      <c r="AP175" s="3515"/>
      <c r="AQ175" s="3595"/>
      <c r="AR175" s="3515"/>
      <c r="AS175" s="3595"/>
      <c r="AT175" s="3515"/>
      <c r="AU175" s="3595"/>
      <c r="AV175" s="3515"/>
      <c r="AW175" s="3595"/>
      <c r="AX175" s="3515"/>
      <c r="AY175" s="3595"/>
      <c r="AZ175" s="3515"/>
      <c r="BA175" s="3595"/>
      <c r="BB175" s="3515"/>
      <c r="BC175" s="3595"/>
      <c r="BD175" s="3515"/>
      <c r="BE175" s="3595"/>
      <c r="BF175" s="3595"/>
      <c r="BG175" s="3515"/>
      <c r="BH175" s="3515"/>
      <c r="BI175" s="3409"/>
      <c r="BJ175" s="3409"/>
      <c r="BK175" s="3412"/>
      <c r="BL175" s="3446"/>
      <c r="BM175" s="3446"/>
      <c r="BN175" s="1639">
        <v>43539</v>
      </c>
      <c r="BO175" s="1688">
        <v>43511</v>
      </c>
      <c r="BP175" s="1639">
        <v>43690</v>
      </c>
      <c r="BQ175" s="1688">
        <v>43626</v>
      </c>
      <c r="BR175" s="3530"/>
      <c r="BS175" s="1569"/>
      <c r="BT175" s="1569"/>
    </row>
    <row r="176" spans="1:72" s="571" customFormat="1" ht="78.75" customHeight="1" x14ac:dyDescent="0.25">
      <c r="A176" s="3369"/>
      <c r="B176" s="3373"/>
      <c r="C176" s="3374"/>
      <c r="D176" s="3582"/>
      <c r="E176" s="3582"/>
      <c r="F176" s="3582"/>
      <c r="G176" s="1729"/>
      <c r="H176" s="1727"/>
      <c r="I176" s="1729"/>
      <c r="J176" s="3438"/>
      <c r="K176" s="3584"/>
      <c r="L176" s="3584"/>
      <c r="M176" s="3566"/>
      <c r="N176" s="3580"/>
      <c r="O176" s="3591"/>
      <c r="P176" s="3520"/>
      <c r="Q176" s="3584"/>
      <c r="R176" s="3555"/>
      <c r="S176" s="3525"/>
      <c r="T176" s="3584"/>
      <c r="U176" s="3471"/>
      <c r="V176" s="999" t="s">
        <v>1656</v>
      </c>
      <c r="W176" s="1644">
        <v>2000000</v>
      </c>
      <c r="X176" s="1685">
        <v>2000000</v>
      </c>
      <c r="Y176" s="1644">
        <v>1583000</v>
      </c>
      <c r="Z176" s="1766">
        <v>20</v>
      </c>
      <c r="AA176" s="1765" t="s">
        <v>71</v>
      </c>
      <c r="AB176" s="3587"/>
      <c r="AC176" s="3589"/>
      <c r="AD176" s="3598"/>
      <c r="AE176" s="3589"/>
      <c r="AF176" s="3515"/>
      <c r="AG176" s="3595"/>
      <c r="AH176" s="3515"/>
      <c r="AI176" s="3595"/>
      <c r="AJ176" s="3515"/>
      <c r="AK176" s="3595"/>
      <c r="AL176" s="3515"/>
      <c r="AM176" s="3595"/>
      <c r="AN176" s="3515"/>
      <c r="AO176" s="3595"/>
      <c r="AP176" s="3515"/>
      <c r="AQ176" s="3595"/>
      <c r="AR176" s="3515"/>
      <c r="AS176" s="3595"/>
      <c r="AT176" s="3515"/>
      <c r="AU176" s="3595"/>
      <c r="AV176" s="3515"/>
      <c r="AW176" s="3595"/>
      <c r="AX176" s="3515"/>
      <c r="AY176" s="3595"/>
      <c r="AZ176" s="3515"/>
      <c r="BA176" s="3595"/>
      <c r="BB176" s="3515"/>
      <c r="BC176" s="3595"/>
      <c r="BD176" s="3515"/>
      <c r="BE176" s="3595"/>
      <c r="BF176" s="3595"/>
      <c r="BG176" s="3515"/>
      <c r="BH176" s="3515"/>
      <c r="BI176" s="3409"/>
      <c r="BJ176" s="3409"/>
      <c r="BK176" s="3412"/>
      <c r="BL176" s="3446"/>
      <c r="BM176" s="3446"/>
      <c r="BN176" s="1639">
        <v>43539</v>
      </c>
      <c r="BO176" s="1688">
        <v>43511</v>
      </c>
      <c r="BP176" s="1785">
        <v>43688</v>
      </c>
      <c r="BQ176" s="1688">
        <v>43626</v>
      </c>
      <c r="BR176" s="3530"/>
      <c r="BS176" s="1569"/>
      <c r="BT176" s="1569"/>
    </row>
    <row r="177" spans="1:72" s="571" customFormat="1" ht="30.75" customHeight="1" x14ac:dyDescent="0.25">
      <c r="A177" s="3370"/>
      <c r="B177" s="3375"/>
      <c r="C177" s="3376"/>
      <c r="D177" s="3582"/>
      <c r="E177" s="3582"/>
      <c r="F177" s="3582"/>
      <c r="G177" s="1745"/>
      <c r="H177" s="1743"/>
      <c r="I177" s="1745"/>
      <c r="J177" s="3417"/>
      <c r="K177" s="3585"/>
      <c r="L177" s="3585"/>
      <c r="M177" s="3552"/>
      <c r="N177" s="3581"/>
      <c r="O177" s="3592"/>
      <c r="P177" s="3593"/>
      <c r="Q177" s="3585"/>
      <c r="R177" s="3556"/>
      <c r="S177" s="3526"/>
      <c r="T177" s="3585"/>
      <c r="U177" s="3360"/>
      <c r="V177" s="999" t="s">
        <v>1657</v>
      </c>
      <c r="W177" s="1644">
        <v>1000000</v>
      </c>
      <c r="X177" s="1685">
        <v>0</v>
      </c>
      <c r="Y177" s="1644">
        <v>0</v>
      </c>
      <c r="Z177" s="1768">
        <v>20</v>
      </c>
      <c r="AA177" s="1765" t="s">
        <v>71</v>
      </c>
      <c r="AB177" s="3587"/>
      <c r="AC177" s="3590"/>
      <c r="AD177" s="3598"/>
      <c r="AE177" s="3590"/>
      <c r="AF177" s="3515"/>
      <c r="AG177" s="3596"/>
      <c r="AH177" s="3515"/>
      <c r="AI177" s="3596"/>
      <c r="AJ177" s="3515"/>
      <c r="AK177" s="3596"/>
      <c r="AL177" s="3515"/>
      <c r="AM177" s="3596"/>
      <c r="AN177" s="3515"/>
      <c r="AO177" s="3596"/>
      <c r="AP177" s="3515"/>
      <c r="AQ177" s="3596"/>
      <c r="AR177" s="3515"/>
      <c r="AS177" s="3596"/>
      <c r="AT177" s="3515"/>
      <c r="AU177" s="3596"/>
      <c r="AV177" s="3515"/>
      <c r="AW177" s="3596"/>
      <c r="AX177" s="3515"/>
      <c r="AY177" s="3596"/>
      <c r="AZ177" s="3515"/>
      <c r="BA177" s="3596"/>
      <c r="BB177" s="3515"/>
      <c r="BC177" s="3596"/>
      <c r="BD177" s="3515"/>
      <c r="BE177" s="3596"/>
      <c r="BF177" s="3596"/>
      <c r="BG177" s="3515"/>
      <c r="BH177" s="3515"/>
      <c r="BI177" s="3410"/>
      <c r="BJ177" s="3410"/>
      <c r="BK177" s="3413"/>
      <c r="BL177" s="3447"/>
      <c r="BM177" s="3447"/>
      <c r="BN177" s="1639">
        <v>43539</v>
      </c>
      <c r="BO177" s="1639"/>
      <c r="BP177" s="1639">
        <v>43666</v>
      </c>
      <c r="BQ177" s="1639"/>
      <c r="BR177" s="3530"/>
      <c r="BS177" s="1569"/>
      <c r="BT177" s="1569"/>
    </row>
    <row r="178" spans="1:72" s="1260" customFormat="1" ht="31.5" customHeight="1" x14ac:dyDescent="0.25">
      <c r="A178" s="1814"/>
      <c r="B178" s="1815"/>
      <c r="C178" s="1815"/>
      <c r="D178" s="1816"/>
      <c r="E178" s="1816"/>
      <c r="F178" s="1816"/>
      <c r="G178" s="1817"/>
      <c r="H178" s="1817"/>
      <c r="I178" s="1817"/>
      <c r="J178" s="1818"/>
      <c r="K178" s="1819"/>
      <c r="L178" s="1819"/>
      <c r="M178" s="1820"/>
      <c r="N178" s="1820"/>
      <c r="O178" s="1821"/>
      <c r="P178" s="1822"/>
      <c r="Q178" s="1819"/>
      <c r="R178" s="1820"/>
      <c r="S178" s="343">
        <f>SUM(S13:S177)</f>
        <v>9383416722</v>
      </c>
      <c r="T178" s="1819"/>
      <c r="U178" s="1819"/>
      <c r="V178" s="1823"/>
      <c r="W178" s="343">
        <f>SUM(W13:W177)</f>
        <v>9383416722</v>
      </c>
      <c r="X178" s="343">
        <f t="shared" ref="X178:Y178" si="0">SUM(X13:X177)</f>
        <v>1134530894</v>
      </c>
      <c r="Y178" s="343">
        <f t="shared" si="0"/>
        <v>251172922</v>
      </c>
      <c r="Z178" s="1824"/>
      <c r="AA178" s="1820"/>
      <c r="AB178" s="1825"/>
      <c r="AC178" s="1825"/>
      <c r="AD178" s="1825"/>
      <c r="AE178" s="1825"/>
      <c r="AF178" s="1826"/>
      <c r="AG178" s="1826"/>
      <c r="AH178" s="1826"/>
      <c r="AI178" s="1826"/>
      <c r="AJ178" s="1826"/>
      <c r="AK178" s="1826"/>
      <c r="AL178" s="1826"/>
      <c r="AM178" s="1826"/>
      <c r="AN178" s="1826"/>
      <c r="AO178" s="1826"/>
      <c r="AP178" s="1826"/>
      <c r="AQ178" s="1826"/>
      <c r="AR178" s="1826"/>
      <c r="AS178" s="1826"/>
      <c r="AT178" s="1826"/>
      <c r="AU178" s="1826"/>
      <c r="AV178" s="1826"/>
      <c r="AW178" s="1826"/>
      <c r="AX178" s="1826"/>
      <c r="AY178" s="1826"/>
      <c r="AZ178" s="1826"/>
      <c r="BA178" s="1826"/>
      <c r="BB178" s="1826"/>
      <c r="BC178" s="1826"/>
      <c r="BD178" s="1826"/>
      <c r="BE178" s="1826"/>
      <c r="BF178" s="1826"/>
      <c r="BG178" s="1826"/>
      <c r="BH178" s="1826"/>
      <c r="BI178" s="1827">
        <f>SUM(BI13:BI177)</f>
        <v>1134530894</v>
      </c>
      <c r="BJ178" s="1828">
        <f>SUM(BJ13:BJ177)</f>
        <v>251172922</v>
      </c>
      <c r="BK178" s="1826"/>
      <c r="BL178" s="1826"/>
      <c r="BM178" s="1826"/>
      <c r="BN178" s="1829"/>
      <c r="BO178" s="1829"/>
      <c r="BP178" s="1829"/>
      <c r="BQ178" s="1829"/>
      <c r="BR178" s="1830"/>
      <c r="BS178" s="1831"/>
      <c r="BT178" s="1831"/>
    </row>
    <row r="179" spans="1:72" ht="27" customHeight="1" x14ac:dyDescent="0.2">
      <c r="S179" s="1835"/>
      <c r="T179" s="1836"/>
      <c r="BS179" s="545"/>
      <c r="BT179" s="545"/>
    </row>
    <row r="180" spans="1:72" ht="27" customHeight="1" x14ac:dyDescent="0.25">
      <c r="S180" s="1840" t="s">
        <v>1658</v>
      </c>
      <c r="BS180" s="545"/>
      <c r="BT180" s="545"/>
    </row>
    <row r="181" spans="1:72" ht="27" customHeight="1" x14ac:dyDescent="0.25">
      <c r="S181" s="405" t="s">
        <v>1659</v>
      </c>
      <c r="BS181" s="545"/>
      <c r="BT181" s="545"/>
    </row>
  </sheetData>
  <sheetProtection password="F3F4" sheet="1" objects="1" scenarios="1"/>
  <mergeCells count="794">
    <mergeCell ref="BR173:BR177"/>
    <mergeCell ref="BH173:BH177"/>
    <mergeCell ref="BI173:BI177"/>
    <mergeCell ref="BJ173:BJ177"/>
    <mergeCell ref="BK173:BK177"/>
    <mergeCell ref="BL173:BL177"/>
    <mergeCell ref="BM173:BM177"/>
    <mergeCell ref="BB173:BB177"/>
    <mergeCell ref="BC173:BC177"/>
    <mergeCell ref="BD173:BD177"/>
    <mergeCell ref="BE173:BE177"/>
    <mergeCell ref="BF173:BF177"/>
    <mergeCell ref="BG173:BG177"/>
    <mergeCell ref="AV173:AV177"/>
    <mergeCell ref="AW173:AW177"/>
    <mergeCell ref="AX173:AX177"/>
    <mergeCell ref="AY173:AY177"/>
    <mergeCell ref="AZ173:AZ177"/>
    <mergeCell ref="BA173:BA177"/>
    <mergeCell ref="AP173:AP177"/>
    <mergeCell ref="AQ173:AQ177"/>
    <mergeCell ref="AR173:AR177"/>
    <mergeCell ref="AS173:AS177"/>
    <mergeCell ref="AT173:AT177"/>
    <mergeCell ref="AU173:AU177"/>
    <mergeCell ref="AJ173:AJ177"/>
    <mergeCell ref="AK173:AK177"/>
    <mergeCell ref="AL173:AL177"/>
    <mergeCell ref="AM173:AM177"/>
    <mergeCell ref="AN173:AN177"/>
    <mergeCell ref="AO173:AO177"/>
    <mergeCell ref="AD173:AD177"/>
    <mergeCell ref="AE173:AE177"/>
    <mergeCell ref="AF173:AF177"/>
    <mergeCell ref="AG173:AG177"/>
    <mergeCell ref="AH173:AH177"/>
    <mergeCell ref="AI173:AI177"/>
    <mergeCell ref="R173:R177"/>
    <mergeCell ref="S173:S177"/>
    <mergeCell ref="T173:T177"/>
    <mergeCell ref="U173:U177"/>
    <mergeCell ref="AB173:AB177"/>
    <mergeCell ref="AC173:AC177"/>
    <mergeCell ref="BR166:BR169"/>
    <mergeCell ref="BH167:BH168"/>
    <mergeCell ref="J173:J177"/>
    <mergeCell ref="K173:K177"/>
    <mergeCell ref="L173:L177"/>
    <mergeCell ref="M173:M177"/>
    <mergeCell ref="N173:N177"/>
    <mergeCell ref="O173:O177"/>
    <mergeCell ref="P173:P177"/>
    <mergeCell ref="Q173:Q177"/>
    <mergeCell ref="BE166:BE169"/>
    <mergeCell ref="BF166:BF169"/>
    <mergeCell ref="BG166:BG169"/>
    <mergeCell ref="BI166:BI169"/>
    <mergeCell ref="BJ166:BJ169"/>
    <mergeCell ref="BK166:BK169"/>
    <mergeCell ref="AY166:AY169"/>
    <mergeCell ref="AZ166:AZ169"/>
    <mergeCell ref="BA166:BA169"/>
    <mergeCell ref="BB166:BB169"/>
    <mergeCell ref="BC166:BC169"/>
    <mergeCell ref="BD166:BD169"/>
    <mergeCell ref="AS166:AS169"/>
    <mergeCell ref="AT166:AT169"/>
    <mergeCell ref="AU166:AU169"/>
    <mergeCell ref="AV166:AV169"/>
    <mergeCell ref="AW166:AW169"/>
    <mergeCell ref="AX166:AX169"/>
    <mergeCell ref="AM166:AM169"/>
    <mergeCell ref="AN166:AN169"/>
    <mergeCell ref="AO166:AO169"/>
    <mergeCell ref="AP166:AP169"/>
    <mergeCell ref="AQ166:AQ169"/>
    <mergeCell ref="AR166:AR169"/>
    <mergeCell ref="AG166:AG169"/>
    <mergeCell ref="AH166:AH169"/>
    <mergeCell ref="AI166:AI169"/>
    <mergeCell ref="AJ166:AJ169"/>
    <mergeCell ref="AK166:AK169"/>
    <mergeCell ref="AL166:AL169"/>
    <mergeCell ref="U166:U169"/>
    <mergeCell ref="AB166:AB169"/>
    <mergeCell ref="AC166:AC169"/>
    <mergeCell ref="AD166:AD169"/>
    <mergeCell ref="AE166:AE169"/>
    <mergeCell ref="AF166:AF169"/>
    <mergeCell ref="O166:O169"/>
    <mergeCell ref="P166:P169"/>
    <mergeCell ref="Q166:Q169"/>
    <mergeCell ref="R166:R169"/>
    <mergeCell ref="S166:S169"/>
    <mergeCell ref="T166:T169"/>
    <mergeCell ref="D165:F177"/>
    <mergeCell ref="J166:J169"/>
    <mergeCell ref="K166:K169"/>
    <mergeCell ref="L166:L169"/>
    <mergeCell ref="M166:M169"/>
    <mergeCell ref="N166:N169"/>
    <mergeCell ref="BQ158:BQ159"/>
    <mergeCell ref="J161:J164"/>
    <mergeCell ref="K161:K164"/>
    <mergeCell ref="L161:L164"/>
    <mergeCell ref="M161:M164"/>
    <mergeCell ref="N161:N164"/>
    <mergeCell ref="R161:R164"/>
    <mergeCell ref="N158:N160"/>
    <mergeCell ref="R158:R160"/>
    <mergeCell ref="V158:V159"/>
    <mergeCell ref="BN158:BN159"/>
    <mergeCell ref="BO158:BO159"/>
    <mergeCell ref="BP158:BP159"/>
    <mergeCell ref="BB138:BB164"/>
    <mergeCell ref="BC138:BC164"/>
    <mergeCell ref="AR138:AR164"/>
    <mergeCell ref="AS138:AS164"/>
    <mergeCell ref="AT138:AT164"/>
    <mergeCell ref="BP150:BP151"/>
    <mergeCell ref="BQ150:BQ151"/>
    <mergeCell ref="J152:J156"/>
    <mergeCell ref="K152:K156"/>
    <mergeCell ref="L152:L156"/>
    <mergeCell ref="M152:M156"/>
    <mergeCell ref="N152:N156"/>
    <mergeCell ref="R152:R156"/>
    <mergeCell ref="BS140:BS147"/>
    <mergeCell ref="V142:V143"/>
    <mergeCell ref="BN142:BN143"/>
    <mergeCell ref="BO142:BO143"/>
    <mergeCell ref="BP142:BP143"/>
    <mergeCell ref="BQ142:BQ143"/>
    <mergeCell ref="V144:V145"/>
    <mergeCell ref="BN144:BN145"/>
    <mergeCell ref="BO144:BO145"/>
    <mergeCell ref="BP144:BP145"/>
    <mergeCell ref="BR138:BR164"/>
    <mergeCell ref="V140:V141"/>
    <mergeCell ref="BN140:BN141"/>
    <mergeCell ref="BO140:BO141"/>
    <mergeCell ref="BP140:BP141"/>
    <mergeCell ref="BQ140:BQ141"/>
    <mergeCell ref="BQ144:BQ145"/>
    <mergeCell ref="V148:V149"/>
    <mergeCell ref="BN148:BN149"/>
    <mergeCell ref="BO148:BO149"/>
    <mergeCell ref="BJ138:BJ164"/>
    <mergeCell ref="BK138:BK164"/>
    <mergeCell ref="BN138:BN139"/>
    <mergeCell ref="BO138:BO139"/>
    <mergeCell ref="BP138:BP139"/>
    <mergeCell ref="BQ138:BQ139"/>
    <mergeCell ref="BP148:BP149"/>
    <mergeCell ref="BQ148:BQ149"/>
    <mergeCell ref="BN150:BN151"/>
    <mergeCell ref="BO150:BO151"/>
    <mergeCell ref="BD138:BD164"/>
    <mergeCell ref="BE138:BE164"/>
    <mergeCell ref="BF138:BF164"/>
    <mergeCell ref="BG138:BG164"/>
    <mergeCell ref="BH138:BH164"/>
    <mergeCell ref="BI138:BI164"/>
    <mergeCell ref="AX138:AX164"/>
    <mergeCell ref="AY138:AY164"/>
    <mergeCell ref="AZ138:AZ164"/>
    <mergeCell ref="BA138:BA164"/>
    <mergeCell ref="AU138:AU164"/>
    <mergeCell ref="AV138:AV164"/>
    <mergeCell ref="AW138:AW164"/>
    <mergeCell ref="AL138:AL164"/>
    <mergeCell ref="AM138:AM164"/>
    <mergeCell ref="AN138:AN164"/>
    <mergeCell ref="AO138:AO164"/>
    <mergeCell ref="AP138:AP164"/>
    <mergeCell ref="AQ138:AQ164"/>
    <mergeCell ref="AF138:AF164"/>
    <mergeCell ref="AG138:AG164"/>
    <mergeCell ref="AH138:AH164"/>
    <mergeCell ref="AI138:AI164"/>
    <mergeCell ref="AJ138:AJ164"/>
    <mergeCell ref="AK138:AK164"/>
    <mergeCell ref="U138:U164"/>
    <mergeCell ref="V138:V139"/>
    <mergeCell ref="AB138:AB164"/>
    <mergeCell ref="AC138:AC164"/>
    <mergeCell ref="AD138:AD164"/>
    <mergeCell ref="AE138:AE164"/>
    <mergeCell ref="V150:V151"/>
    <mergeCell ref="O138:O164"/>
    <mergeCell ref="P138:P164"/>
    <mergeCell ref="Q138:Q164"/>
    <mergeCell ref="R138:R151"/>
    <mergeCell ref="S138:S164"/>
    <mergeCell ref="T138:T164"/>
    <mergeCell ref="D137:F163"/>
    <mergeCell ref="J138:J151"/>
    <mergeCell ref="K138:K151"/>
    <mergeCell ref="L138:L151"/>
    <mergeCell ref="M138:M151"/>
    <mergeCell ref="N138:N151"/>
    <mergeCell ref="J158:J160"/>
    <mergeCell ref="K158:K160"/>
    <mergeCell ref="L158:L160"/>
    <mergeCell ref="M158:M160"/>
    <mergeCell ref="BS133:BS135"/>
    <mergeCell ref="J134:J135"/>
    <mergeCell ref="K134:K135"/>
    <mergeCell ref="L134:L135"/>
    <mergeCell ref="M134:M135"/>
    <mergeCell ref="N134:N135"/>
    <mergeCell ref="R134:R135"/>
    <mergeCell ref="BI132:BI135"/>
    <mergeCell ref="BJ132:BJ135"/>
    <mergeCell ref="BK132:BK135"/>
    <mergeCell ref="BL132:BL135"/>
    <mergeCell ref="BM132:BM135"/>
    <mergeCell ref="BR132:BR135"/>
    <mergeCell ref="BA132:BA135"/>
    <mergeCell ref="BB132:BB135"/>
    <mergeCell ref="BC132:BC135"/>
    <mergeCell ref="BD132:BD135"/>
    <mergeCell ref="BE132:BE135"/>
    <mergeCell ref="BH132:BH135"/>
    <mergeCell ref="BF133:BF134"/>
    <mergeCell ref="BG133:BG134"/>
    <mergeCell ref="AU132:AU135"/>
    <mergeCell ref="AV132:AV135"/>
    <mergeCell ref="AW132:AW135"/>
    <mergeCell ref="AX132:AX135"/>
    <mergeCell ref="AY132:AY135"/>
    <mergeCell ref="AZ132:AZ135"/>
    <mergeCell ref="AO132:AO135"/>
    <mergeCell ref="AP132:AP135"/>
    <mergeCell ref="AQ132:AQ135"/>
    <mergeCell ref="AR132:AR135"/>
    <mergeCell ref="AS132:AS135"/>
    <mergeCell ref="AT132:AT135"/>
    <mergeCell ref="AI132:AI135"/>
    <mergeCell ref="AJ132:AJ135"/>
    <mergeCell ref="AK132:AK135"/>
    <mergeCell ref="AL132:AL135"/>
    <mergeCell ref="AM132:AM135"/>
    <mergeCell ref="AN132:AN135"/>
    <mergeCell ref="AC132:AC135"/>
    <mergeCell ref="AD132:AD135"/>
    <mergeCell ref="AE132:AE135"/>
    <mergeCell ref="AF132:AF135"/>
    <mergeCell ref="AG132:AG135"/>
    <mergeCell ref="AH132:AH135"/>
    <mergeCell ref="Q132:Q135"/>
    <mergeCell ref="R132:R133"/>
    <mergeCell ref="S132:S135"/>
    <mergeCell ref="T132:T135"/>
    <mergeCell ref="U132:U135"/>
    <mergeCell ref="AB132:AB135"/>
    <mergeCell ref="M124:M130"/>
    <mergeCell ref="N124:N130"/>
    <mergeCell ref="R124:R130"/>
    <mergeCell ref="J132:J133"/>
    <mergeCell ref="K132:K133"/>
    <mergeCell ref="L132:L133"/>
    <mergeCell ref="M132:M133"/>
    <mergeCell ref="N132:N133"/>
    <mergeCell ref="O132:O135"/>
    <mergeCell ref="P132:P135"/>
    <mergeCell ref="BS116:BS118"/>
    <mergeCell ref="J118:J122"/>
    <mergeCell ref="K118:K122"/>
    <mergeCell ref="L118:L122"/>
    <mergeCell ref="M118:M122"/>
    <mergeCell ref="N118:N122"/>
    <mergeCell ref="R118:R122"/>
    <mergeCell ref="BR115:BR130"/>
    <mergeCell ref="J116:J117"/>
    <mergeCell ref="K116:K117"/>
    <mergeCell ref="L116:L117"/>
    <mergeCell ref="M116:M117"/>
    <mergeCell ref="N116:N117"/>
    <mergeCell ref="R116:R117"/>
    <mergeCell ref="J124:J130"/>
    <mergeCell ref="K124:K130"/>
    <mergeCell ref="L124:L130"/>
    <mergeCell ref="BH115:BH130"/>
    <mergeCell ref="BI115:BI130"/>
    <mergeCell ref="BJ115:BJ130"/>
    <mergeCell ref="BK115:BK130"/>
    <mergeCell ref="BL115:BL130"/>
    <mergeCell ref="BM115:BM130"/>
    <mergeCell ref="BB115:BB130"/>
    <mergeCell ref="BC115:BC130"/>
    <mergeCell ref="BD115:BD130"/>
    <mergeCell ref="BE115:BE130"/>
    <mergeCell ref="BF115:BF130"/>
    <mergeCell ref="BG115:BG130"/>
    <mergeCell ref="AV115:AV130"/>
    <mergeCell ref="AW115:AW130"/>
    <mergeCell ref="AX115:AX130"/>
    <mergeCell ref="AY115:AY130"/>
    <mergeCell ref="AZ115:AZ130"/>
    <mergeCell ref="BA115:BA130"/>
    <mergeCell ref="AP115:AP130"/>
    <mergeCell ref="AQ115:AQ130"/>
    <mergeCell ref="AR115:AR130"/>
    <mergeCell ref="AS115:AS130"/>
    <mergeCell ref="AT115:AT130"/>
    <mergeCell ref="AU115:AU130"/>
    <mergeCell ref="AJ115:AJ130"/>
    <mergeCell ref="AK115:AK130"/>
    <mergeCell ref="AL115:AL130"/>
    <mergeCell ref="AM115:AM130"/>
    <mergeCell ref="AN115:AN130"/>
    <mergeCell ref="AO115:AO130"/>
    <mergeCell ref="AD115:AD130"/>
    <mergeCell ref="AE115:AE130"/>
    <mergeCell ref="AF115:AF130"/>
    <mergeCell ref="AG115:AG130"/>
    <mergeCell ref="AH115:AH130"/>
    <mergeCell ref="AI115:AI130"/>
    <mergeCell ref="BP111:BP112"/>
    <mergeCell ref="BQ111:BQ112"/>
    <mergeCell ref="D114:F135"/>
    <mergeCell ref="P115:P130"/>
    <mergeCell ref="Q115:Q130"/>
    <mergeCell ref="S115:S130"/>
    <mergeCell ref="T115:T130"/>
    <mergeCell ref="U115:U130"/>
    <mergeCell ref="AB115:AB130"/>
    <mergeCell ref="AC115:AC130"/>
    <mergeCell ref="BE102:BE112"/>
    <mergeCell ref="BF102:BF112"/>
    <mergeCell ref="AU102:AU112"/>
    <mergeCell ref="AV102:AV112"/>
    <mergeCell ref="AW102:AW112"/>
    <mergeCell ref="AX102:AX112"/>
    <mergeCell ref="AY102:AY112"/>
    <mergeCell ref="AZ102:AZ112"/>
    <mergeCell ref="AO102:AO112"/>
    <mergeCell ref="AP102:AP112"/>
    <mergeCell ref="AQ102:AQ112"/>
    <mergeCell ref="AR102:AR112"/>
    <mergeCell ref="AS102:AS112"/>
    <mergeCell ref="AT102:AT112"/>
    <mergeCell ref="BS103:BS105"/>
    <mergeCell ref="J104:J112"/>
    <mergeCell ref="K104:K112"/>
    <mergeCell ref="L104:L112"/>
    <mergeCell ref="M104:M112"/>
    <mergeCell ref="N104:N112"/>
    <mergeCell ref="R104:R112"/>
    <mergeCell ref="V109:V110"/>
    <mergeCell ref="BN109:BN110"/>
    <mergeCell ref="BO109:BO110"/>
    <mergeCell ref="BG102:BG112"/>
    <mergeCell ref="BH102:BH112"/>
    <mergeCell ref="BI102:BI112"/>
    <mergeCell ref="BJ102:BJ112"/>
    <mergeCell ref="BK102:BK112"/>
    <mergeCell ref="BR102:BR112"/>
    <mergeCell ref="BP109:BP110"/>
    <mergeCell ref="BQ109:BQ110"/>
    <mergeCell ref="BN111:BN112"/>
    <mergeCell ref="BO111:BO112"/>
    <mergeCell ref="BA102:BA112"/>
    <mergeCell ref="BB102:BB112"/>
    <mergeCell ref="BC102:BC112"/>
    <mergeCell ref="BD102:BD112"/>
    <mergeCell ref="AI102:AI112"/>
    <mergeCell ref="AJ102:AJ112"/>
    <mergeCell ref="AK102:AK112"/>
    <mergeCell ref="AL102:AL112"/>
    <mergeCell ref="AM102:AM112"/>
    <mergeCell ref="AN102:AN112"/>
    <mergeCell ref="AC102:AC112"/>
    <mergeCell ref="AD102:AD112"/>
    <mergeCell ref="AE102:AE112"/>
    <mergeCell ref="AF102:AF112"/>
    <mergeCell ref="AG102:AG112"/>
    <mergeCell ref="AH102:AH112"/>
    <mergeCell ref="Q102:Q112"/>
    <mergeCell ref="R102:R103"/>
    <mergeCell ref="S102:S112"/>
    <mergeCell ref="T102:T112"/>
    <mergeCell ref="U102:U112"/>
    <mergeCell ref="AB102:AB112"/>
    <mergeCell ref="V111:V112"/>
    <mergeCell ref="J102:J103"/>
    <mergeCell ref="K102:K103"/>
    <mergeCell ref="L102:L103"/>
    <mergeCell ref="M102:M103"/>
    <mergeCell ref="N102:N103"/>
    <mergeCell ref="P102:P112"/>
    <mergeCell ref="BN94:BN95"/>
    <mergeCell ref="BO94:BO95"/>
    <mergeCell ref="BP94:BP95"/>
    <mergeCell ref="BQ94:BQ95"/>
    <mergeCell ref="BS96:BS97"/>
    <mergeCell ref="J98:J100"/>
    <mergeCell ref="K98:K100"/>
    <mergeCell ref="L98:L100"/>
    <mergeCell ref="M98:M100"/>
    <mergeCell ref="N98:N100"/>
    <mergeCell ref="BJ92:BJ100"/>
    <mergeCell ref="BK92:BK100"/>
    <mergeCell ref="BR92:BR100"/>
    <mergeCell ref="J94:J97"/>
    <mergeCell ref="K94:K97"/>
    <mergeCell ref="L94:L97"/>
    <mergeCell ref="M94:M97"/>
    <mergeCell ref="N94:N97"/>
    <mergeCell ref="R94:R97"/>
    <mergeCell ref="V94:V95"/>
    <mergeCell ref="BB92:BB100"/>
    <mergeCell ref="BD92:BD100"/>
    <mergeCell ref="BF92:BF100"/>
    <mergeCell ref="BG92:BG100"/>
    <mergeCell ref="BH92:BH100"/>
    <mergeCell ref="BI92:BI100"/>
    <mergeCell ref="AP92:AP100"/>
    <mergeCell ref="AR92:AR100"/>
    <mergeCell ref="AT92:AT100"/>
    <mergeCell ref="AV92:AV100"/>
    <mergeCell ref="AX92:AX100"/>
    <mergeCell ref="AZ92:AZ100"/>
    <mergeCell ref="AI92:AI100"/>
    <mergeCell ref="AJ92:AJ100"/>
    <mergeCell ref="AK92:AK100"/>
    <mergeCell ref="AL92:AL100"/>
    <mergeCell ref="AM92:AM100"/>
    <mergeCell ref="AN92:AN100"/>
    <mergeCell ref="AC92:AC100"/>
    <mergeCell ref="AD92:AD100"/>
    <mergeCell ref="AE92:AE100"/>
    <mergeCell ref="AF92:AF100"/>
    <mergeCell ref="AG92:AG100"/>
    <mergeCell ref="AH92:AH100"/>
    <mergeCell ref="Q92:Q100"/>
    <mergeCell ref="R92:R93"/>
    <mergeCell ref="S92:S100"/>
    <mergeCell ref="T92:T100"/>
    <mergeCell ref="U92:U100"/>
    <mergeCell ref="AB92:AB100"/>
    <mergeCell ref="R98:R100"/>
    <mergeCell ref="J92:J93"/>
    <mergeCell ref="K92:K93"/>
    <mergeCell ref="L92:L93"/>
    <mergeCell ref="M92:M93"/>
    <mergeCell ref="N92:N93"/>
    <mergeCell ref="P92:P100"/>
    <mergeCell ref="J87:J90"/>
    <mergeCell ref="K87:K90"/>
    <mergeCell ref="L87:L90"/>
    <mergeCell ref="M87:M90"/>
    <mergeCell ref="N87:N90"/>
    <mergeCell ref="J85:J86"/>
    <mergeCell ref="K85:K86"/>
    <mergeCell ref="L85:L86"/>
    <mergeCell ref="M85:M86"/>
    <mergeCell ref="N85:N86"/>
    <mergeCell ref="R85:R86"/>
    <mergeCell ref="J79:J84"/>
    <mergeCell ref="K79:K84"/>
    <mergeCell ref="L79:L84"/>
    <mergeCell ref="M79:M84"/>
    <mergeCell ref="N79:N84"/>
    <mergeCell ref="R79:R84"/>
    <mergeCell ref="J77:J78"/>
    <mergeCell ref="K77:K78"/>
    <mergeCell ref="L77:L78"/>
    <mergeCell ref="M77:M78"/>
    <mergeCell ref="N77:N78"/>
    <mergeCell ref="R77:R78"/>
    <mergeCell ref="BH68:BH90"/>
    <mergeCell ref="BI68:BI90"/>
    <mergeCell ref="BJ68:BJ90"/>
    <mergeCell ref="AO68:AO90"/>
    <mergeCell ref="AP68:AP90"/>
    <mergeCell ref="AR68:AR90"/>
    <mergeCell ref="AT68:AT90"/>
    <mergeCell ref="AV68:AV90"/>
    <mergeCell ref="AX68:AX90"/>
    <mergeCell ref="AI68:AI90"/>
    <mergeCell ref="AJ68:AJ90"/>
    <mergeCell ref="AK68:AK90"/>
    <mergeCell ref="AL68:AL90"/>
    <mergeCell ref="AM68:AM90"/>
    <mergeCell ref="AN68:AN90"/>
    <mergeCell ref="AC68:AC90"/>
    <mergeCell ref="AD68:AD90"/>
    <mergeCell ref="AE68:AE90"/>
    <mergeCell ref="BK68:BK90"/>
    <mergeCell ref="BR68:BR90"/>
    <mergeCell ref="BS70:BS72"/>
    <mergeCell ref="BN74:BN75"/>
    <mergeCell ref="BO74:BO75"/>
    <mergeCell ref="BP74:BP75"/>
    <mergeCell ref="BQ74:BQ75"/>
    <mergeCell ref="AZ68:AZ90"/>
    <mergeCell ref="BA68:BA90"/>
    <mergeCell ref="BB68:BB90"/>
    <mergeCell ref="BD68:BD90"/>
    <mergeCell ref="BF68:BF90"/>
    <mergeCell ref="BG68:BG90"/>
    <mergeCell ref="AF68:AF90"/>
    <mergeCell ref="AG68:AG90"/>
    <mergeCell ref="AH68:AH90"/>
    <mergeCell ref="Q68:Q90"/>
    <mergeCell ref="R68:R76"/>
    <mergeCell ref="S68:S90"/>
    <mergeCell ref="T68:T90"/>
    <mergeCell ref="U68:U90"/>
    <mergeCell ref="AB68:AB90"/>
    <mergeCell ref="V74:V75"/>
    <mergeCell ref="R87:R90"/>
    <mergeCell ref="BO63:BO64"/>
    <mergeCell ref="BP63:BP64"/>
    <mergeCell ref="BQ63:BQ64"/>
    <mergeCell ref="D67:F112"/>
    <mergeCell ref="J68:J76"/>
    <mergeCell ref="K68:K76"/>
    <mergeCell ref="L68:L76"/>
    <mergeCell ref="M68:M76"/>
    <mergeCell ref="N68:N76"/>
    <mergeCell ref="P68:P90"/>
    <mergeCell ref="BN63:BN64"/>
    <mergeCell ref="AG51:AG65"/>
    <mergeCell ref="AH51:AH65"/>
    <mergeCell ref="AI51:AI65"/>
    <mergeCell ref="AJ51:AJ65"/>
    <mergeCell ref="AK51:AK65"/>
    <mergeCell ref="AL51:AL65"/>
    <mergeCell ref="V51:V52"/>
    <mergeCell ref="AB51:AB65"/>
    <mergeCell ref="AC51:AC65"/>
    <mergeCell ref="AD51:AD65"/>
    <mergeCell ref="AE51:AE65"/>
    <mergeCell ref="AF51:AF65"/>
    <mergeCell ref="V63:V64"/>
    <mergeCell ref="BP58:BP59"/>
    <mergeCell ref="BQ58:BQ59"/>
    <mergeCell ref="V61:V62"/>
    <mergeCell ref="BN61:BN62"/>
    <mergeCell ref="BO61:BO62"/>
    <mergeCell ref="BP61:BP62"/>
    <mergeCell ref="BQ61:BQ62"/>
    <mergeCell ref="BP55:BP56"/>
    <mergeCell ref="BQ55:BQ56"/>
    <mergeCell ref="BO55:BO56"/>
    <mergeCell ref="BN58:BN59"/>
    <mergeCell ref="BO58:BO59"/>
    <mergeCell ref="AX51:AX65"/>
    <mergeCell ref="AZ51:AZ65"/>
    <mergeCell ref="BB51:BB65"/>
    <mergeCell ref="BD51:BD65"/>
    <mergeCell ref="BF51:BF65"/>
    <mergeCell ref="BG51:BG65"/>
    <mergeCell ref="AM51:AM65"/>
    <mergeCell ref="AN51:AN65"/>
    <mergeCell ref="AP51:AP65"/>
    <mergeCell ref="AR51:AR65"/>
    <mergeCell ref="AT51:AT65"/>
    <mergeCell ref="AV51:AV65"/>
    <mergeCell ref="BS55:BS58"/>
    <mergeCell ref="J58:J64"/>
    <mergeCell ref="K58:K64"/>
    <mergeCell ref="L58:L64"/>
    <mergeCell ref="M58:M64"/>
    <mergeCell ref="N58:N64"/>
    <mergeCell ref="R58:R64"/>
    <mergeCell ref="V58:V59"/>
    <mergeCell ref="BP51:BP52"/>
    <mergeCell ref="BQ51:BQ52"/>
    <mergeCell ref="BR51:BR65"/>
    <mergeCell ref="V53:V54"/>
    <mergeCell ref="BN53:BN54"/>
    <mergeCell ref="BO53:BO54"/>
    <mergeCell ref="BP53:BP54"/>
    <mergeCell ref="BQ53:BQ54"/>
    <mergeCell ref="V55:V56"/>
    <mergeCell ref="BN55:BN56"/>
    <mergeCell ref="BH51:BH65"/>
    <mergeCell ref="BI51:BI65"/>
    <mergeCell ref="BJ51:BJ65"/>
    <mergeCell ref="BK51:BK65"/>
    <mergeCell ref="BN51:BN52"/>
    <mergeCell ref="BO51:BO52"/>
    <mergeCell ref="R47:R49"/>
    <mergeCell ref="P51:P65"/>
    <mergeCell ref="Q51:Q65"/>
    <mergeCell ref="R51:R57"/>
    <mergeCell ref="S51:S65"/>
    <mergeCell ref="T51:T65"/>
    <mergeCell ref="U51:U65"/>
    <mergeCell ref="V47:V48"/>
    <mergeCell ref="BN47:BN48"/>
    <mergeCell ref="AG13:AG49"/>
    <mergeCell ref="AH13:AH49"/>
    <mergeCell ref="BN33:BN34"/>
    <mergeCell ref="BL27:BL29"/>
    <mergeCell ref="BN27:BN28"/>
    <mergeCell ref="AC13:AC49"/>
    <mergeCell ref="AD13:AD49"/>
    <mergeCell ref="V29:V30"/>
    <mergeCell ref="V33:V34"/>
    <mergeCell ref="P13:P49"/>
    <mergeCell ref="Q13:Q49"/>
    <mergeCell ref="R13:R14"/>
    <mergeCell ref="S13:S49"/>
    <mergeCell ref="T13:T49"/>
    <mergeCell ref="U13:U49"/>
    <mergeCell ref="J51:J57"/>
    <mergeCell ref="K51:K57"/>
    <mergeCell ref="L51:L57"/>
    <mergeCell ref="M51:M57"/>
    <mergeCell ref="N51:N57"/>
    <mergeCell ref="J47:J49"/>
    <mergeCell ref="K47:K49"/>
    <mergeCell ref="L47:L49"/>
    <mergeCell ref="M47:M49"/>
    <mergeCell ref="N47:N49"/>
    <mergeCell ref="V43:V44"/>
    <mergeCell ref="BN43:BN44"/>
    <mergeCell ref="BO43:BO44"/>
    <mergeCell ref="BP43:BP44"/>
    <mergeCell ref="BQ43:BQ44"/>
    <mergeCell ref="AE13:AE49"/>
    <mergeCell ref="AF13:AF49"/>
    <mergeCell ref="BN29:BN30"/>
    <mergeCell ref="BO29:BO30"/>
    <mergeCell ref="BP29:BP30"/>
    <mergeCell ref="BQ29:BQ30"/>
    <mergeCell ref="V31:V32"/>
    <mergeCell ref="BN31:BN32"/>
    <mergeCell ref="BO31:BO32"/>
    <mergeCell ref="BP31:BP32"/>
    <mergeCell ref="BQ31:BQ32"/>
    <mergeCell ref="V45:V46"/>
    <mergeCell ref="BN45:BN46"/>
    <mergeCell ref="BO45:BO46"/>
    <mergeCell ref="V36:V37"/>
    <mergeCell ref="BN36:BN37"/>
    <mergeCell ref="BO36:BO37"/>
    <mergeCell ref="BP36:BP37"/>
    <mergeCell ref="BQ36:BQ37"/>
    <mergeCell ref="V39:V40"/>
    <mergeCell ref="BN39:BN40"/>
    <mergeCell ref="BF13:BF49"/>
    <mergeCell ref="BG13:BG49"/>
    <mergeCell ref="BO20:BO21"/>
    <mergeCell ref="BP20:BP21"/>
    <mergeCell ref="BQ20:BQ21"/>
    <mergeCell ref="V22:V23"/>
    <mergeCell ref="BN22:BN23"/>
    <mergeCell ref="BO22:BO23"/>
    <mergeCell ref="BP22:BP23"/>
    <mergeCell ref="BQ22:BQ23"/>
    <mergeCell ref="BN24:BN25"/>
    <mergeCell ref="BO24:BO25"/>
    <mergeCell ref="BP24:BP25"/>
    <mergeCell ref="BQ24:BQ25"/>
    <mergeCell ref="V41:V42"/>
    <mergeCell ref="BN41:BN42"/>
    <mergeCell ref="BO41:BO42"/>
    <mergeCell ref="J20:J46"/>
    <mergeCell ref="K20:K46"/>
    <mergeCell ref="L20:L46"/>
    <mergeCell ref="M20:M46"/>
    <mergeCell ref="N20:N46"/>
    <mergeCell ref="R20:R46"/>
    <mergeCell ref="BH13:BH49"/>
    <mergeCell ref="BI13:BI49"/>
    <mergeCell ref="AW13:AW49"/>
    <mergeCell ref="AX13:AX49"/>
    <mergeCell ref="AY13:AY49"/>
    <mergeCell ref="AZ13:AZ49"/>
    <mergeCell ref="BA13:BA49"/>
    <mergeCell ref="BB13:BB49"/>
    <mergeCell ref="AO13:AO49"/>
    <mergeCell ref="AP13:AP49"/>
    <mergeCell ref="V27:V28"/>
    <mergeCell ref="AR13:AR49"/>
    <mergeCell ref="AT13:AT49"/>
    <mergeCell ref="AU13:AU49"/>
    <mergeCell ref="AV13:AV49"/>
    <mergeCell ref="AI13:AI49"/>
    <mergeCell ref="AJ13:AJ49"/>
    <mergeCell ref="AK13:AK49"/>
    <mergeCell ref="BO27:BO28"/>
    <mergeCell ref="BP27:BP28"/>
    <mergeCell ref="BQ27:BQ28"/>
    <mergeCell ref="AL13:AL49"/>
    <mergeCell ref="AM13:AM49"/>
    <mergeCell ref="AN13:AN49"/>
    <mergeCell ref="BC13:BC49"/>
    <mergeCell ref="BD13:BD49"/>
    <mergeCell ref="BO39:BO40"/>
    <mergeCell ref="BP39:BP40"/>
    <mergeCell ref="BQ39:BQ40"/>
    <mergeCell ref="BP45:BP46"/>
    <mergeCell ref="BQ45:BQ46"/>
    <mergeCell ref="BP47:BP48"/>
    <mergeCell ref="BQ47:BQ48"/>
    <mergeCell ref="BO47:BO48"/>
    <mergeCell ref="BO33:BO34"/>
    <mergeCell ref="BP33:BP34"/>
    <mergeCell ref="BQ33:BQ34"/>
    <mergeCell ref="BP41:BP42"/>
    <mergeCell ref="BQ41:BQ42"/>
    <mergeCell ref="BR13:BR49"/>
    <mergeCell ref="BS13:BT16"/>
    <mergeCell ref="J16:J19"/>
    <mergeCell ref="K16:K19"/>
    <mergeCell ref="L16:L19"/>
    <mergeCell ref="M16:M19"/>
    <mergeCell ref="N16:N19"/>
    <mergeCell ref="R16:R19"/>
    <mergeCell ref="V18:V19"/>
    <mergeCell ref="BN18:BN19"/>
    <mergeCell ref="BJ13:BJ49"/>
    <mergeCell ref="BK13:BK49"/>
    <mergeCell ref="BN13:BN14"/>
    <mergeCell ref="BO13:BO14"/>
    <mergeCell ref="BP13:BP14"/>
    <mergeCell ref="BQ13:BQ14"/>
    <mergeCell ref="BO18:BO19"/>
    <mergeCell ref="BP18:BP19"/>
    <mergeCell ref="BQ18:BQ19"/>
    <mergeCell ref="BN20:BN21"/>
    <mergeCell ref="L13:L14"/>
    <mergeCell ref="M13:M14"/>
    <mergeCell ref="N13:N14"/>
    <mergeCell ref="O13:O19"/>
    <mergeCell ref="BD8:BE8"/>
    <mergeCell ref="BH8:BM8"/>
    <mergeCell ref="BN8:BO8"/>
    <mergeCell ref="AD8:AE8"/>
    <mergeCell ref="P8:P9"/>
    <mergeCell ref="Q8:Q9"/>
    <mergeCell ref="R8:R9"/>
    <mergeCell ref="S8:S9"/>
    <mergeCell ref="T8:T9"/>
    <mergeCell ref="U8:U9"/>
    <mergeCell ref="W8:Y8"/>
    <mergeCell ref="Z8:Z9"/>
    <mergeCell ref="AA8:AA9"/>
    <mergeCell ref="AB8:AC8"/>
    <mergeCell ref="V13:V14"/>
    <mergeCell ref="AB13:AB49"/>
    <mergeCell ref="V20:V21"/>
    <mergeCell ref="V24:V25"/>
    <mergeCell ref="BP8:BQ8"/>
    <mergeCell ref="BR8:BR9"/>
    <mergeCell ref="A11:A177"/>
    <mergeCell ref="B11:C177"/>
    <mergeCell ref="D12:F65"/>
    <mergeCell ref="J13:J14"/>
    <mergeCell ref="K13:K14"/>
    <mergeCell ref="AR8:AS8"/>
    <mergeCell ref="AT8:AU8"/>
    <mergeCell ref="AV8:AW8"/>
    <mergeCell ref="AX8:AY8"/>
    <mergeCell ref="AZ8:BA8"/>
    <mergeCell ref="BB8:BC8"/>
    <mergeCell ref="AF8:AG8"/>
    <mergeCell ref="AH8:AI8"/>
    <mergeCell ref="AJ8:AK8"/>
    <mergeCell ref="AL8:AM8"/>
    <mergeCell ref="AN8:AO8"/>
    <mergeCell ref="AP8:AQ8"/>
    <mergeCell ref="V8:V9"/>
    <mergeCell ref="AZ7:BE7"/>
    <mergeCell ref="BF7:BG8"/>
    <mergeCell ref="A8:A9"/>
    <mergeCell ref="B8:C9"/>
    <mergeCell ref="D8:D9"/>
    <mergeCell ref="E8:F9"/>
    <mergeCell ref="G8:G9"/>
    <mergeCell ref="A1:BN4"/>
    <mergeCell ref="BQ1:BR1"/>
    <mergeCell ref="BQ2:BR2"/>
    <mergeCell ref="BQ3:BR3"/>
    <mergeCell ref="BQ4:BR4"/>
    <mergeCell ref="A5:M6"/>
    <mergeCell ref="O5:BR5"/>
    <mergeCell ref="AB6:BD6"/>
    <mergeCell ref="H8:I9"/>
    <mergeCell ref="J8:J9"/>
    <mergeCell ref="K8:K9"/>
    <mergeCell ref="L8:L9"/>
    <mergeCell ref="M8:N8"/>
    <mergeCell ref="O8:O9"/>
    <mergeCell ref="AB7:AE7"/>
    <mergeCell ref="AF7:AM7"/>
    <mergeCell ref="AN7:AY7"/>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62"/>
  <sheetViews>
    <sheetView showGridLines="0" zoomScale="70" zoomScaleNormal="70" workbookViewId="0">
      <selection sqref="A1:BP4"/>
    </sheetView>
  </sheetViews>
  <sheetFormatPr baseColWidth="10" defaultColWidth="11.42578125" defaultRowHeight="14.25" x14ac:dyDescent="0.2"/>
  <cols>
    <col min="1" max="1" width="10" style="571" customWidth="1"/>
    <col min="2" max="2" width="8.42578125" style="571" customWidth="1"/>
    <col min="3" max="3" width="9.5703125" style="571" customWidth="1"/>
    <col min="4" max="4" width="11" style="571" customWidth="1"/>
    <col min="5" max="5" width="8" style="571" customWidth="1"/>
    <col min="6" max="6" width="10.140625" style="571" customWidth="1"/>
    <col min="7" max="7" width="10.5703125" style="571" customWidth="1"/>
    <col min="8" max="8" width="11.140625" style="571" customWidth="1"/>
    <col min="9" max="9" width="13.5703125" style="571" customWidth="1"/>
    <col min="10" max="10" width="11.7109375" style="571" customWidth="1"/>
    <col min="11" max="11" width="18.7109375" style="571" customWidth="1"/>
    <col min="12" max="12" width="14.85546875" style="571" customWidth="1"/>
    <col min="13" max="14" width="10.28515625" style="571" customWidth="1"/>
    <col min="15" max="15" width="28.85546875" style="572" customWidth="1"/>
    <col min="16" max="16" width="16.7109375" style="571" customWidth="1"/>
    <col min="17" max="17" width="15.28515625" style="571" customWidth="1"/>
    <col min="18" max="18" width="12" style="571" customWidth="1"/>
    <col min="19" max="19" width="19.140625" style="571" customWidth="1"/>
    <col min="20" max="20" width="19.7109375" style="571" customWidth="1"/>
    <col min="21" max="21" width="29.28515625" style="571" customWidth="1"/>
    <col min="22" max="22" width="20.28515625" style="571" customWidth="1"/>
    <col min="23" max="23" width="22.7109375" style="573" customWidth="1"/>
    <col min="24" max="24" width="26" style="571" customWidth="1"/>
    <col min="25" max="25" width="24.5703125" style="571" customWidth="1"/>
    <col min="26" max="26" width="14" style="121" customWidth="1"/>
    <col min="27" max="27" width="14.85546875" style="572" customWidth="1"/>
    <col min="28" max="59" width="6.7109375" style="571" customWidth="1"/>
    <col min="60" max="60" width="15.28515625" style="571" customWidth="1"/>
    <col min="61" max="61" width="22.140625" style="571" customWidth="1"/>
    <col min="62" max="62" width="21.42578125" style="571" customWidth="1"/>
    <col min="63" max="63" width="14" style="571" customWidth="1"/>
    <col min="64" max="64" width="13.5703125" style="571" customWidth="1"/>
    <col min="65" max="65" width="18.7109375" style="571" customWidth="1"/>
    <col min="66" max="69" width="15.5703125" style="571" customWidth="1"/>
    <col min="70" max="70" width="19.85546875" style="571" customWidth="1"/>
    <col min="71" max="83" width="14.85546875" style="571" customWidth="1"/>
    <col min="84" max="16384" width="11.42578125" style="571"/>
  </cols>
  <sheetData>
    <row r="1" spans="1:70" s="367" customFormat="1" ht="12" customHeight="1" x14ac:dyDescent="0.2">
      <c r="A1" s="3330" t="s">
        <v>337</v>
      </c>
      <c r="B1" s="3331"/>
      <c r="C1" s="3331"/>
      <c r="D1" s="3331"/>
      <c r="E1" s="3331"/>
      <c r="F1" s="3331"/>
      <c r="G1" s="3331"/>
      <c r="H1" s="3331"/>
      <c r="I1" s="3331"/>
      <c r="J1" s="3331"/>
      <c r="K1" s="3331"/>
      <c r="L1" s="3331"/>
      <c r="M1" s="3331"/>
      <c r="N1" s="3331"/>
      <c r="O1" s="3331"/>
      <c r="P1" s="3331"/>
      <c r="Q1" s="3331"/>
      <c r="R1" s="3331"/>
      <c r="S1" s="3331"/>
      <c r="T1" s="3331"/>
      <c r="U1" s="3331"/>
      <c r="V1" s="3331"/>
      <c r="W1" s="3331"/>
      <c r="X1" s="3331"/>
      <c r="Y1" s="3331"/>
      <c r="Z1" s="3331"/>
      <c r="AA1" s="3331"/>
      <c r="AB1" s="3331"/>
      <c r="AC1" s="3331"/>
      <c r="AD1" s="3331"/>
      <c r="AE1" s="3331"/>
      <c r="AF1" s="3331"/>
      <c r="AG1" s="3331"/>
      <c r="AH1" s="3331"/>
      <c r="AI1" s="3331"/>
      <c r="AJ1" s="3331"/>
      <c r="AK1" s="3331"/>
      <c r="AL1" s="3331"/>
      <c r="AM1" s="3331"/>
      <c r="AN1" s="3331"/>
      <c r="AO1" s="3331"/>
      <c r="AP1" s="3331"/>
      <c r="AQ1" s="3331"/>
      <c r="AR1" s="3331"/>
      <c r="AS1" s="3331"/>
      <c r="AT1" s="3331"/>
      <c r="AU1" s="3331"/>
      <c r="AV1" s="3331"/>
      <c r="AW1" s="3331"/>
      <c r="AX1" s="3331"/>
      <c r="AY1" s="3331"/>
      <c r="AZ1" s="3331"/>
      <c r="BA1" s="3331"/>
      <c r="BB1" s="3331"/>
      <c r="BC1" s="3331"/>
      <c r="BD1" s="3331"/>
      <c r="BE1" s="3331"/>
      <c r="BF1" s="3331"/>
      <c r="BG1" s="3331"/>
      <c r="BH1" s="3331"/>
      <c r="BI1" s="3331"/>
      <c r="BJ1" s="3331"/>
      <c r="BK1" s="3331"/>
      <c r="BL1" s="3331"/>
      <c r="BM1" s="3331"/>
      <c r="BN1" s="3331"/>
      <c r="BO1" s="3331"/>
      <c r="BP1" s="3599"/>
      <c r="BQ1" s="365" t="s">
        <v>1</v>
      </c>
      <c r="BR1" s="366" t="s">
        <v>2</v>
      </c>
    </row>
    <row r="2" spans="1:70" s="367" customFormat="1" ht="16.5" customHeight="1" x14ac:dyDescent="0.2">
      <c r="A2" s="3332"/>
      <c r="B2" s="3600"/>
      <c r="C2" s="3600"/>
      <c r="D2" s="3600"/>
      <c r="E2" s="3600"/>
      <c r="F2" s="3600"/>
      <c r="G2" s="3600"/>
      <c r="H2" s="3600"/>
      <c r="I2" s="3600"/>
      <c r="J2" s="3600"/>
      <c r="K2" s="3600"/>
      <c r="L2" s="3600"/>
      <c r="M2" s="3600"/>
      <c r="N2" s="3600"/>
      <c r="O2" s="3600"/>
      <c r="P2" s="3600"/>
      <c r="Q2" s="3600"/>
      <c r="R2" s="3600"/>
      <c r="S2" s="3600"/>
      <c r="T2" s="3600"/>
      <c r="U2" s="3600"/>
      <c r="V2" s="3600"/>
      <c r="W2" s="3600"/>
      <c r="X2" s="3600"/>
      <c r="Y2" s="3600"/>
      <c r="Z2" s="3600"/>
      <c r="AA2" s="3600"/>
      <c r="AB2" s="3600"/>
      <c r="AC2" s="3600"/>
      <c r="AD2" s="3600"/>
      <c r="AE2" s="3600"/>
      <c r="AF2" s="3600"/>
      <c r="AG2" s="3600"/>
      <c r="AH2" s="3600"/>
      <c r="AI2" s="3600"/>
      <c r="AJ2" s="3600"/>
      <c r="AK2" s="3600"/>
      <c r="AL2" s="3600"/>
      <c r="AM2" s="3600"/>
      <c r="AN2" s="3600"/>
      <c r="AO2" s="3600"/>
      <c r="AP2" s="3600"/>
      <c r="AQ2" s="3600"/>
      <c r="AR2" s="3600"/>
      <c r="AS2" s="3600"/>
      <c r="AT2" s="3600"/>
      <c r="AU2" s="3600"/>
      <c r="AV2" s="3600"/>
      <c r="AW2" s="3600"/>
      <c r="AX2" s="3600"/>
      <c r="AY2" s="3600"/>
      <c r="AZ2" s="3600"/>
      <c r="BA2" s="3600"/>
      <c r="BB2" s="3600"/>
      <c r="BC2" s="3600"/>
      <c r="BD2" s="3600"/>
      <c r="BE2" s="3600"/>
      <c r="BF2" s="3600"/>
      <c r="BG2" s="3600"/>
      <c r="BH2" s="3600"/>
      <c r="BI2" s="3600"/>
      <c r="BJ2" s="3600"/>
      <c r="BK2" s="3600"/>
      <c r="BL2" s="3600"/>
      <c r="BM2" s="3600"/>
      <c r="BN2" s="3600"/>
      <c r="BO2" s="3600"/>
      <c r="BP2" s="3601"/>
      <c r="BQ2" s="368" t="s">
        <v>3</v>
      </c>
      <c r="BR2" s="369">
        <v>6</v>
      </c>
    </row>
    <row r="3" spans="1:70" s="367" customFormat="1" ht="18" customHeight="1" x14ac:dyDescent="0.2">
      <c r="A3" s="3332"/>
      <c r="B3" s="3600"/>
      <c r="C3" s="3600"/>
      <c r="D3" s="3600"/>
      <c r="E3" s="3600"/>
      <c r="F3" s="3600"/>
      <c r="G3" s="3600"/>
      <c r="H3" s="3600"/>
      <c r="I3" s="3600"/>
      <c r="J3" s="3600"/>
      <c r="K3" s="3600"/>
      <c r="L3" s="3600"/>
      <c r="M3" s="3600"/>
      <c r="N3" s="3600"/>
      <c r="O3" s="3600"/>
      <c r="P3" s="3600"/>
      <c r="Q3" s="3600"/>
      <c r="R3" s="3600"/>
      <c r="S3" s="3600"/>
      <c r="T3" s="3600"/>
      <c r="U3" s="3600"/>
      <c r="V3" s="3600"/>
      <c r="W3" s="3600"/>
      <c r="X3" s="3600"/>
      <c r="Y3" s="3600"/>
      <c r="Z3" s="3600"/>
      <c r="AA3" s="3600"/>
      <c r="AB3" s="3600"/>
      <c r="AC3" s="3600"/>
      <c r="AD3" s="3600"/>
      <c r="AE3" s="3600"/>
      <c r="AF3" s="3600"/>
      <c r="AG3" s="3600"/>
      <c r="AH3" s="3600"/>
      <c r="AI3" s="3600"/>
      <c r="AJ3" s="3600"/>
      <c r="AK3" s="3600"/>
      <c r="AL3" s="3600"/>
      <c r="AM3" s="3600"/>
      <c r="AN3" s="3600"/>
      <c r="AO3" s="3600"/>
      <c r="AP3" s="3600"/>
      <c r="AQ3" s="3600"/>
      <c r="AR3" s="3600"/>
      <c r="AS3" s="3600"/>
      <c r="AT3" s="3600"/>
      <c r="AU3" s="3600"/>
      <c r="AV3" s="3600"/>
      <c r="AW3" s="3600"/>
      <c r="AX3" s="3600"/>
      <c r="AY3" s="3600"/>
      <c r="AZ3" s="3600"/>
      <c r="BA3" s="3600"/>
      <c r="BB3" s="3600"/>
      <c r="BC3" s="3600"/>
      <c r="BD3" s="3600"/>
      <c r="BE3" s="3600"/>
      <c r="BF3" s="3600"/>
      <c r="BG3" s="3600"/>
      <c r="BH3" s="3600"/>
      <c r="BI3" s="3600"/>
      <c r="BJ3" s="3600"/>
      <c r="BK3" s="3600"/>
      <c r="BL3" s="3600"/>
      <c r="BM3" s="3600"/>
      <c r="BN3" s="3600"/>
      <c r="BO3" s="3600"/>
      <c r="BP3" s="3601"/>
      <c r="BQ3" s="370" t="s">
        <v>4</v>
      </c>
      <c r="BR3" s="371" t="s">
        <v>5</v>
      </c>
    </row>
    <row r="4" spans="1:70" s="374" customFormat="1" ht="13.5" customHeight="1" x14ac:dyDescent="0.2">
      <c r="A4" s="3334"/>
      <c r="B4" s="3335"/>
      <c r="C4" s="3335"/>
      <c r="D4" s="3335"/>
      <c r="E4" s="3335"/>
      <c r="F4" s="3335"/>
      <c r="G4" s="3335"/>
      <c r="H4" s="3335"/>
      <c r="I4" s="3335"/>
      <c r="J4" s="3335"/>
      <c r="K4" s="3335"/>
      <c r="L4" s="3335"/>
      <c r="M4" s="3335"/>
      <c r="N4" s="3335"/>
      <c r="O4" s="3335"/>
      <c r="P4" s="3335"/>
      <c r="Q4" s="3335"/>
      <c r="R4" s="3335"/>
      <c r="S4" s="3335"/>
      <c r="T4" s="3335"/>
      <c r="U4" s="3335"/>
      <c r="V4" s="3335"/>
      <c r="W4" s="3335"/>
      <c r="X4" s="3335"/>
      <c r="Y4" s="3335"/>
      <c r="Z4" s="3335"/>
      <c r="AA4" s="3335"/>
      <c r="AB4" s="3335"/>
      <c r="AC4" s="3335"/>
      <c r="AD4" s="3335"/>
      <c r="AE4" s="3335"/>
      <c r="AF4" s="3335"/>
      <c r="AG4" s="3335"/>
      <c r="AH4" s="3335"/>
      <c r="AI4" s="3335"/>
      <c r="AJ4" s="3335"/>
      <c r="AK4" s="3335"/>
      <c r="AL4" s="3335"/>
      <c r="AM4" s="3335"/>
      <c r="AN4" s="3335"/>
      <c r="AO4" s="3335"/>
      <c r="AP4" s="3335"/>
      <c r="AQ4" s="3335"/>
      <c r="AR4" s="3335"/>
      <c r="AS4" s="3335"/>
      <c r="AT4" s="3335"/>
      <c r="AU4" s="3335"/>
      <c r="AV4" s="3335"/>
      <c r="AW4" s="3335"/>
      <c r="AX4" s="3335"/>
      <c r="AY4" s="3335"/>
      <c r="AZ4" s="3335"/>
      <c r="BA4" s="3335"/>
      <c r="BB4" s="3335"/>
      <c r="BC4" s="3335"/>
      <c r="BD4" s="3335"/>
      <c r="BE4" s="3335"/>
      <c r="BF4" s="3335"/>
      <c r="BG4" s="3335"/>
      <c r="BH4" s="3335"/>
      <c r="BI4" s="3335"/>
      <c r="BJ4" s="3335"/>
      <c r="BK4" s="3335"/>
      <c r="BL4" s="3335"/>
      <c r="BM4" s="3335"/>
      <c r="BN4" s="3335"/>
      <c r="BO4" s="3335"/>
      <c r="BP4" s="3602"/>
      <c r="BQ4" s="372" t="s">
        <v>6</v>
      </c>
      <c r="BR4" s="373" t="s">
        <v>7</v>
      </c>
    </row>
    <row r="5" spans="1:70" s="367" customFormat="1" ht="27" customHeight="1" x14ac:dyDescent="0.2">
      <c r="A5" s="3603" t="s">
        <v>8</v>
      </c>
      <c r="B5" s="3346"/>
      <c r="C5" s="3346"/>
      <c r="D5" s="3346"/>
      <c r="E5" s="3346"/>
      <c r="F5" s="3346"/>
      <c r="G5" s="3346"/>
      <c r="H5" s="3346"/>
      <c r="I5" s="3346"/>
      <c r="J5" s="3346"/>
      <c r="K5" s="3346"/>
      <c r="L5" s="3346"/>
      <c r="M5" s="3346"/>
      <c r="N5" s="375"/>
      <c r="O5" s="376"/>
      <c r="P5" s="376"/>
      <c r="Q5" s="3349" t="s">
        <v>9</v>
      </c>
      <c r="R5" s="3349"/>
      <c r="S5" s="3349"/>
      <c r="T5" s="3349"/>
      <c r="U5" s="3349"/>
      <c r="V5" s="3349"/>
      <c r="W5" s="3349"/>
      <c r="X5" s="3349"/>
      <c r="Y5" s="3349"/>
      <c r="Z5" s="3349"/>
      <c r="AA5" s="3349"/>
      <c r="AB5" s="3349"/>
      <c r="AC5" s="3349"/>
      <c r="AD5" s="3349"/>
      <c r="AE5" s="3349"/>
      <c r="AF5" s="3349"/>
      <c r="AG5" s="3349"/>
      <c r="AH5" s="3349"/>
      <c r="AI5" s="3349"/>
      <c r="AJ5" s="3349"/>
      <c r="AK5" s="3349"/>
      <c r="AL5" s="3349"/>
      <c r="AM5" s="3349"/>
      <c r="AN5" s="3349"/>
      <c r="AO5" s="3349"/>
      <c r="AP5" s="3349"/>
      <c r="AQ5" s="3349"/>
      <c r="AR5" s="3349"/>
      <c r="AS5" s="3349"/>
      <c r="AT5" s="3349"/>
      <c r="AU5" s="3349"/>
      <c r="AV5" s="3349"/>
      <c r="AW5" s="3349"/>
      <c r="AX5" s="3349"/>
      <c r="AY5" s="3349"/>
      <c r="AZ5" s="3349"/>
      <c r="BA5" s="3349"/>
      <c r="BB5" s="3349"/>
      <c r="BC5" s="3349"/>
      <c r="BD5" s="3349"/>
      <c r="BE5" s="3349"/>
      <c r="BF5" s="3349"/>
      <c r="BG5" s="3349"/>
      <c r="BH5" s="3349"/>
      <c r="BI5" s="3349"/>
      <c r="BJ5" s="3349"/>
      <c r="BK5" s="3349"/>
      <c r="BL5" s="3349"/>
      <c r="BM5" s="3349"/>
      <c r="BN5" s="3349"/>
      <c r="BO5" s="3349"/>
      <c r="BP5" s="3349"/>
      <c r="BQ5" s="3349"/>
      <c r="BR5" s="3604"/>
    </row>
    <row r="6" spans="1:70" s="367" customFormat="1" ht="18" customHeight="1" thickBot="1" x14ac:dyDescent="0.25">
      <c r="A6" s="3603"/>
      <c r="B6" s="3346"/>
      <c r="C6" s="3346"/>
      <c r="D6" s="3346"/>
      <c r="E6" s="3346"/>
      <c r="F6" s="3346"/>
      <c r="G6" s="3346"/>
      <c r="H6" s="3346"/>
      <c r="I6" s="3346"/>
      <c r="J6" s="3346"/>
      <c r="K6" s="3346"/>
      <c r="L6" s="3346"/>
      <c r="M6" s="3346"/>
      <c r="N6" s="375"/>
      <c r="O6" s="376"/>
      <c r="P6" s="376"/>
      <c r="Q6" s="3349"/>
      <c r="R6" s="3349"/>
      <c r="S6" s="3349"/>
      <c r="T6" s="3349"/>
      <c r="U6" s="3349"/>
      <c r="V6" s="3349"/>
      <c r="W6" s="3349"/>
      <c r="X6" s="3349"/>
      <c r="Y6" s="3349"/>
      <c r="Z6" s="3349"/>
      <c r="AA6" s="3349"/>
      <c r="AB6" s="376"/>
      <c r="AC6" s="376"/>
      <c r="AD6" s="376"/>
      <c r="AE6" s="376"/>
      <c r="AF6" s="376"/>
      <c r="AG6" s="376"/>
      <c r="AH6" s="376"/>
      <c r="AI6" s="376"/>
      <c r="AJ6" s="376"/>
      <c r="AK6" s="376"/>
      <c r="AL6" s="376"/>
      <c r="AM6" s="376"/>
      <c r="AN6" s="376"/>
      <c r="AO6" s="376"/>
      <c r="AP6" s="376"/>
      <c r="AQ6" s="376"/>
      <c r="AR6" s="376"/>
      <c r="AS6" s="376"/>
      <c r="AT6" s="376"/>
      <c r="AU6" s="376"/>
      <c r="AV6" s="376"/>
      <c r="AW6" s="376"/>
      <c r="AX6" s="376"/>
      <c r="AY6" s="376"/>
      <c r="AZ6" s="376"/>
      <c r="BA6" s="376"/>
      <c r="BB6" s="376"/>
      <c r="BC6" s="376"/>
      <c r="BD6" s="376"/>
      <c r="BE6" s="376"/>
      <c r="BF6" s="376"/>
      <c r="BG6" s="376"/>
      <c r="BH6" s="376"/>
      <c r="BI6" s="376"/>
      <c r="BJ6" s="376"/>
      <c r="BK6" s="376"/>
      <c r="BL6" s="377"/>
      <c r="BM6" s="377"/>
      <c r="BN6" s="3349"/>
      <c r="BO6" s="3349"/>
      <c r="BP6" s="3349"/>
      <c r="BQ6" s="3349"/>
      <c r="BR6" s="3604"/>
    </row>
    <row r="7" spans="1:70" s="379" customFormat="1" ht="30.75" customHeight="1" x14ac:dyDescent="0.25">
      <c r="A7" s="3605" t="s">
        <v>10</v>
      </c>
      <c r="B7" s="3607" t="s">
        <v>11</v>
      </c>
      <c r="C7" s="3608"/>
      <c r="D7" s="3611" t="s">
        <v>10</v>
      </c>
      <c r="E7" s="3611" t="s">
        <v>12</v>
      </c>
      <c r="F7" s="3611"/>
      <c r="G7" s="3611" t="s">
        <v>10</v>
      </c>
      <c r="H7" s="3611" t="s">
        <v>13</v>
      </c>
      <c r="I7" s="3611"/>
      <c r="J7" s="3611" t="s">
        <v>10</v>
      </c>
      <c r="K7" s="3611" t="s">
        <v>14</v>
      </c>
      <c r="L7" s="3611" t="s">
        <v>15</v>
      </c>
      <c r="M7" s="3611" t="s">
        <v>16</v>
      </c>
      <c r="N7" s="3611"/>
      <c r="O7" s="3611" t="s">
        <v>17</v>
      </c>
      <c r="P7" s="3611" t="s">
        <v>130</v>
      </c>
      <c r="Q7" s="3611" t="s">
        <v>9</v>
      </c>
      <c r="R7" s="3612" t="s">
        <v>19</v>
      </c>
      <c r="S7" s="3613" t="s">
        <v>20</v>
      </c>
      <c r="T7" s="3611" t="s">
        <v>21</v>
      </c>
      <c r="U7" s="3611" t="s">
        <v>22</v>
      </c>
      <c r="V7" s="3611" t="s">
        <v>23</v>
      </c>
      <c r="W7" s="3614" t="s">
        <v>20</v>
      </c>
      <c r="X7" s="3614"/>
      <c r="Y7" s="3615"/>
      <c r="Z7" s="3618" t="s">
        <v>10</v>
      </c>
      <c r="AA7" s="3611" t="s">
        <v>24</v>
      </c>
      <c r="AB7" s="3619" t="s">
        <v>25</v>
      </c>
      <c r="AC7" s="3620"/>
      <c r="AD7" s="3620"/>
      <c r="AE7" s="3621"/>
      <c r="AF7" s="3622" t="s">
        <v>26</v>
      </c>
      <c r="AG7" s="3623"/>
      <c r="AH7" s="3623"/>
      <c r="AI7" s="3623"/>
      <c r="AJ7" s="3623"/>
      <c r="AK7" s="3623"/>
      <c r="AL7" s="3623"/>
      <c r="AM7" s="3624"/>
      <c r="AN7" s="3662" t="s">
        <v>27</v>
      </c>
      <c r="AO7" s="3663"/>
      <c r="AP7" s="3663"/>
      <c r="AQ7" s="3663"/>
      <c r="AR7" s="3663"/>
      <c r="AS7" s="3663"/>
      <c r="AT7" s="3663"/>
      <c r="AU7" s="3663"/>
      <c r="AV7" s="3663"/>
      <c r="AW7" s="3663"/>
      <c r="AX7" s="3663"/>
      <c r="AY7" s="3664"/>
      <c r="AZ7" s="3622" t="s">
        <v>28</v>
      </c>
      <c r="BA7" s="3623"/>
      <c r="BB7" s="3623"/>
      <c r="BC7" s="3623"/>
      <c r="BD7" s="3623"/>
      <c r="BE7" s="3624"/>
      <c r="BF7" s="3629" t="s">
        <v>29</v>
      </c>
      <c r="BG7" s="3630"/>
      <c r="BH7" s="3633" t="s">
        <v>30</v>
      </c>
      <c r="BI7" s="3634"/>
      <c r="BJ7" s="3634"/>
      <c r="BK7" s="3634"/>
      <c r="BL7" s="3634"/>
      <c r="BM7" s="3635"/>
      <c r="BN7" s="3636" t="s">
        <v>31</v>
      </c>
      <c r="BO7" s="3637"/>
      <c r="BP7" s="3636" t="s">
        <v>32</v>
      </c>
      <c r="BQ7" s="3637"/>
      <c r="BR7" s="3661" t="s">
        <v>33</v>
      </c>
    </row>
    <row r="8" spans="1:70" s="379" customFormat="1" ht="102" customHeight="1" x14ac:dyDescent="0.25">
      <c r="A8" s="3606"/>
      <c r="B8" s="3609"/>
      <c r="C8" s="3610"/>
      <c r="D8" s="3611"/>
      <c r="E8" s="3611"/>
      <c r="F8" s="3611"/>
      <c r="G8" s="3611"/>
      <c r="H8" s="3611"/>
      <c r="I8" s="3611"/>
      <c r="J8" s="3611"/>
      <c r="K8" s="3611"/>
      <c r="L8" s="3611"/>
      <c r="M8" s="3611"/>
      <c r="N8" s="3611"/>
      <c r="O8" s="3611"/>
      <c r="P8" s="3611"/>
      <c r="Q8" s="3611"/>
      <c r="R8" s="3612"/>
      <c r="S8" s="3613"/>
      <c r="T8" s="3611"/>
      <c r="U8" s="3611"/>
      <c r="V8" s="3611"/>
      <c r="W8" s="3616"/>
      <c r="X8" s="3616"/>
      <c r="Y8" s="3617"/>
      <c r="Z8" s="3618"/>
      <c r="AA8" s="3611"/>
      <c r="AB8" s="3647" t="s">
        <v>34</v>
      </c>
      <c r="AC8" s="3647"/>
      <c r="AD8" s="3648" t="s">
        <v>338</v>
      </c>
      <c r="AE8" s="3649"/>
      <c r="AF8" s="3641" t="s">
        <v>36</v>
      </c>
      <c r="AG8" s="3642"/>
      <c r="AH8" s="3641" t="s">
        <v>37</v>
      </c>
      <c r="AI8" s="3642"/>
      <c r="AJ8" s="3641" t="s">
        <v>131</v>
      </c>
      <c r="AK8" s="3642"/>
      <c r="AL8" s="3641" t="s">
        <v>39</v>
      </c>
      <c r="AM8" s="3642"/>
      <c r="AN8" s="3626" t="s">
        <v>40</v>
      </c>
      <c r="AO8" s="3627"/>
      <c r="AP8" s="3628" t="s">
        <v>41</v>
      </c>
      <c r="AQ8" s="3628"/>
      <c r="AR8" s="3626" t="s">
        <v>42</v>
      </c>
      <c r="AS8" s="3627"/>
      <c r="AT8" s="3628" t="s">
        <v>43</v>
      </c>
      <c r="AU8" s="3628"/>
      <c r="AV8" s="3626" t="s">
        <v>339</v>
      </c>
      <c r="AW8" s="3640"/>
      <c r="AX8" s="3626" t="s">
        <v>45</v>
      </c>
      <c r="AY8" s="3640"/>
      <c r="AZ8" s="3641" t="s">
        <v>46</v>
      </c>
      <c r="BA8" s="3642"/>
      <c r="BB8" s="3641" t="s">
        <v>47</v>
      </c>
      <c r="BC8" s="3642"/>
      <c r="BD8" s="3641" t="s">
        <v>340</v>
      </c>
      <c r="BE8" s="3642"/>
      <c r="BF8" s="3631"/>
      <c r="BG8" s="3632"/>
      <c r="BH8" s="3655" t="s">
        <v>49</v>
      </c>
      <c r="BI8" s="3657" t="s">
        <v>50</v>
      </c>
      <c r="BJ8" s="3657" t="s">
        <v>51</v>
      </c>
      <c r="BK8" s="3659" t="s">
        <v>52</v>
      </c>
      <c r="BL8" s="3155" t="s">
        <v>53</v>
      </c>
      <c r="BM8" s="3155" t="s">
        <v>54</v>
      </c>
      <c r="BN8" s="3638"/>
      <c r="BO8" s="3639"/>
      <c r="BP8" s="3638"/>
      <c r="BQ8" s="3639"/>
      <c r="BR8" s="3661"/>
    </row>
    <row r="9" spans="1:70" s="379" customFormat="1" ht="26.25" customHeight="1" x14ac:dyDescent="0.25">
      <c r="A9" s="3606"/>
      <c r="B9" s="3609"/>
      <c r="C9" s="3610"/>
      <c r="D9" s="3611"/>
      <c r="E9" s="3611"/>
      <c r="F9" s="3611"/>
      <c r="G9" s="3611"/>
      <c r="H9" s="3611"/>
      <c r="I9" s="3611"/>
      <c r="J9" s="3611"/>
      <c r="K9" s="3611"/>
      <c r="L9" s="3611"/>
      <c r="M9" s="3611"/>
      <c r="N9" s="3611"/>
      <c r="O9" s="3611"/>
      <c r="P9" s="3611"/>
      <c r="Q9" s="3611"/>
      <c r="R9" s="3612"/>
      <c r="S9" s="3613"/>
      <c r="T9" s="3611"/>
      <c r="U9" s="3611"/>
      <c r="V9" s="3611"/>
      <c r="W9" s="3643" t="s">
        <v>341</v>
      </c>
      <c r="X9" s="3645" t="s">
        <v>58</v>
      </c>
      <c r="Y9" s="3645" t="s">
        <v>59</v>
      </c>
      <c r="Z9" s="3618"/>
      <c r="AA9" s="3611"/>
      <c r="AB9" s="3625" t="s">
        <v>342</v>
      </c>
      <c r="AC9" s="3625" t="s">
        <v>56</v>
      </c>
      <c r="AD9" s="3625" t="s">
        <v>342</v>
      </c>
      <c r="AE9" s="3625" t="s">
        <v>56</v>
      </c>
      <c r="AF9" s="3625" t="s">
        <v>342</v>
      </c>
      <c r="AG9" s="3625" t="s">
        <v>56</v>
      </c>
      <c r="AH9" s="3625" t="s">
        <v>342</v>
      </c>
      <c r="AI9" s="3625" t="s">
        <v>56</v>
      </c>
      <c r="AJ9" s="3625" t="s">
        <v>342</v>
      </c>
      <c r="AK9" s="3625" t="s">
        <v>56</v>
      </c>
      <c r="AL9" s="3625" t="s">
        <v>342</v>
      </c>
      <c r="AM9" s="3625" t="s">
        <v>56</v>
      </c>
      <c r="AN9" s="3625" t="s">
        <v>342</v>
      </c>
      <c r="AO9" s="3625" t="s">
        <v>56</v>
      </c>
      <c r="AP9" s="3625" t="s">
        <v>342</v>
      </c>
      <c r="AQ9" s="3625" t="s">
        <v>56</v>
      </c>
      <c r="AR9" s="3625" t="s">
        <v>342</v>
      </c>
      <c r="AS9" s="3625" t="s">
        <v>56</v>
      </c>
      <c r="AT9" s="3625" t="s">
        <v>342</v>
      </c>
      <c r="AU9" s="3625" t="s">
        <v>56</v>
      </c>
      <c r="AV9" s="3625" t="s">
        <v>342</v>
      </c>
      <c r="AW9" s="3625" t="s">
        <v>56</v>
      </c>
      <c r="AX9" s="3625" t="s">
        <v>342</v>
      </c>
      <c r="AY9" s="3625" t="s">
        <v>56</v>
      </c>
      <c r="AZ9" s="3625" t="s">
        <v>342</v>
      </c>
      <c r="BA9" s="3625" t="s">
        <v>56</v>
      </c>
      <c r="BB9" s="3625" t="s">
        <v>342</v>
      </c>
      <c r="BC9" s="3625" t="s">
        <v>56</v>
      </c>
      <c r="BD9" s="3625" t="s">
        <v>342</v>
      </c>
      <c r="BE9" s="3625" t="s">
        <v>56</v>
      </c>
      <c r="BF9" s="3625" t="s">
        <v>342</v>
      </c>
      <c r="BG9" s="3625" t="s">
        <v>56</v>
      </c>
      <c r="BH9" s="3656"/>
      <c r="BI9" s="3658"/>
      <c r="BJ9" s="3658"/>
      <c r="BK9" s="3660"/>
      <c r="BL9" s="3654"/>
      <c r="BM9" s="3654"/>
      <c r="BN9" s="3650" t="s">
        <v>55</v>
      </c>
      <c r="BO9" s="3650" t="s">
        <v>56</v>
      </c>
      <c r="BP9" s="3650" t="s">
        <v>55</v>
      </c>
      <c r="BQ9" s="3650" t="s">
        <v>56</v>
      </c>
      <c r="BR9" s="3661"/>
    </row>
    <row r="10" spans="1:70" s="379" customFormat="1" ht="16.5" customHeight="1" x14ac:dyDescent="0.25">
      <c r="A10" s="3606"/>
      <c r="B10" s="3609"/>
      <c r="C10" s="3610"/>
      <c r="D10" s="3611"/>
      <c r="E10" s="3611"/>
      <c r="F10" s="3611"/>
      <c r="G10" s="3611"/>
      <c r="H10" s="3611"/>
      <c r="I10" s="3611"/>
      <c r="J10" s="3611"/>
      <c r="K10" s="3611"/>
      <c r="L10" s="3611"/>
      <c r="M10" s="3611"/>
      <c r="N10" s="3611"/>
      <c r="O10" s="3611"/>
      <c r="P10" s="3611"/>
      <c r="Q10" s="3611"/>
      <c r="R10" s="3612"/>
      <c r="S10" s="3613"/>
      <c r="T10" s="3611"/>
      <c r="U10" s="3611"/>
      <c r="V10" s="3611"/>
      <c r="W10" s="3644"/>
      <c r="X10" s="3646"/>
      <c r="Y10" s="3646"/>
      <c r="Z10" s="3618"/>
      <c r="AA10" s="3611"/>
      <c r="AB10" s="3625"/>
      <c r="AC10" s="3625"/>
      <c r="AD10" s="3625"/>
      <c r="AE10" s="3625"/>
      <c r="AF10" s="3625"/>
      <c r="AG10" s="3625"/>
      <c r="AH10" s="3625"/>
      <c r="AI10" s="3625"/>
      <c r="AJ10" s="3625"/>
      <c r="AK10" s="3625"/>
      <c r="AL10" s="3625"/>
      <c r="AM10" s="3625"/>
      <c r="AN10" s="3625"/>
      <c r="AO10" s="3625"/>
      <c r="AP10" s="3625"/>
      <c r="AQ10" s="3625"/>
      <c r="AR10" s="3625"/>
      <c r="AS10" s="3625"/>
      <c r="AT10" s="3625"/>
      <c r="AU10" s="3625"/>
      <c r="AV10" s="3625"/>
      <c r="AW10" s="3625"/>
      <c r="AX10" s="3625"/>
      <c r="AY10" s="3625"/>
      <c r="AZ10" s="3625"/>
      <c r="BA10" s="3625"/>
      <c r="BB10" s="3625"/>
      <c r="BC10" s="3625"/>
      <c r="BD10" s="3625"/>
      <c r="BE10" s="3625"/>
      <c r="BF10" s="3625"/>
      <c r="BG10" s="3625"/>
      <c r="BH10" s="380"/>
      <c r="BI10" s="3658"/>
      <c r="BJ10" s="3658"/>
      <c r="BK10" s="3660"/>
      <c r="BL10" s="3654"/>
      <c r="BM10" s="3654"/>
      <c r="BN10" s="3651"/>
      <c r="BO10" s="3651"/>
      <c r="BP10" s="3651"/>
      <c r="BQ10" s="3651"/>
      <c r="BR10" s="3661"/>
    </row>
    <row r="11" spans="1:70" s="379" customFormat="1" ht="13.5" customHeight="1" x14ac:dyDescent="0.25">
      <c r="A11" s="3606"/>
      <c r="B11" s="3609"/>
      <c r="C11" s="3610"/>
      <c r="D11" s="3611"/>
      <c r="E11" s="3611"/>
      <c r="F11" s="3611"/>
      <c r="G11" s="3611"/>
      <c r="H11" s="3611"/>
      <c r="I11" s="3611"/>
      <c r="J11" s="3611"/>
      <c r="K11" s="3611"/>
      <c r="L11" s="3611"/>
      <c r="M11" s="3611"/>
      <c r="N11" s="3611"/>
      <c r="O11" s="3611"/>
      <c r="P11" s="3611"/>
      <c r="Q11" s="3611"/>
      <c r="R11" s="3612"/>
      <c r="S11" s="3613"/>
      <c r="T11" s="3611"/>
      <c r="U11" s="3611"/>
      <c r="V11" s="3611"/>
      <c r="W11" s="3644"/>
      <c r="X11" s="3646"/>
      <c r="Y11" s="3646"/>
      <c r="Z11" s="3618"/>
      <c r="AA11" s="3611"/>
      <c r="AB11" s="3625"/>
      <c r="AC11" s="3625"/>
      <c r="AD11" s="3625"/>
      <c r="AE11" s="3625"/>
      <c r="AF11" s="3625"/>
      <c r="AG11" s="3625"/>
      <c r="AH11" s="3625"/>
      <c r="AI11" s="3625"/>
      <c r="AJ11" s="3625"/>
      <c r="AK11" s="3625"/>
      <c r="AL11" s="3625"/>
      <c r="AM11" s="3625"/>
      <c r="AN11" s="3625"/>
      <c r="AO11" s="3625"/>
      <c r="AP11" s="3625"/>
      <c r="AQ11" s="3625"/>
      <c r="AR11" s="3625"/>
      <c r="AS11" s="3625"/>
      <c r="AT11" s="3625"/>
      <c r="AU11" s="3625"/>
      <c r="AV11" s="3625"/>
      <c r="AW11" s="3625"/>
      <c r="AX11" s="3625"/>
      <c r="AY11" s="3625"/>
      <c r="AZ11" s="3625"/>
      <c r="BA11" s="3625"/>
      <c r="BB11" s="3625"/>
      <c r="BC11" s="3625"/>
      <c r="BD11" s="3625"/>
      <c r="BE11" s="3625"/>
      <c r="BF11" s="3625"/>
      <c r="BG11" s="3625"/>
      <c r="BH11" s="380"/>
      <c r="BI11" s="3658"/>
      <c r="BJ11" s="3658"/>
      <c r="BK11" s="3660"/>
      <c r="BL11" s="3654"/>
      <c r="BM11" s="3654"/>
      <c r="BN11" s="3651"/>
      <c r="BO11" s="3651"/>
      <c r="BP11" s="3651"/>
      <c r="BQ11" s="3651"/>
      <c r="BR11" s="3661"/>
    </row>
    <row r="12" spans="1:70" s="394" customFormat="1" ht="18" customHeight="1" x14ac:dyDescent="0.25">
      <c r="A12" s="3606"/>
      <c r="B12" s="3609"/>
      <c r="C12" s="3610"/>
      <c r="D12" s="3611"/>
      <c r="E12" s="3611"/>
      <c r="F12" s="3611"/>
      <c r="G12" s="3611"/>
      <c r="H12" s="3611"/>
      <c r="I12" s="3611"/>
      <c r="J12" s="3611"/>
      <c r="K12" s="3611"/>
      <c r="L12" s="3611"/>
      <c r="M12" s="118" t="s">
        <v>55</v>
      </c>
      <c r="N12" s="118" t="s">
        <v>56</v>
      </c>
      <c r="O12" s="3611"/>
      <c r="P12" s="3611"/>
      <c r="Q12" s="3611"/>
      <c r="R12" s="3612"/>
      <c r="S12" s="3613"/>
      <c r="T12" s="3611"/>
      <c r="U12" s="3611"/>
      <c r="V12" s="3611"/>
      <c r="W12" s="381"/>
      <c r="X12" s="382"/>
      <c r="Y12" s="382"/>
      <c r="Z12" s="3618"/>
      <c r="AA12" s="3611"/>
      <c r="AB12" s="383"/>
      <c r="AC12" s="384"/>
      <c r="AD12" s="385"/>
      <c r="AE12" s="386"/>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8"/>
      <c r="BI12" s="389"/>
      <c r="BJ12" s="389"/>
      <c r="BK12" s="390"/>
      <c r="BL12" s="391"/>
      <c r="BM12" s="391"/>
      <c r="BN12" s="392"/>
      <c r="BO12" s="393"/>
      <c r="BP12" s="392"/>
      <c r="BQ12" s="393"/>
      <c r="BR12" s="3661"/>
    </row>
    <row r="13" spans="1:70" s="405" customFormat="1" ht="15" customHeight="1" x14ac:dyDescent="0.25">
      <c r="A13" s="395">
        <v>3</v>
      </c>
      <c r="B13" s="396" t="s">
        <v>343</v>
      </c>
      <c r="C13" s="397"/>
      <c r="D13" s="398"/>
      <c r="E13" s="397"/>
      <c r="F13" s="397"/>
      <c r="G13" s="397"/>
      <c r="H13" s="397"/>
      <c r="I13" s="397"/>
      <c r="J13" s="397"/>
      <c r="K13" s="399"/>
      <c r="L13" s="399"/>
      <c r="M13" s="397"/>
      <c r="N13" s="397"/>
      <c r="O13" s="400"/>
      <c r="P13" s="397"/>
      <c r="Q13" s="399"/>
      <c r="R13" s="397"/>
      <c r="S13" s="401"/>
      <c r="T13" s="399"/>
      <c r="U13" s="399"/>
      <c r="V13" s="399"/>
      <c r="W13" s="402"/>
      <c r="X13" s="403"/>
      <c r="Y13" s="403"/>
      <c r="Z13" s="404"/>
      <c r="AA13" s="400"/>
      <c r="AB13" s="397"/>
      <c r="AC13" s="397"/>
      <c r="AD13" s="397"/>
      <c r="AE13" s="397"/>
      <c r="AF13" s="397"/>
      <c r="AG13" s="397"/>
      <c r="AH13" s="397"/>
      <c r="AI13" s="397"/>
      <c r="AJ13" s="397"/>
      <c r="AK13" s="397"/>
      <c r="AL13" s="397"/>
      <c r="AM13" s="397"/>
      <c r="AN13" s="397"/>
      <c r="AO13" s="397"/>
      <c r="AP13" s="397"/>
      <c r="AQ13" s="397"/>
      <c r="AR13" s="397"/>
      <c r="AS13" s="397"/>
      <c r="AT13" s="397"/>
      <c r="AU13" s="397"/>
      <c r="AV13" s="397"/>
      <c r="AW13" s="397"/>
      <c r="AX13" s="397"/>
      <c r="AY13" s="397"/>
      <c r="AZ13" s="397"/>
      <c r="BA13" s="397"/>
      <c r="BB13" s="397"/>
      <c r="BC13" s="397"/>
      <c r="BD13" s="397"/>
      <c r="BE13" s="397"/>
      <c r="BF13" s="397"/>
      <c r="BG13" s="397"/>
      <c r="BH13" s="3652"/>
      <c r="BI13" s="3652"/>
      <c r="BJ13" s="3652"/>
      <c r="BK13" s="3652"/>
      <c r="BL13" s="3652"/>
      <c r="BM13" s="3652"/>
      <c r="BN13" s="3652"/>
      <c r="BO13" s="3652"/>
      <c r="BP13" s="3652"/>
      <c r="BQ13" s="3652"/>
      <c r="BR13" s="3653"/>
    </row>
    <row r="14" spans="1:70" s="405" customFormat="1" ht="15" customHeight="1" x14ac:dyDescent="0.25">
      <c r="A14" s="406"/>
      <c r="B14" s="407"/>
      <c r="C14" s="408"/>
      <c r="D14" s="409">
        <v>9</v>
      </c>
      <c r="E14" s="3665" t="s">
        <v>344</v>
      </c>
      <c r="F14" s="3666"/>
      <c r="G14" s="3666"/>
      <c r="H14" s="3666"/>
      <c r="I14" s="3666"/>
      <c r="J14" s="3666"/>
      <c r="K14" s="3666"/>
      <c r="L14" s="410"/>
      <c r="M14" s="411"/>
      <c r="N14" s="411"/>
      <c r="O14" s="412"/>
      <c r="P14" s="411"/>
      <c r="Q14" s="410"/>
      <c r="R14" s="411"/>
      <c r="S14" s="413"/>
      <c r="T14" s="410"/>
      <c r="U14" s="410"/>
      <c r="V14" s="410"/>
      <c r="W14" s="414"/>
      <c r="X14" s="415"/>
      <c r="Y14" s="415"/>
      <c r="Z14" s="416"/>
      <c r="AA14" s="412"/>
      <c r="AB14" s="411"/>
      <c r="AC14" s="411"/>
      <c r="AD14" s="411"/>
      <c r="AE14" s="411"/>
      <c r="AF14" s="411"/>
      <c r="AG14" s="411"/>
      <c r="AH14" s="411"/>
      <c r="AI14" s="411"/>
      <c r="AJ14" s="411"/>
      <c r="AK14" s="411"/>
      <c r="AL14" s="411"/>
      <c r="AM14" s="411"/>
      <c r="AN14" s="411"/>
      <c r="AO14" s="411"/>
      <c r="AP14" s="411"/>
      <c r="AQ14" s="411"/>
      <c r="AR14" s="411"/>
      <c r="AS14" s="411"/>
      <c r="AT14" s="411"/>
      <c r="AU14" s="411"/>
      <c r="AV14" s="411"/>
      <c r="AW14" s="411"/>
      <c r="AX14" s="411"/>
      <c r="AY14" s="411"/>
      <c r="AZ14" s="411"/>
      <c r="BA14" s="411"/>
      <c r="BB14" s="411"/>
      <c r="BC14" s="411"/>
      <c r="BD14" s="411"/>
      <c r="BE14" s="411"/>
      <c r="BF14" s="411"/>
      <c r="BG14" s="3667"/>
      <c r="BH14" s="3667"/>
      <c r="BI14" s="3667"/>
      <c r="BJ14" s="3667"/>
      <c r="BK14" s="3667"/>
      <c r="BL14" s="3667"/>
      <c r="BM14" s="3667"/>
      <c r="BN14" s="3667"/>
      <c r="BO14" s="3667"/>
      <c r="BP14" s="3667"/>
      <c r="BQ14" s="3667"/>
      <c r="BR14" s="3668"/>
    </row>
    <row r="15" spans="1:70" s="367" customFormat="1" ht="15" customHeight="1" x14ac:dyDescent="0.2">
      <c r="A15" s="417"/>
      <c r="B15" s="418"/>
      <c r="C15" s="419"/>
      <c r="D15" s="420"/>
      <c r="E15" s="421"/>
      <c r="F15" s="422"/>
      <c r="G15" s="423">
        <v>29</v>
      </c>
      <c r="H15" s="3669" t="s">
        <v>345</v>
      </c>
      <c r="I15" s="3670"/>
      <c r="J15" s="3670"/>
      <c r="K15" s="3670"/>
      <c r="L15" s="424"/>
      <c r="M15" s="425"/>
      <c r="N15" s="425"/>
      <c r="O15" s="426"/>
      <c r="P15" s="425"/>
      <c r="Q15" s="424"/>
      <c r="R15" s="425"/>
      <c r="S15" s="427"/>
      <c r="T15" s="424"/>
      <c r="U15" s="424"/>
      <c r="V15" s="424"/>
      <c r="W15" s="428"/>
      <c r="X15" s="429"/>
      <c r="Y15" s="429"/>
      <c r="Z15" s="430"/>
      <c r="AA15" s="426"/>
      <c r="AB15" s="425"/>
      <c r="AC15" s="425"/>
      <c r="AD15" s="425"/>
      <c r="AE15" s="425"/>
      <c r="AF15" s="425"/>
      <c r="AG15" s="425"/>
      <c r="AH15" s="425"/>
      <c r="AI15" s="425"/>
      <c r="AJ15" s="425"/>
      <c r="AK15" s="425"/>
      <c r="AL15" s="425"/>
      <c r="AM15" s="425"/>
      <c r="AN15" s="425"/>
      <c r="AO15" s="425"/>
      <c r="AP15" s="425"/>
      <c r="AQ15" s="425"/>
      <c r="AR15" s="425"/>
      <c r="AS15" s="425"/>
      <c r="AT15" s="425"/>
      <c r="AU15" s="425"/>
      <c r="AV15" s="425"/>
      <c r="AW15" s="425"/>
      <c r="AX15" s="425"/>
      <c r="AY15" s="425"/>
      <c r="AZ15" s="425"/>
      <c r="BA15" s="425"/>
      <c r="BB15" s="425"/>
      <c r="BC15" s="425"/>
      <c r="BD15" s="425"/>
      <c r="BE15" s="425"/>
      <c r="BF15" s="425"/>
      <c r="BG15" s="425"/>
      <c r="BH15" s="3671"/>
      <c r="BI15" s="3671"/>
      <c r="BJ15" s="3671"/>
      <c r="BK15" s="3671"/>
      <c r="BL15" s="3671"/>
      <c r="BM15" s="3671"/>
      <c r="BN15" s="3671"/>
      <c r="BO15" s="3671"/>
      <c r="BP15" s="3671"/>
      <c r="BQ15" s="3671"/>
      <c r="BR15" s="3672"/>
    </row>
    <row r="16" spans="1:70" s="440" customFormat="1" ht="80.25" customHeight="1" x14ac:dyDescent="0.2">
      <c r="A16" s="431"/>
      <c r="B16" s="432"/>
      <c r="C16" s="433"/>
      <c r="D16" s="434"/>
      <c r="E16" s="432"/>
      <c r="F16" s="433"/>
      <c r="G16" s="3673"/>
      <c r="H16" s="3676"/>
      <c r="I16" s="3677"/>
      <c r="J16" s="3682">
        <v>114</v>
      </c>
      <c r="K16" s="3685" t="s">
        <v>346</v>
      </c>
      <c r="L16" s="3685" t="s">
        <v>347</v>
      </c>
      <c r="M16" s="3682">
        <v>30</v>
      </c>
      <c r="N16" s="3682"/>
      <c r="O16" s="3673" t="s">
        <v>348</v>
      </c>
      <c r="P16" s="3673" t="s">
        <v>349</v>
      </c>
      <c r="Q16" s="3685" t="s">
        <v>350</v>
      </c>
      <c r="R16" s="3692">
        <f>(+W16+W17+W18)/S16</f>
        <v>1</v>
      </c>
      <c r="S16" s="3695">
        <f>W16+W17+W18</f>
        <v>1249277717</v>
      </c>
      <c r="T16" s="3685" t="s">
        <v>351</v>
      </c>
      <c r="U16" s="3685" t="s">
        <v>352</v>
      </c>
      <c r="V16" s="3688" t="s">
        <v>353</v>
      </c>
      <c r="W16" s="435">
        <v>172896381</v>
      </c>
      <c r="X16" s="436"/>
      <c r="Y16" s="436"/>
      <c r="Z16" s="437">
        <v>33</v>
      </c>
      <c r="AA16" s="438" t="s">
        <v>354</v>
      </c>
      <c r="AB16" s="3689">
        <v>26</v>
      </c>
      <c r="AC16" s="3673"/>
      <c r="AD16" s="3689">
        <v>26</v>
      </c>
      <c r="AE16" s="3673"/>
      <c r="AF16" s="3673"/>
      <c r="AG16" s="3673"/>
      <c r="AH16" s="3673"/>
      <c r="AI16" s="3673"/>
      <c r="AJ16" s="3689">
        <v>52</v>
      </c>
      <c r="AK16" s="3689"/>
      <c r="AL16" s="3689"/>
      <c r="AM16" s="439"/>
      <c r="AN16" s="3689"/>
      <c r="AO16" s="3689"/>
      <c r="AP16" s="3689"/>
      <c r="AQ16" s="3689"/>
      <c r="AR16" s="3689"/>
      <c r="AS16" s="3689"/>
      <c r="AT16" s="3689"/>
      <c r="AU16" s="3689"/>
      <c r="AV16" s="3689"/>
      <c r="AW16" s="3689"/>
      <c r="AX16" s="3689"/>
      <c r="AY16" s="3689"/>
      <c r="AZ16" s="3689"/>
      <c r="BA16" s="3689"/>
      <c r="BB16" s="3689"/>
      <c r="BC16" s="3689"/>
      <c r="BD16" s="3689"/>
      <c r="BE16" s="3689"/>
      <c r="BF16" s="3689">
        <f>+AB16+AD16</f>
        <v>52</v>
      </c>
      <c r="BG16" s="3689"/>
      <c r="BH16" s="3713"/>
      <c r="BI16" s="3704"/>
      <c r="BJ16" s="3704"/>
      <c r="BK16" s="3707"/>
      <c r="BL16" s="437">
        <v>33</v>
      </c>
      <c r="BM16" s="3685"/>
      <c r="BN16" s="3710">
        <v>43466</v>
      </c>
      <c r="BO16" s="3698"/>
      <c r="BP16" s="3710">
        <v>43830</v>
      </c>
      <c r="BQ16" s="3698"/>
      <c r="BR16" s="3701" t="s">
        <v>355</v>
      </c>
    </row>
    <row r="17" spans="1:70" s="440" customFormat="1" ht="80.25" customHeight="1" x14ac:dyDescent="0.2">
      <c r="A17" s="431"/>
      <c r="B17" s="432"/>
      <c r="C17" s="433"/>
      <c r="D17" s="434"/>
      <c r="E17" s="432"/>
      <c r="F17" s="433"/>
      <c r="G17" s="3674"/>
      <c r="H17" s="3678"/>
      <c r="I17" s="3679"/>
      <c r="J17" s="3683"/>
      <c r="K17" s="3686"/>
      <c r="L17" s="3686"/>
      <c r="M17" s="3683"/>
      <c r="N17" s="3683"/>
      <c r="O17" s="3674"/>
      <c r="P17" s="3674"/>
      <c r="Q17" s="3686"/>
      <c r="R17" s="3693"/>
      <c r="S17" s="3696"/>
      <c r="T17" s="3686"/>
      <c r="U17" s="3686"/>
      <c r="V17" s="3688"/>
      <c r="W17" s="435">
        <v>1075686973</v>
      </c>
      <c r="X17" s="436"/>
      <c r="Y17" s="436"/>
      <c r="Z17" s="437">
        <v>83</v>
      </c>
      <c r="AA17" s="438" t="s">
        <v>356</v>
      </c>
      <c r="AB17" s="3690"/>
      <c r="AC17" s="3674"/>
      <c r="AD17" s="3690"/>
      <c r="AE17" s="3674"/>
      <c r="AF17" s="3674"/>
      <c r="AG17" s="3674"/>
      <c r="AH17" s="3674"/>
      <c r="AI17" s="3674"/>
      <c r="AJ17" s="3690"/>
      <c r="AK17" s="3690"/>
      <c r="AL17" s="3690"/>
      <c r="AM17" s="441"/>
      <c r="AN17" s="3690"/>
      <c r="AO17" s="3690"/>
      <c r="AP17" s="3690"/>
      <c r="AQ17" s="3690"/>
      <c r="AR17" s="3690"/>
      <c r="AS17" s="3690"/>
      <c r="AT17" s="3690"/>
      <c r="AU17" s="3690"/>
      <c r="AV17" s="3690"/>
      <c r="AW17" s="3690"/>
      <c r="AX17" s="3690"/>
      <c r="AY17" s="3690"/>
      <c r="AZ17" s="3690"/>
      <c r="BA17" s="3690"/>
      <c r="BB17" s="3690"/>
      <c r="BC17" s="3690"/>
      <c r="BD17" s="3690"/>
      <c r="BE17" s="3690"/>
      <c r="BF17" s="3690"/>
      <c r="BG17" s="3690"/>
      <c r="BH17" s="3714"/>
      <c r="BI17" s="3705"/>
      <c r="BJ17" s="3705"/>
      <c r="BK17" s="3708"/>
      <c r="BL17" s="437">
        <v>83</v>
      </c>
      <c r="BM17" s="3686"/>
      <c r="BN17" s="3711"/>
      <c r="BO17" s="3699"/>
      <c r="BP17" s="3711"/>
      <c r="BQ17" s="3699"/>
      <c r="BR17" s="3702"/>
    </row>
    <row r="18" spans="1:70" s="440" customFormat="1" ht="86.25" customHeight="1" x14ac:dyDescent="0.2">
      <c r="A18" s="431"/>
      <c r="B18" s="432"/>
      <c r="C18" s="433"/>
      <c r="D18" s="434"/>
      <c r="E18" s="432"/>
      <c r="F18" s="433"/>
      <c r="G18" s="3674"/>
      <c r="H18" s="3678"/>
      <c r="I18" s="3679"/>
      <c r="J18" s="3684"/>
      <c r="K18" s="3687"/>
      <c r="L18" s="3687"/>
      <c r="M18" s="3684"/>
      <c r="N18" s="3684"/>
      <c r="O18" s="3675"/>
      <c r="P18" s="3675"/>
      <c r="Q18" s="3687"/>
      <c r="R18" s="3694"/>
      <c r="S18" s="3697"/>
      <c r="T18" s="3687"/>
      <c r="U18" s="3687"/>
      <c r="V18" s="442" t="s">
        <v>357</v>
      </c>
      <c r="W18" s="435">
        <f>694363</f>
        <v>694363</v>
      </c>
      <c r="X18" s="436"/>
      <c r="Y18" s="436"/>
      <c r="Z18" s="437">
        <v>33</v>
      </c>
      <c r="AA18" s="438" t="s">
        <v>354</v>
      </c>
      <c r="AB18" s="3691"/>
      <c r="AC18" s="3675"/>
      <c r="AD18" s="3691"/>
      <c r="AE18" s="3675"/>
      <c r="AF18" s="3675"/>
      <c r="AG18" s="3675"/>
      <c r="AH18" s="3675"/>
      <c r="AI18" s="3675"/>
      <c r="AJ18" s="3691"/>
      <c r="AK18" s="3691"/>
      <c r="AL18" s="3691"/>
      <c r="AM18" s="443"/>
      <c r="AN18" s="3691"/>
      <c r="AO18" s="3691"/>
      <c r="AP18" s="3691"/>
      <c r="AQ18" s="3691"/>
      <c r="AR18" s="3691"/>
      <c r="AS18" s="3691"/>
      <c r="AT18" s="3691"/>
      <c r="AU18" s="3691"/>
      <c r="AV18" s="3691"/>
      <c r="AW18" s="3691"/>
      <c r="AX18" s="3691"/>
      <c r="AY18" s="3691"/>
      <c r="AZ18" s="3691"/>
      <c r="BA18" s="3691"/>
      <c r="BB18" s="3691"/>
      <c r="BC18" s="3691"/>
      <c r="BD18" s="3691"/>
      <c r="BE18" s="3691"/>
      <c r="BF18" s="3691"/>
      <c r="BG18" s="3691"/>
      <c r="BH18" s="3715"/>
      <c r="BI18" s="3706"/>
      <c r="BJ18" s="3706"/>
      <c r="BK18" s="3709"/>
      <c r="BL18" s="437">
        <v>33</v>
      </c>
      <c r="BM18" s="3687"/>
      <c r="BN18" s="3712"/>
      <c r="BO18" s="3700"/>
      <c r="BP18" s="3712"/>
      <c r="BQ18" s="3700"/>
      <c r="BR18" s="3703"/>
    </row>
    <row r="19" spans="1:70" s="440" customFormat="1" ht="39" customHeight="1" x14ac:dyDescent="0.2">
      <c r="A19" s="431"/>
      <c r="B19" s="432"/>
      <c r="C19" s="433"/>
      <c r="D19" s="434"/>
      <c r="E19" s="432"/>
      <c r="F19" s="433"/>
      <c r="G19" s="3674"/>
      <c r="H19" s="3678"/>
      <c r="I19" s="3679"/>
      <c r="J19" s="3682">
        <v>114</v>
      </c>
      <c r="K19" s="3685" t="s">
        <v>358</v>
      </c>
      <c r="L19" s="3685" t="s">
        <v>359</v>
      </c>
      <c r="M19" s="3682">
        <v>30</v>
      </c>
      <c r="N19" s="3682">
        <v>21</v>
      </c>
      <c r="O19" s="3673" t="s">
        <v>360</v>
      </c>
      <c r="P19" s="3673" t="s">
        <v>361</v>
      </c>
      <c r="Q19" s="3685" t="s">
        <v>362</v>
      </c>
      <c r="R19" s="3716">
        <f>(W19+W20+W22+W21)/S19</f>
        <v>0.46737569540763191</v>
      </c>
      <c r="S19" s="3719">
        <f>W19+W20+W22+W23+W24+W25+W27+W28+W30+W21+W26+W29</f>
        <v>3213783215</v>
      </c>
      <c r="T19" s="3685" t="s">
        <v>363</v>
      </c>
      <c r="U19" s="3722" t="s">
        <v>364</v>
      </c>
      <c r="V19" s="444" t="s">
        <v>365</v>
      </c>
      <c r="W19" s="445">
        <f>543106000-185044900</f>
        <v>358061100</v>
      </c>
      <c r="X19" s="446">
        <v>149704000</v>
      </c>
      <c r="Y19" s="446">
        <f>39407000-14332000</f>
        <v>25075000</v>
      </c>
      <c r="Z19" s="447">
        <v>20</v>
      </c>
      <c r="AA19" s="448" t="s">
        <v>71</v>
      </c>
      <c r="AB19" s="3673">
        <v>85275</v>
      </c>
      <c r="AC19" s="3673">
        <v>1016</v>
      </c>
      <c r="AD19" s="3673">
        <v>85275</v>
      </c>
      <c r="AE19" s="3673">
        <v>942</v>
      </c>
      <c r="AF19" s="3689">
        <v>25580</v>
      </c>
      <c r="AG19" s="3689">
        <v>1600</v>
      </c>
      <c r="AH19" s="3673">
        <v>42638</v>
      </c>
      <c r="AI19" s="3689">
        <v>280</v>
      </c>
      <c r="AJ19" s="3673">
        <v>68221</v>
      </c>
      <c r="AK19" s="3689">
        <v>78</v>
      </c>
      <c r="AL19" s="3673">
        <v>17055</v>
      </c>
      <c r="AM19" s="3689"/>
      <c r="AN19" s="3673">
        <v>8528</v>
      </c>
      <c r="AO19" s="3689"/>
      <c r="AP19" s="3673">
        <v>8527.5</v>
      </c>
      <c r="AQ19" s="3689">
        <v>21</v>
      </c>
      <c r="AR19" s="3689"/>
      <c r="AS19" s="3689"/>
      <c r="AT19" s="3689"/>
      <c r="AU19" s="3689"/>
      <c r="AV19" s="3689">
        <v>134</v>
      </c>
      <c r="AW19" s="3689"/>
      <c r="AX19" s="3689"/>
      <c r="AY19" s="3689"/>
      <c r="AZ19" s="3689"/>
      <c r="BA19" s="3689">
        <v>10</v>
      </c>
      <c r="BB19" s="3737"/>
      <c r="BC19" s="3689"/>
      <c r="BD19" s="3689"/>
      <c r="BE19" s="3689"/>
      <c r="BF19" s="3673">
        <f>AB19+AD19</f>
        <v>170550</v>
      </c>
      <c r="BG19" s="3689">
        <f>AG19+AI19+AK19+AM19</f>
        <v>1958</v>
      </c>
      <c r="BH19" s="3713">
        <v>28</v>
      </c>
      <c r="BI19" s="3704">
        <f>SUM(X19:X30)</f>
        <v>265073000</v>
      </c>
      <c r="BJ19" s="3704">
        <f>Y19+Y20+Y22+Y23+Y24+Y25+Y27+Y28+Y30</f>
        <v>65715000</v>
      </c>
      <c r="BK19" s="3731">
        <f>+BJ19/BI19</f>
        <v>0.24791283910469947</v>
      </c>
      <c r="BL19" s="447">
        <v>20</v>
      </c>
      <c r="BM19" s="3734" t="s">
        <v>366</v>
      </c>
      <c r="BN19" s="3710">
        <v>43466</v>
      </c>
      <c r="BO19" s="3710">
        <v>43482</v>
      </c>
      <c r="BP19" s="3710">
        <v>43830</v>
      </c>
      <c r="BQ19" s="3710">
        <v>43638</v>
      </c>
      <c r="BR19" s="3701" t="s">
        <v>355</v>
      </c>
    </row>
    <row r="20" spans="1:70" s="440" customFormat="1" ht="39.75" customHeight="1" x14ac:dyDescent="0.2">
      <c r="A20" s="431"/>
      <c r="B20" s="432"/>
      <c r="C20" s="433"/>
      <c r="D20" s="434"/>
      <c r="E20" s="432"/>
      <c r="F20" s="433"/>
      <c r="G20" s="3674"/>
      <c r="H20" s="3678"/>
      <c r="I20" s="3679"/>
      <c r="J20" s="3683"/>
      <c r="K20" s="3686"/>
      <c r="L20" s="3686"/>
      <c r="M20" s="3683"/>
      <c r="N20" s="3683"/>
      <c r="O20" s="3674"/>
      <c r="P20" s="3674"/>
      <c r="Q20" s="3686"/>
      <c r="R20" s="3717"/>
      <c r="S20" s="3720"/>
      <c r="T20" s="3686"/>
      <c r="U20" s="3723"/>
      <c r="V20" s="3728" t="s">
        <v>367</v>
      </c>
      <c r="W20" s="449">
        <f>457100000+195470065</f>
        <v>652570065</v>
      </c>
      <c r="X20" s="450">
        <v>17915000</v>
      </c>
      <c r="Y20" s="450">
        <v>7166000</v>
      </c>
      <c r="Z20" s="447">
        <v>20</v>
      </c>
      <c r="AA20" s="451" t="s">
        <v>368</v>
      </c>
      <c r="AB20" s="3674"/>
      <c r="AC20" s="3674"/>
      <c r="AD20" s="3674"/>
      <c r="AE20" s="3674"/>
      <c r="AF20" s="3690"/>
      <c r="AG20" s="3690"/>
      <c r="AH20" s="3674"/>
      <c r="AI20" s="3690"/>
      <c r="AJ20" s="3674"/>
      <c r="AK20" s="3690"/>
      <c r="AL20" s="3674"/>
      <c r="AM20" s="3690"/>
      <c r="AN20" s="3674"/>
      <c r="AO20" s="3690"/>
      <c r="AP20" s="3674"/>
      <c r="AQ20" s="3690"/>
      <c r="AR20" s="3690"/>
      <c r="AS20" s="3690"/>
      <c r="AT20" s="3690"/>
      <c r="AU20" s="3690"/>
      <c r="AV20" s="3690"/>
      <c r="AW20" s="3690"/>
      <c r="AX20" s="3690"/>
      <c r="AY20" s="3690"/>
      <c r="AZ20" s="3690"/>
      <c r="BA20" s="3690"/>
      <c r="BB20" s="3738"/>
      <c r="BC20" s="3690"/>
      <c r="BD20" s="3690"/>
      <c r="BE20" s="3690"/>
      <c r="BF20" s="3674"/>
      <c r="BG20" s="3674"/>
      <c r="BH20" s="3714"/>
      <c r="BI20" s="3705"/>
      <c r="BJ20" s="3705"/>
      <c r="BK20" s="3732"/>
      <c r="BL20" s="447">
        <v>20</v>
      </c>
      <c r="BM20" s="3735"/>
      <c r="BN20" s="3711"/>
      <c r="BO20" s="3699"/>
      <c r="BP20" s="3711"/>
      <c r="BQ20" s="3711"/>
      <c r="BR20" s="3702"/>
    </row>
    <row r="21" spans="1:70" s="440" customFormat="1" ht="39.75" customHeight="1" x14ac:dyDescent="0.2">
      <c r="A21" s="431"/>
      <c r="B21" s="432"/>
      <c r="C21" s="433"/>
      <c r="D21" s="434"/>
      <c r="E21" s="432"/>
      <c r="F21" s="433"/>
      <c r="G21" s="3674"/>
      <c r="H21" s="3678"/>
      <c r="I21" s="3679"/>
      <c r="J21" s="3683"/>
      <c r="K21" s="3686"/>
      <c r="L21" s="3686"/>
      <c r="M21" s="3683"/>
      <c r="N21" s="3683"/>
      <c r="O21" s="3674"/>
      <c r="P21" s="3674"/>
      <c r="Q21" s="3686"/>
      <c r="R21" s="3717"/>
      <c r="S21" s="3720"/>
      <c r="T21" s="3686"/>
      <c r="U21" s="3723"/>
      <c r="V21" s="3729"/>
      <c r="W21" s="449">
        <v>400000000</v>
      </c>
      <c r="X21" s="450"/>
      <c r="Y21" s="450"/>
      <c r="Z21" s="447">
        <v>88</v>
      </c>
      <c r="AA21" s="451" t="s">
        <v>369</v>
      </c>
      <c r="AB21" s="3674"/>
      <c r="AC21" s="3674"/>
      <c r="AD21" s="3674"/>
      <c r="AE21" s="3674"/>
      <c r="AF21" s="3690"/>
      <c r="AG21" s="3690"/>
      <c r="AH21" s="3674"/>
      <c r="AI21" s="3690"/>
      <c r="AJ21" s="3674"/>
      <c r="AK21" s="3690"/>
      <c r="AL21" s="3674"/>
      <c r="AM21" s="3690"/>
      <c r="AN21" s="3674"/>
      <c r="AO21" s="3690"/>
      <c r="AP21" s="3674"/>
      <c r="AQ21" s="3690"/>
      <c r="AR21" s="3690"/>
      <c r="AS21" s="3690"/>
      <c r="AT21" s="3690"/>
      <c r="AU21" s="3690"/>
      <c r="AV21" s="3690"/>
      <c r="AW21" s="3690"/>
      <c r="AX21" s="3690"/>
      <c r="AY21" s="3690"/>
      <c r="AZ21" s="3690"/>
      <c r="BA21" s="3690"/>
      <c r="BB21" s="3738"/>
      <c r="BC21" s="3690"/>
      <c r="BD21" s="3690"/>
      <c r="BE21" s="3690"/>
      <c r="BF21" s="3674"/>
      <c r="BG21" s="3674"/>
      <c r="BH21" s="3714"/>
      <c r="BI21" s="3705"/>
      <c r="BJ21" s="3705"/>
      <c r="BK21" s="3732"/>
      <c r="BL21" s="447">
        <v>88</v>
      </c>
      <c r="BM21" s="3735"/>
      <c r="BN21" s="3711"/>
      <c r="BO21" s="3699"/>
      <c r="BP21" s="3711"/>
      <c r="BQ21" s="3711"/>
      <c r="BR21" s="3702"/>
    </row>
    <row r="22" spans="1:70" s="440" customFormat="1" ht="38.25" customHeight="1" x14ac:dyDescent="0.2">
      <c r="A22" s="431"/>
      <c r="B22" s="432"/>
      <c r="C22" s="433"/>
      <c r="D22" s="434"/>
      <c r="E22" s="432"/>
      <c r="F22" s="433"/>
      <c r="G22" s="3674"/>
      <c r="H22" s="3678"/>
      <c r="I22" s="3679"/>
      <c r="J22" s="3684"/>
      <c r="K22" s="3687"/>
      <c r="L22" s="3687"/>
      <c r="M22" s="3684"/>
      <c r="N22" s="3684"/>
      <c r="O22" s="3674"/>
      <c r="P22" s="3674"/>
      <c r="Q22" s="3686"/>
      <c r="R22" s="3718"/>
      <c r="S22" s="3720"/>
      <c r="T22" s="3686"/>
      <c r="U22" s="3724"/>
      <c r="V22" s="452" t="s">
        <v>370</v>
      </c>
      <c r="W22" s="449">
        <f>101838165-10425165</f>
        <v>91413000</v>
      </c>
      <c r="X22" s="436">
        <v>28664000</v>
      </c>
      <c r="Y22" s="450">
        <v>7166000</v>
      </c>
      <c r="Z22" s="447">
        <v>20</v>
      </c>
      <c r="AA22" s="451" t="s">
        <v>371</v>
      </c>
      <c r="AB22" s="3674"/>
      <c r="AC22" s="3674"/>
      <c r="AD22" s="3674"/>
      <c r="AE22" s="3674"/>
      <c r="AF22" s="3690"/>
      <c r="AG22" s="3690"/>
      <c r="AH22" s="3674"/>
      <c r="AI22" s="3690"/>
      <c r="AJ22" s="3674"/>
      <c r="AK22" s="3690"/>
      <c r="AL22" s="3674"/>
      <c r="AM22" s="3690"/>
      <c r="AN22" s="3674"/>
      <c r="AO22" s="3690"/>
      <c r="AP22" s="3674"/>
      <c r="AQ22" s="3690"/>
      <c r="AR22" s="3690"/>
      <c r="AS22" s="3690"/>
      <c r="AT22" s="3690"/>
      <c r="AU22" s="3690"/>
      <c r="AV22" s="3690"/>
      <c r="AW22" s="3690"/>
      <c r="AX22" s="3690"/>
      <c r="AY22" s="3690"/>
      <c r="AZ22" s="3690"/>
      <c r="BA22" s="3690"/>
      <c r="BB22" s="3738"/>
      <c r="BC22" s="3690"/>
      <c r="BD22" s="3690"/>
      <c r="BE22" s="3690"/>
      <c r="BF22" s="3674"/>
      <c r="BG22" s="3674"/>
      <c r="BH22" s="3714"/>
      <c r="BI22" s="3705"/>
      <c r="BJ22" s="3705"/>
      <c r="BK22" s="3732"/>
      <c r="BL22" s="447">
        <v>20</v>
      </c>
      <c r="BM22" s="3735"/>
      <c r="BN22" s="3711"/>
      <c r="BO22" s="3699"/>
      <c r="BP22" s="3711"/>
      <c r="BQ22" s="3711"/>
      <c r="BR22" s="3702"/>
    </row>
    <row r="23" spans="1:70" s="440" customFormat="1" ht="49.5" customHeight="1" x14ac:dyDescent="0.2">
      <c r="A23" s="431"/>
      <c r="B23" s="432"/>
      <c r="C23" s="433"/>
      <c r="D23" s="434"/>
      <c r="E23" s="432"/>
      <c r="F23" s="433"/>
      <c r="G23" s="3674"/>
      <c r="H23" s="3678"/>
      <c r="I23" s="3679"/>
      <c r="J23" s="3682">
        <v>115</v>
      </c>
      <c r="K23" s="3725" t="s">
        <v>372</v>
      </c>
      <c r="L23" s="3685" t="s">
        <v>359</v>
      </c>
      <c r="M23" s="3682">
        <v>34</v>
      </c>
      <c r="N23" s="3682">
        <v>0</v>
      </c>
      <c r="O23" s="3674"/>
      <c r="P23" s="3674"/>
      <c r="Q23" s="3686"/>
      <c r="R23" s="3692">
        <f>(W23+W24+W25+W26)/S19</f>
        <v>0.45757094508939988</v>
      </c>
      <c r="S23" s="3720"/>
      <c r="T23" s="3686"/>
      <c r="U23" s="3725" t="s">
        <v>373</v>
      </c>
      <c r="V23" s="453" t="s">
        <v>374</v>
      </c>
      <c r="W23" s="445">
        <f>867953723*11%-33504910</f>
        <v>61969999.530000001</v>
      </c>
      <c r="X23" s="446">
        <v>13990000</v>
      </c>
      <c r="Y23" s="446">
        <v>2798000</v>
      </c>
      <c r="Z23" s="447">
        <v>39</v>
      </c>
      <c r="AA23" s="451" t="s">
        <v>375</v>
      </c>
      <c r="AB23" s="3674"/>
      <c r="AC23" s="3674"/>
      <c r="AD23" s="3674"/>
      <c r="AE23" s="3674"/>
      <c r="AF23" s="3690"/>
      <c r="AG23" s="3690"/>
      <c r="AH23" s="3674"/>
      <c r="AI23" s="3690"/>
      <c r="AJ23" s="3674"/>
      <c r="AK23" s="3690"/>
      <c r="AL23" s="3674"/>
      <c r="AM23" s="3690"/>
      <c r="AN23" s="3674"/>
      <c r="AO23" s="3690"/>
      <c r="AP23" s="3674"/>
      <c r="AQ23" s="3690"/>
      <c r="AR23" s="3690"/>
      <c r="AS23" s="3690"/>
      <c r="AT23" s="3690"/>
      <c r="AU23" s="3690"/>
      <c r="AV23" s="3690"/>
      <c r="AW23" s="3690"/>
      <c r="AX23" s="3690"/>
      <c r="AY23" s="3690"/>
      <c r="AZ23" s="3690"/>
      <c r="BA23" s="3690"/>
      <c r="BB23" s="3738"/>
      <c r="BC23" s="3690"/>
      <c r="BD23" s="3690"/>
      <c r="BE23" s="3690"/>
      <c r="BF23" s="3674"/>
      <c r="BG23" s="3674"/>
      <c r="BH23" s="3714"/>
      <c r="BI23" s="3705"/>
      <c r="BJ23" s="3705"/>
      <c r="BK23" s="3732"/>
      <c r="BL23" s="447">
        <v>39</v>
      </c>
      <c r="BM23" s="3735"/>
      <c r="BN23" s="3711"/>
      <c r="BO23" s="3699"/>
      <c r="BP23" s="3711"/>
      <c r="BQ23" s="3711"/>
      <c r="BR23" s="3702"/>
    </row>
    <row r="24" spans="1:70" s="440" customFormat="1" ht="63" customHeight="1" x14ac:dyDescent="0.2">
      <c r="A24" s="431"/>
      <c r="B24" s="432"/>
      <c r="C24" s="433"/>
      <c r="D24" s="434"/>
      <c r="E24" s="432"/>
      <c r="F24" s="433"/>
      <c r="G24" s="3674"/>
      <c r="H24" s="3678"/>
      <c r="I24" s="3679"/>
      <c r="J24" s="3683"/>
      <c r="K24" s="3726"/>
      <c r="L24" s="3686"/>
      <c r="M24" s="3683"/>
      <c r="N24" s="3683"/>
      <c r="O24" s="3674"/>
      <c r="P24" s="3674"/>
      <c r="Q24" s="3686"/>
      <c r="R24" s="3693"/>
      <c r="S24" s="3720"/>
      <c r="T24" s="3686"/>
      <c r="U24" s="3726"/>
      <c r="V24" s="454" t="s">
        <v>376</v>
      </c>
      <c r="W24" s="449">
        <f>867953723*4%+33504910+56122942</f>
        <v>124346000.92</v>
      </c>
      <c r="X24" s="436">
        <v>27930000</v>
      </c>
      <c r="Y24" s="436">
        <f>6381000+3583000+2798000</f>
        <v>12762000</v>
      </c>
      <c r="Z24" s="447">
        <v>39</v>
      </c>
      <c r="AA24" s="451" t="s">
        <v>375</v>
      </c>
      <c r="AB24" s="3674"/>
      <c r="AC24" s="3674"/>
      <c r="AD24" s="3674"/>
      <c r="AE24" s="3674"/>
      <c r="AF24" s="3690"/>
      <c r="AG24" s="3690"/>
      <c r="AH24" s="3674"/>
      <c r="AI24" s="3690"/>
      <c r="AJ24" s="3674"/>
      <c r="AK24" s="3690"/>
      <c r="AL24" s="3674"/>
      <c r="AM24" s="3690"/>
      <c r="AN24" s="3674"/>
      <c r="AO24" s="3690"/>
      <c r="AP24" s="3674"/>
      <c r="AQ24" s="3690"/>
      <c r="AR24" s="3690"/>
      <c r="AS24" s="3690"/>
      <c r="AT24" s="3690"/>
      <c r="AU24" s="3690"/>
      <c r="AV24" s="3690"/>
      <c r="AW24" s="3690"/>
      <c r="AX24" s="3690"/>
      <c r="AY24" s="3690"/>
      <c r="AZ24" s="3690"/>
      <c r="BA24" s="3690"/>
      <c r="BB24" s="3738"/>
      <c r="BC24" s="3690"/>
      <c r="BD24" s="3690"/>
      <c r="BE24" s="3690"/>
      <c r="BF24" s="3674"/>
      <c r="BG24" s="3674"/>
      <c r="BH24" s="3714"/>
      <c r="BI24" s="3705"/>
      <c r="BJ24" s="3705"/>
      <c r="BK24" s="3732"/>
      <c r="BL24" s="447">
        <v>39</v>
      </c>
      <c r="BM24" s="3735"/>
      <c r="BN24" s="3711"/>
      <c r="BO24" s="3699"/>
      <c r="BP24" s="3711"/>
      <c r="BQ24" s="3711"/>
      <c r="BR24" s="3702"/>
    </row>
    <row r="25" spans="1:70" s="440" customFormat="1" ht="48" customHeight="1" x14ac:dyDescent="0.2">
      <c r="A25" s="431"/>
      <c r="B25" s="432"/>
      <c r="C25" s="433"/>
      <c r="D25" s="434"/>
      <c r="E25" s="432"/>
      <c r="F25" s="433"/>
      <c r="G25" s="3674"/>
      <c r="H25" s="3678"/>
      <c r="I25" s="3679"/>
      <c r="J25" s="3683"/>
      <c r="K25" s="3726"/>
      <c r="L25" s="3686"/>
      <c r="M25" s="3683"/>
      <c r="N25" s="3683"/>
      <c r="O25" s="3674"/>
      <c r="P25" s="3674"/>
      <c r="Q25" s="3686"/>
      <c r="R25" s="3693"/>
      <c r="S25" s="3720"/>
      <c r="T25" s="3686"/>
      <c r="U25" s="3726"/>
      <c r="V25" s="3728" t="s">
        <v>377</v>
      </c>
      <c r="W25" s="449">
        <f>867953723*85%-56122942</f>
        <v>681637722.54999995</v>
      </c>
      <c r="X25" s="455"/>
      <c r="Y25" s="455"/>
      <c r="Z25" s="447">
        <v>39</v>
      </c>
      <c r="AA25" s="451" t="s">
        <v>375</v>
      </c>
      <c r="AB25" s="3674"/>
      <c r="AC25" s="3674"/>
      <c r="AD25" s="3674"/>
      <c r="AE25" s="3674"/>
      <c r="AF25" s="3690"/>
      <c r="AG25" s="3690"/>
      <c r="AH25" s="3674"/>
      <c r="AI25" s="3690"/>
      <c r="AJ25" s="3674"/>
      <c r="AK25" s="3690"/>
      <c r="AL25" s="3674"/>
      <c r="AM25" s="3690"/>
      <c r="AN25" s="3674"/>
      <c r="AO25" s="3690"/>
      <c r="AP25" s="3674"/>
      <c r="AQ25" s="3690"/>
      <c r="AR25" s="3690"/>
      <c r="AS25" s="3690"/>
      <c r="AT25" s="3690"/>
      <c r="AU25" s="3690"/>
      <c r="AV25" s="3690"/>
      <c r="AW25" s="3690"/>
      <c r="AX25" s="3690"/>
      <c r="AY25" s="3690"/>
      <c r="AZ25" s="3690"/>
      <c r="BA25" s="3690"/>
      <c r="BB25" s="3738"/>
      <c r="BC25" s="3690"/>
      <c r="BD25" s="3690"/>
      <c r="BE25" s="3690"/>
      <c r="BF25" s="3674"/>
      <c r="BG25" s="3674"/>
      <c r="BH25" s="3714"/>
      <c r="BI25" s="3705"/>
      <c r="BJ25" s="3705"/>
      <c r="BK25" s="3732"/>
      <c r="BL25" s="447">
        <v>39</v>
      </c>
      <c r="BM25" s="3735"/>
      <c r="BN25" s="3711"/>
      <c r="BO25" s="3699"/>
      <c r="BP25" s="3711"/>
      <c r="BQ25" s="3711"/>
      <c r="BR25" s="3702"/>
    </row>
    <row r="26" spans="1:70" s="440" customFormat="1" ht="48" customHeight="1" x14ac:dyDescent="0.2">
      <c r="A26" s="431"/>
      <c r="B26" s="432"/>
      <c r="C26" s="433"/>
      <c r="D26" s="434"/>
      <c r="E26" s="432"/>
      <c r="F26" s="433"/>
      <c r="G26" s="3674"/>
      <c r="H26" s="3678"/>
      <c r="I26" s="3679"/>
      <c r="J26" s="3684"/>
      <c r="K26" s="3727"/>
      <c r="L26" s="456"/>
      <c r="M26" s="3684"/>
      <c r="N26" s="3684"/>
      <c r="O26" s="3674"/>
      <c r="P26" s="3674"/>
      <c r="Q26" s="3686"/>
      <c r="R26" s="3694"/>
      <c r="S26" s="3720"/>
      <c r="T26" s="3686"/>
      <c r="U26" s="3727"/>
      <c r="V26" s="3729"/>
      <c r="W26" s="449">
        <f>0+602580100</f>
        <v>602580100</v>
      </c>
      <c r="X26" s="457"/>
      <c r="Y26" s="457"/>
      <c r="Z26" s="447">
        <v>83</v>
      </c>
      <c r="AA26" s="451" t="s">
        <v>378</v>
      </c>
      <c r="AB26" s="3674"/>
      <c r="AC26" s="3674"/>
      <c r="AD26" s="3674"/>
      <c r="AE26" s="3674"/>
      <c r="AF26" s="3690"/>
      <c r="AG26" s="3690"/>
      <c r="AH26" s="3674"/>
      <c r="AI26" s="3690"/>
      <c r="AJ26" s="3674"/>
      <c r="AK26" s="3690"/>
      <c r="AL26" s="3674"/>
      <c r="AM26" s="3690"/>
      <c r="AN26" s="3674"/>
      <c r="AO26" s="3690"/>
      <c r="AP26" s="3674"/>
      <c r="AQ26" s="3690"/>
      <c r="AR26" s="3690"/>
      <c r="AS26" s="3690"/>
      <c r="AT26" s="3690"/>
      <c r="AU26" s="3690"/>
      <c r="AV26" s="3690"/>
      <c r="AW26" s="3690"/>
      <c r="AX26" s="3690"/>
      <c r="AY26" s="3690"/>
      <c r="AZ26" s="3690"/>
      <c r="BA26" s="3690"/>
      <c r="BB26" s="3738"/>
      <c r="BC26" s="3690"/>
      <c r="BD26" s="3690"/>
      <c r="BE26" s="3690"/>
      <c r="BF26" s="3674"/>
      <c r="BG26" s="3674"/>
      <c r="BH26" s="3714"/>
      <c r="BI26" s="3705"/>
      <c r="BJ26" s="3705"/>
      <c r="BK26" s="3732"/>
      <c r="BL26" s="447">
        <v>83</v>
      </c>
      <c r="BM26" s="3735"/>
      <c r="BN26" s="3711"/>
      <c r="BO26" s="3699"/>
      <c r="BP26" s="3711"/>
      <c r="BQ26" s="3711"/>
      <c r="BR26" s="3702"/>
    </row>
    <row r="27" spans="1:70" s="440" customFormat="1" ht="30.75" customHeight="1" x14ac:dyDescent="0.2">
      <c r="A27" s="431"/>
      <c r="B27" s="432"/>
      <c r="C27" s="433"/>
      <c r="D27" s="434"/>
      <c r="E27" s="432"/>
      <c r="F27" s="433"/>
      <c r="G27" s="3674"/>
      <c r="H27" s="3678"/>
      <c r="I27" s="3679"/>
      <c r="J27" s="3682">
        <v>116</v>
      </c>
      <c r="K27" s="3722" t="s">
        <v>379</v>
      </c>
      <c r="L27" s="3740" t="s">
        <v>359</v>
      </c>
      <c r="M27" s="3682">
        <v>10</v>
      </c>
      <c r="N27" s="3682">
        <v>0</v>
      </c>
      <c r="O27" s="3674"/>
      <c r="P27" s="3674"/>
      <c r="Q27" s="3686"/>
      <c r="R27" s="3692">
        <f>(W27+W28+W30+W29)/S19</f>
        <v>7.5053359502968223E-2</v>
      </c>
      <c r="S27" s="3720"/>
      <c r="T27" s="3686"/>
      <c r="U27" s="3722" t="s">
        <v>380</v>
      </c>
      <c r="V27" s="458" t="s">
        <v>374</v>
      </c>
      <c r="W27" s="445">
        <f>13887260+34480740</f>
        <v>48368000</v>
      </c>
      <c r="X27" s="446">
        <v>26870000</v>
      </c>
      <c r="Y27" s="446">
        <v>10748000</v>
      </c>
      <c r="Z27" s="447">
        <v>41</v>
      </c>
      <c r="AA27" s="451" t="s">
        <v>381</v>
      </c>
      <c r="AB27" s="3674"/>
      <c r="AC27" s="3674"/>
      <c r="AD27" s="3674"/>
      <c r="AE27" s="3674"/>
      <c r="AF27" s="3690"/>
      <c r="AG27" s="3690"/>
      <c r="AH27" s="3674"/>
      <c r="AI27" s="3690"/>
      <c r="AJ27" s="3674"/>
      <c r="AK27" s="3690"/>
      <c r="AL27" s="3674"/>
      <c r="AM27" s="3690"/>
      <c r="AN27" s="3674"/>
      <c r="AO27" s="3690"/>
      <c r="AP27" s="3674"/>
      <c r="AQ27" s="3690"/>
      <c r="AR27" s="3690"/>
      <c r="AS27" s="3690"/>
      <c r="AT27" s="3690"/>
      <c r="AU27" s="3690"/>
      <c r="AV27" s="3690"/>
      <c r="AW27" s="3690"/>
      <c r="AX27" s="3690"/>
      <c r="AY27" s="3690"/>
      <c r="AZ27" s="3690"/>
      <c r="BA27" s="3690"/>
      <c r="BB27" s="3738"/>
      <c r="BC27" s="3690"/>
      <c r="BD27" s="3690"/>
      <c r="BE27" s="3690"/>
      <c r="BF27" s="3674"/>
      <c r="BG27" s="3674"/>
      <c r="BH27" s="3714"/>
      <c r="BI27" s="3705"/>
      <c r="BJ27" s="3705"/>
      <c r="BK27" s="3732"/>
      <c r="BL27" s="447">
        <v>41</v>
      </c>
      <c r="BM27" s="3735"/>
      <c r="BN27" s="3711"/>
      <c r="BO27" s="3699"/>
      <c r="BP27" s="3711"/>
      <c r="BQ27" s="3711"/>
      <c r="BR27" s="3702"/>
    </row>
    <row r="28" spans="1:70" s="440" customFormat="1" ht="32.25" customHeight="1" x14ac:dyDescent="0.2">
      <c r="A28" s="431"/>
      <c r="B28" s="432"/>
      <c r="C28" s="433"/>
      <c r="D28" s="434"/>
      <c r="E28" s="432"/>
      <c r="F28" s="433"/>
      <c r="G28" s="3674"/>
      <c r="H28" s="3678"/>
      <c r="I28" s="3679"/>
      <c r="J28" s="3683"/>
      <c r="K28" s="3723"/>
      <c r="L28" s="3740"/>
      <c r="M28" s="3683"/>
      <c r="N28" s="3683"/>
      <c r="O28" s="3674"/>
      <c r="P28" s="3674"/>
      <c r="Q28" s="3686"/>
      <c r="R28" s="3693"/>
      <c r="S28" s="3720"/>
      <c r="T28" s="3686"/>
      <c r="U28" s="3723"/>
      <c r="V28" s="459" t="s">
        <v>382</v>
      </c>
      <c r="W28" s="449">
        <f>36454056-19454056</f>
        <v>17000000</v>
      </c>
      <c r="X28" s="436"/>
      <c r="Y28" s="436"/>
      <c r="Z28" s="447">
        <v>41</v>
      </c>
      <c r="AA28" s="451" t="s">
        <v>381</v>
      </c>
      <c r="AB28" s="3674"/>
      <c r="AC28" s="3674"/>
      <c r="AD28" s="3674"/>
      <c r="AE28" s="3674"/>
      <c r="AF28" s="3690"/>
      <c r="AG28" s="3690"/>
      <c r="AH28" s="3674"/>
      <c r="AI28" s="3690"/>
      <c r="AJ28" s="3674"/>
      <c r="AK28" s="3690"/>
      <c r="AL28" s="3674"/>
      <c r="AM28" s="3690"/>
      <c r="AN28" s="3674"/>
      <c r="AO28" s="3690"/>
      <c r="AP28" s="3674"/>
      <c r="AQ28" s="3690"/>
      <c r="AR28" s="3690"/>
      <c r="AS28" s="3690"/>
      <c r="AT28" s="3690"/>
      <c r="AU28" s="3690"/>
      <c r="AV28" s="3690"/>
      <c r="AW28" s="3690"/>
      <c r="AX28" s="3690"/>
      <c r="AY28" s="3690"/>
      <c r="AZ28" s="3690"/>
      <c r="BA28" s="3690"/>
      <c r="BB28" s="3738"/>
      <c r="BC28" s="3690"/>
      <c r="BD28" s="3690"/>
      <c r="BE28" s="3690"/>
      <c r="BF28" s="3674"/>
      <c r="BG28" s="3674"/>
      <c r="BH28" s="3714"/>
      <c r="BI28" s="3705"/>
      <c r="BJ28" s="3705"/>
      <c r="BK28" s="3732"/>
      <c r="BL28" s="447">
        <v>41</v>
      </c>
      <c r="BM28" s="3735"/>
      <c r="BN28" s="3711"/>
      <c r="BO28" s="3699"/>
      <c r="BP28" s="3711"/>
      <c r="BQ28" s="3711"/>
      <c r="BR28" s="3702"/>
    </row>
    <row r="29" spans="1:70" s="440" customFormat="1" ht="32.25" customHeight="1" x14ac:dyDescent="0.2">
      <c r="A29" s="431"/>
      <c r="B29" s="432"/>
      <c r="C29" s="433"/>
      <c r="D29" s="434"/>
      <c r="E29" s="432"/>
      <c r="F29" s="433"/>
      <c r="G29" s="3674"/>
      <c r="H29" s="3678"/>
      <c r="I29" s="3679"/>
      <c r="J29" s="3683"/>
      <c r="K29" s="3723"/>
      <c r="L29" s="3740"/>
      <c r="M29" s="3683"/>
      <c r="N29" s="3683"/>
      <c r="O29" s="3674"/>
      <c r="P29" s="3674"/>
      <c r="Q29" s="3686"/>
      <c r="R29" s="3693"/>
      <c r="S29" s="3720"/>
      <c r="T29" s="3686"/>
      <c r="U29" s="3723"/>
      <c r="V29" s="3728" t="s">
        <v>377</v>
      </c>
      <c r="W29" s="449">
        <f>123249428-15026684</f>
        <v>108222744</v>
      </c>
      <c r="X29" s="455"/>
      <c r="Y29" s="455"/>
      <c r="Z29" s="447">
        <v>41</v>
      </c>
      <c r="AA29" s="451" t="s">
        <v>383</v>
      </c>
      <c r="AB29" s="3674"/>
      <c r="AC29" s="3674"/>
      <c r="AD29" s="3674"/>
      <c r="AE29" s="3674"/>
      <c r="AF29" s="3690"/>
      <c r="AG29" s="3690"/>
      <c r="AH29" s="3674"/>
      <c r="AI29" s="3690"/>
      <c r="AJ29" s="3674"/>
      <c r="AK29" s="3690"/>
      <c r="AL29" s="3674"/>
      <c r="AM29" s="3690"/>
      <c r="AN29" s="3674"/>
      <c r="AO29" s="3690"/>
      <c r="AP29" s="3674"/>
      <c r="AQ29" s="3690"/>
      <c r="AR29" s="3690"/>
      <c r="AS29" s="3690"/>
      <c r="AT29" s="3690"/>
      <c r="AU29" s="3690"/>
      <c r="AV29" s="3690"/>
      <c r="AW29" s="3690"/>
      <c r="AX29" s="3690"/>
      <c r="AY29" s="3690"/>
      <c r="AZ29" s="3690"/>
      <c r="BA29" s="3690"/>
      <c r="BB29" s="3738"/>
      <c r="BC29" s="3690"/>
      <c r="BD29" s="3690"/>
      <c r="BE29" s="3690"/>
      <c r="BF29" s="3674"/>
      <c r="BG29" s="3674"/>
      <c r="BH29" s="3714"/>
      <c r="BI29" s="3705"/>
      <c r="BJ29" s="3705"/>
      <c r="BK29" s="3732"/>
      <c r="BL29" s="447">
        <v>41</v>
      </c>
      <c r="BM29" s="3735"/>
      <c r="BN29" s="3711"/>
      <c r="BO29" s="3699"/>
      <c r="BP29" s="3711"/>
      <c r="BQ29" s="3711"/>
      <c r="BR29" s="3702"/>
    </row>
    <row r="30" spans="1:70" s="440" customFormat="1" ht="40.5" customHeight="1" x14ac:dyDescent="0.2">
      <c r="A30" s="431"/>
      <c r="B30" s="432"/>
      <c r="C30" s="433"/>
      <c r="D30" s="434"/>
      <c r="E30" s="432"/>
      <c r="F30" s="433"/>
      <c r="G30" s="3675"/>
      <c r="H30" s="3680"/>
      <c r="I30" s="3681"/>
      <c r="J30" s="3684"/>
      <c r="K30" s="3724"/>
      <c r="L30" s="3740"/>
      <c r="M30" s="3684"/>
      <c r="N30" s="3684"/>
      <c r="O30" s="3675"/>
      <c r="P30" s="3675"/>
      <c r="Q30" s="3687"/>
      <c r="R30" s="3694"/>
      <c r="S30" s="3721"/>
      <c r="T30" s="3687"/>
      <c r="U30" s="3724"/>
      <c r="V30" s="3729"/>
      <c r="W30" s="449">
        <f>0+67614483</f>
        <v>67614483</v>
      </c>
      <c r="X30" s="455"/>
      <c r="Y30" s="455"/>
      <c r="Z30" s="447">
        <v>83</v>
      </c>
      <c r="AA30" s="460" t="s">
        <v>378</v>
      </c>
      <c r="AB30" s="3675"/>
      <c r="AC30" s="3675"/>
      <c r="AD30" s="3675"/>
      <c r="AE30" s="3675"/>
      <c r="AF30" s="3691"/>
      <c r="AG30" s="3691"/>
      <c r="AH30" s="3675"/>
      <c r="AI30" s="3691"/>
      <c r="AJ30" s="3675"/>
      <c r="AK30" s="3691"/>
      <c r="AL30" s="3675"/>
      <c r="AM30" s="3691"/>
      <c r="AN30" s="3675"/>
      <c r="AO30" s="3691"/>
      <c r="AP30" s="3675"/>
      <c r="AQ30" s="3691"/>
      <c r="AR30" s="3691"/>
      <c r="AS30" s="3691"/>
      <c r="AT30" s="3691"/>
      <c r="AU30" s="3691"/>
      <c r="AV30" s="3691"/>
      <c r="AW30" s="3691"/>
      <c r="AX30" s="3691"/>
      <c r="AY30" s="3691"/>
      <c r="AZ30" s="3691"/>
      <c r="BA30" s="3691"/>
      <c r="BB30" s="3739"/>
      <c r="BC30" s="3691"/>
      <c r="BD30" s="3691"/>
      <c r="BE30" s="3691"/>
      <c r="BF30" s="3675"/>
      <c r="BG30" s="3675"/>
      <c r="BH30" s="3715"/>
      <c r="BI30" s="3706"/>
      <c r="BJ30" s="3706"/>
      <c r="BK30" s="3733"/>
      <c r="BL30" s="447">
        <v>83</v>
      </c>
      <c r="BM30" s="3736"/>
      <c r="BN30" s="3712"/>
      <c r="BO30" s="3700"/>
      <c r="BP30" s="3712"/>
      <c r="BQ30" s="3712"/>
      <c r="BR30" s="3730"/>
    </row>
    <row r="31" spans="1:70" s="472" customFormat="1" ht="15" customHeight="1" x14ac:dyDescent="0.2">
      <c r="A31" s="431"/>
      <c r="B31" s="432"/>
      <c r="C31" s="433"/>
      <c r="D31" s="434"/>
      <c r="E31" s="432"/>
      <c r="F31" s="433"/>
      <c r="G31" s="461">
        <v>30</v>
      </c>
      <c r="H31" s="3741" t="s">
        <v>384</v>
      </c>
      <c r="I31" s="3742"/>
      <c r="J31" s="3742"/>
      <c r="K31" s="3742"/>
      <c r="L31" s="462"/>
      <c r="M31" s="463"/>
      <c r="N31" s="463"/>
      <c r="O31" s="464"/>
      <c r="P31" s="463"/>
      <c r="Q31" s="462"/>
      <c r="R31" s="463"/>
      <c r="S31" s="465"/>
      <c r="T31" s="462"/>
      <c r="U31" s="462"/>
      <c r="V31" s="462"/>
      <c r="W31" s="462"/>
      <c r="X31" s="466"/>
      <c r="Y31" s="467"/>
      <c r="Z31" s="468"/>
      <c r="AA31" s="464"/>
      <c r="AB31" s="463"/>
      <c r="AC31" s="463"/>
      <c r="AD31" s="463"/>
      <c r="AE31" s="463"/>
      <c r="AF31" s="463"/>
      <c r="AG31" s="463"/>
      <c r="AH31" s="463"/>
      <c r="AI31" s="463"/>
      <c r="AJ31" s="463"/>
      <c r="AK31" s="463"/>
      <c r="AL31" s="463"/>
      <c r="AM31" s="463"/>
      <c r="AN31" s="463"/>
      <c r="AO31" s="463"/>
      <c r="AP31" s="463"/>
      <c r="AQ31" s="463"/>
      <c r="AR31" s="463"/>
      <c r="AS31" s="463"/>
      <c r="AT31" s="463"/>
      <c r="AU31" s="463"/>
      <c r="AV31" s="463"/>
      <c r="AW31" s="463"/>
      <c r="AX31" s="463"/>
      <c r="AY31" s="463"/>
      <c r="AZ31" s="463"/>
      <c r="BA31" s="463"/>
      <c r="BB31" s="463"/>
      <c r="BC31" s="463"/>
      <c r="BD31" s="463"/>
      <c r="BE31" s="463"/>
      <c r="BF31" s="463"/>
      <c r="BG31" s="463"/>
      <c r="BH31" s="468"/>
      <c r="BI31" s="465"/>
      <c r="BJ31" s="469"/>
      <c r="BK31" s="463"/>
      <c r="BL31" s="470"/>
      <c r="BM31" s="463"/>
      <c r="BN31" s="463"/>
      <c r="BO31" s="463"/>
      <c r="BP31" s="463"/>
      <c r="BQ31" s="463"/>
      <c r="BR31" s="471"/>
    </row>
    <row r="32" spans="1:70" s="440" customFormat="1" ht="63.75" customHeight="1" x14ac:dyDescent="0.2">
      <c r="A32" s="431"/>
      <c r="B32" s="432"/>
      <c r="C32" s="433"/>
      <c r="D32" s="434"/>
      <c r="E32" s="432"/>
      <c r="F32" s="433"/>
      <c r="G32" s="473"/>
      <c r="H32" s="3676"/>
      <c r="I32" s="3677"/>
      <c r="J32" s="3682">
        <v>117</v>
      </c>
      <c r="K32" s="3685" t="s">
        <v>385</v>
      </c>
      <c r="L32" s="3685" t="s">
        <v>359</v>
      </c>
      <c r="M32" s="3682">
        <v>1</v>
      </c>
      <c r="N32" s="3682">
        <v>0</v>
      </c>
      <c r="O32" s="3673" t="s">
        <v>386</v>
      </c>
      <c r="P32" s="3673" t="s">
        <v>387</v>
      </c>
      <c r="Q32" s="3685" t="s">
        <v>388</v>
      </c>
      <c r="R32" s="3716">
        <f>(W32+W33)/S32</f>
        <v>1</v>
      </c>
      <c r="S32" s="3704">
        <f>+W32+W33</f>
        <v>79500000</v>
      </c>
      <c r="T32" s="3685" t="s">
        <v>389</v>
      </c>
      <c r="U32" s="3685" t="s">
        <v>390</v>
      </c>
      <c r="V32" s="444" t="s">
        <v>391</v>
      </c>
      <c r="W32" s="474">
        <v>75525000</v>
      </c>
      <c r="X32" s="475"/>
      <c r="Y32" s="475"/>
      <c r="Z32" s="447">
        <v>20</v>
      </c>
      <c r="AA32" s="438" t="s">
        <v>371</v>
      </c>
      <c r="AB32" s="3673">
        <v>75</v>
      </c>
      <c r="AC32" s="3673"/>
      <c r="AD32" s="3673">
        <v>75</v>
      </c>
      <c r="AE32" s="3673"/>
      <c r="AF32" s="3689"/>
      <c r="AG32" s="3689"/>
      <c r="AH32" s="3689"/>
      <c r="AI32" s="3689"/>
      <c r="AJ32" s="3689">
        <v>150</v>
      </c>
      <c r="AK32" s="3689"/>
      <c r="AL32" s="3689"/>
      <c r="AM32" s="3689"/>
      <c r="AN32" s="3689"/>
      <c r="AO32" s="3689"/>
      <c r="AP32" s="3689"/>
      <c r="AQ32" s="3689"/>
      <c r="AR32" s="3689"/>
      <c r="AS32" s="3689"/>
      <c r="AT32" s="3689"/>
      <c r="AU32" s="3689"/>
      <c r="AV32" s="3689"/>
      <c r="AW32" s="3689"/>
      <c r="AX32" s="3689"/>
      <c r="AY32" s="3689"/>
      <c r="AZ32" s="3689"/>
      <c r="BA32" s="3689"/>
      <c r="BB32" s="3689"/>
      <c r="BC32" s="3689"/>
      <c r="BD32" s="3689"/>
      <c r="BE32" s="3689"/>
      <c r="BF32" s="3689">
        <v>150</v>
      </c>
      <c r="BG32" s="3689"/>
      <c r="BH32" s="3713">
        <v>4</v>
      </c>
      <c r="BI32" s="3704">
        <f>SUM(X32:X33)</f>
        <v>3975000</v>
      </c>
      <c r="BJ32" s="3704">
        <f>Y32+Y33</f>
        <v>0</v>
      </c>
      <c r="BK32" s="3731">
        <f>BJ32/BI32</f>
        <v>0</v>
      </c>
      <c r="BL32" s="3743">
        <v>20</v>
      </c>
      <c r="BM32" s="3734" t="s">
        <v>392</v>
      </c>
      <c r="BN32" s="3710">
        <v>43466</v>
      </c>
      <c r="BO32" s="3710">
        <v>43480</v>
      </c>
      <c r="BP32" s="3710">
        <v>43830</v>
      </c>
      <c r="BQ32" s="3710">
        <v>43792</v>
      </c>
      <c r="BR32" s="3701" t="s">
        <v>355</v>
      </c>
    </row>
    <row r="33" spans="1:70" s="440" customFormat="1" ht="67.5" customHeight="1" x14ac:dyDescent="0.2">
      <c r="A33" s="431"/>
      <c r="B33" s="432"/>
      <c r="C33" s="433"/>
      <c r="D33" s="434"/>
      <c r="E33" s="432"/>
      <c r="F33" s="433"/>
      <c r="G33" s="473"/>
      <c r="H33" s="3680"/>
      <c r="I33" s="3681"/>
      <c r="J33" s="3684"/>
      <c r="K33" s="3687"/>
      <c r="L33" s="3687"/>
      <c r="M33" s="3684"/>
      <c r="N33" s="3684"/>
      <c r="O33" s="3675"/>
      <c r="P33" s="3675"/>
      <c r="Q33" s="3687"/>
      <c r="R33" s="3718"/>
      <c r="S33" s="3706"/>
      <c r="T33" s="3687"/>
      <c r="U33" s="3687"/>
      <c r="V33" s="476" t="s">
        <v>393</v>
      </c>
      <c r="W33" s="474">
        <v>3975000</v>
      </c>
      <c r="X33" s="436">
        <v>3975000</v>
      </c>
      <c r="Y33" s="436">
        <v>0</v>
      </c>
      <c r="Z33" s="447">
        <v>20</v>
      </c>
      <c r="AA33" s="438" t="s">
        <v>371</v>
      </c>
      <c r="AB33" s="3675"/>
      <c r="AC33" s="3675"/>
      <c r="AD33" s="3675"/>
      <c r="AE33" s="3675"/>
      <c r="AF33" s="3691"/>
      <c r="AG33" s="3691"/>
      <c r="AH33" s="3691"/>
      <c r="AI33" s="3691"/>
      <c r="AJ33" s="3691"/>
      <c r="AK33" s="3691"/>
      <c r="AL33" s="3691"/>
      <c r="AM33" s="3691"/>
      <c r="AN33" s="3691"/>
      <c r="AO33" s="3691"/>
      <c r="AP33" s="3691"/>
      <c r="AQ33" s="3691"/>
      <c r="AR33" s="3691"/>
      <c r="AS33" s="3691"/>
      <c r="AT33" s="3691"/>
      <c r="AU33" s="3691"/>
      <c r="AV33" s="3691"/>
      <c r="AW33" s="3691"/>
      <c r="AX33" s="3691"/>
      <c r="AY33" s="3691"/>
      <c r="AZ33" s="3691"/>
      <c r="BA33" s="3691"/>
      <c r="BB33" s="3691"/>
      <c r="BC33" s="3691"/>
      <c r="BD33" s="3691"/>
      <c r="BE33" s="3691"/>
      <c r="BF33" s="3691"/>
      <c r="BG33" s="3691"/>
      <c r="BH33" s="3715"/>
      <c r="BI33" s="3706"/>
      <c r="BJ33" s="3706"/>
      <c r="BK33" s="3733"/>
      <c r="BL33" s="3743"/>
      <c r="BM33" s="3736"/>
      <c r="BN33" s="3712"/>
      <c r="BO33" s="3700"/>
      <c r="BP33" s="3712"/>
      <c r="BQ33" s="3700"/>
      <c r="BR33" s="3730"/>
    </row>
    <row r="34" spans="1:70" s="472" customFormat="1" ht="22.5" customHeight="1" x14ac:dyDescent="0.2">
      <c r="A34" s="431"/>
      <c r="B34" s="432"/>
      <c r="C34" s="433"/>
      <c r="D34" s="434"/>
      <c r="E34" s="432"/>
      <c r="F34" s="433"/>
      <c r="G34" s="461">
        <v>31</v>
      </c>
      <c r="H34" s="3741" t="s">
        <v>394</v>
      </c>
      <c r="I34" s="3742"/>
      <c r="J34" s="3742"/>
      <c r="K34" s="3742"/>
      <c r="L34" s="462"/>
      <c r="M34" s="463"/>
      <c r="N34" s="463"/>
      <c r="O34" s="464"/>
      <c r="P34" s="463"/>
      <c r="Q34" s="462"/>
      <c r="R34" s="463"/>
      <c r="S34" s="465"/>
      <c r="T34" s="462"/>
      <c r="U34" s="462"/>
      <c r="V34" s="462"/>
      <c r="W34" s="462"/>
      <c r="X34" s="466"/>
      <c r="Y34" s="467"/>
      <c r="Z34" s="468"/>
      <c r="AA34" s="464"/>
      <c r="AB34" s="463"/>
      <c r="AC34" s="463"/>
      <c r="AD34" s="463"/>
      <c r="AE34" s="463"/>
      <c r="AF34" s="463"/>
      <c r="AG34" s="463"/>
      <c r="AH34" s="463"/>
      <c r="AI34" s="463"/>
      <c r="AJ34" s="463"/>
      <c r="AK34" s="463"/>
      <c r="AL34" s="463"/>
      <c r="AM34" s="463"/>
      <c r="AN34" s="463"/>
      <c r="AO34" s="463"/>
      <c r="AP34" s="463"/>
      <c r="AQ34" s="463"/>
      <c r="AR34" s="463"/>
      <c r="AS34" s="463"/>
      <c r="AT34" s="463"/>
      <c r="AU34" s="463"/>
      <c r="AV34" s="463"/>
      <c r="AW34" s="463"/>
      <c r="AX34" s="463"/>
      <c r="AY34" s="463"/>
      <c r="AZ34" s="463"/>
      <c r="BA34" s="463"/>
      <c r="BB34" s="463"/>
      <c r="BC34" s="463"/>
      <c r="BD34" s="463"/>
      <c r="BE34" s="463"/>
      <c r="BF34" s="463"/>
      <c r="BG34" s="463"/>
      <c r="BH34" s="463"/>
      <c r="BI34" s="465"/>
      <c r="BJ34" s="465"/>
      <c r="BK34" s="463"/>
      <c r="BL34" s="463"/>
      <c r="BM34" s="463"/>
      <c r="BN34" s="463"/>
      <c r="BO34" s="463"/>
      <c r="BP34" s="463"/>
      <c r="BQ34" s="463"/>
      <c r="BR34" s="471"/>
    </row>
    <row r="35" spans="1:70" s="440" customFormat="1" ht="71.25" customHeight="1" x14ac:dyDescent="0.2">
      <c r="A35" s="431"/>
      <c r="B35" s="432"/>
      <c r="C35" s="433"/>
      <c r="D35" s="434"/>
      <c r="E35" s="432"/>
      <c r="F35" s="433"/>
      <c r="G35" s="473"/>
      <c r="H35" s="3676"/>
      <c r="I35" s="3677"/>
      <c r="J35" s="3682">
        <v>118</v>
      </c>
      <c r="K35" s="3722" t="s">
        <v>395</v>
      </c>
      <c r="L35" s="3685" t="s">
        <v>359</v>
      </c>
      <c r="M35" s="3682">
        <v>4</v>
      </c>
      <c r="N35" s="3682">
        <v>2</v>
      </c>
      <c r="O35" s="3673" t="s">
        <v>396</v>
      </c>
      <c r="P35" s="3673" t="s">
        <v>397</v>
      </c>
      <c r="Q35" s="3722" t="s">
        <v>398</v>
      </c>
      <c r="R35" s="3716">
        <f>S35/S35</f>
        <v>1</v>
      </c>
      <c r="S35" s="3704">
        <f>SUM(W35:W41)</f>
        <v>245423575</v>
      </c>
      <c r="T35" s="3685" t="s">
        <v>399</v>
      </c>
      <c r="U35" s="3722" t="s">
        <v>400</v>
      </c>
      <c r="V35" s="458" t="s">
        <v>401</v>
      </c>
      <c r="W35" s="474">
        <f>21698843-2698843</f>
        <v>19000000</v>
      </c>
      <c r="X35" s="450"/>
      <c r="Y35" s="450"/>
      <c r="Z35" s="447">
        <v>34</v>
      </c>
      <c r="AA35" s="438" t="s">
        <v>402</v>
      </c>
      <c r="AB35" s="3689">
        <v>50476</v>
      </c>
      <c r="AC35" s="3673">
        <v>132</v>
      </c>
      <c r="AD35" s="3689">
        <v>50476</v>
      </c>
      <c r="AE35" s="3673">
        <v>121</v>
      </c>
      <c r="AF35" s="3689">
        <v>42400</v>
      </c>
      <c r="AG35" s="3689">
        <v>96</v>
      </c>
      <c r="AH35" s="3689">
        <v>30286</v>
      </c>
      <c r="AI35" s="3689">
        <v>23</v>
      </c>
      <c r="AJ35" s="3689">
        <v>18171</v>
      </c>
      <c r="AK35" s="3689">
        <v>129</v>
      </c>
      <c r="AL35" s="3689">
        <v>10095</v>
      </c>
      <c r="AM35" s="3689">
        <v>5</v>
      </c>
      <c r="AN35" s="3689"/>
      <c r="AO35" s="3689"/>
      <c r="AP35" s="3737"/>
      <c r="AQ35" s="3737"/>
      <c r="AR35" s="3689"/>
      <c r="AS35" s="3689"/>
      <c r="AT35" s="3689"/>
      <c r="AU35" s="3689"/>
      <c r="AV35" s="3689"/>
      <c r="AW35" s="3689"/>
      <c r="AX35" s="3689"/>
      <c r="AY35" s="3689"/>
      <c r="AZ35" s="3737"/>
      <c r="BA35" s="3737"/>
      <c r="BB35" s="3737"/>
      <c r="BC35" s="3737">
        <v>46</v>
      </c>
      <c r="BD35" s="3689"/>
      <c r="BE35" s="3689"/>
      <c r="BF35" s="3689">
        <f>+AB35+AD35</f>
        <v>100952</v>
      </c>
      <c r="BG35" s="3689">
        <f>AG35+AI35+AK35+AM35</f>
        <v>253</v>
      </c>
      <c r="BH35" s="3713">
        <v>4</v>
      </c>
      <c r="BI35" s="3704">
        <f>SUM(X35:X41)</f>
        <v>44780000</v>
      </c>
      <c r="BJ35" s="3704">
        <f>SUM(Y35:Y41)</f>
        <v>12316000</v>
      </c>
      <c r="BK35" s="3746">
        <f>BJ35/BI35</f>
        <v>0.27503349709691827</v>
      </c>
      <c r="BL35" s="447">
        <v>34</v>
      </c>
      <c r="BM35" s="3673" t="s">
        <v>403</v>
      </c>
      <c r="BN35" s="3710">
        <v>43466</v>
      </c>
      <c r="BO35" s="3710">
        <v>43493</v>
      </c>
      <c r="BP35" s="3710">
        <v>43830</v>
      </c>
      <c r="BQ35" s="3710">
        <v>43649</v>
      </c>
      <c r="BR35" s="3673" t="s">
        <v>355</v>
      </c>
    </row>
    <row r="36" spans="1:70" s="440" customFormat="1" ht="60" customHeight="1" x14ac:dyDescent="0.2">
      <c r="A36" s="431"/>
      <c r="B36" s="432"/>
      <c r="C36" s="433"/>
      <c r="D36" s="434"/>
      <c r="E36" s="432"/>
      <c r="F36" s="433"/>
      <c r="G36" s="473"/>
      <c r="H36" s="3678"/>
      <c r="I36" s="3679"/>
      <c r="J36" s="3683"/>
      <c r="K36" s="3723"/>
      <c r="L36" s="3686"/>
      <c r="M36" s="3683"/>
      <c r="N36" s="3683"/>
      <c r="O36" s="3674"/>
      <c r="P36" s="3674"/>
      <c r="Q36" s="3723"/>
      <c r="R36" s="3717"/>
      <c r="S36" s="3705"/>
      <c r="T36" s="3686"/>
      <c r="U36" s="3723"/>
      <c r="V36" s="458" t="s">
        <v>404</v>
      </c>
      <c r="W36" s="474">
        <f>11283398-1283398</f>
        <v>10000000</v>
      </c>
      <c r="X36" s="436"/>
      <c r="Y36" s="436"/>
      <c r="Z36" s="447">
        <v>34</v>
      </c>
      <c r="AA36" s="438" t="s">
        <v>402</v>
      </c>
      <c r="AB36" s="3690"/>
      <c r="AC36" s="3674"/>
      <c r="AD36" s="3690"/>
      <c r="AE36" s="3674"/>
      <c r="AF36" s="3690"/>
      <c r="AG36" s="3690"/>
      <c r="AH36" s="3690"/>
      <c r="AI36" s="3690"/>
      <c r="AJ36" s="3690"/>
      <c r="AK36" s="3690"/>
      <c r="AL36" s="3690"/>
      <c r="AM36" s="3690"/>
      <c r="AN36" s="3690"/>
      <c r="AO36" s="3690"/>
      <c r="AP36" s="3738"/>
      <c r="AQ36" s="3738"/>
      <c r="AR36" s="3690"/>
      <c r="AS36" s="3690"/>
      <c r="AT36" s="3690"/>
      <c r="AU36" s="3690"/>
      <c r="AV36" s="3690"/>
      <c r="AW36" s="3690"/>
      <c r="AX36" s="3690"/>
      <c r="AY36" s="3690"/>
      <c r="AZ36" s="3738"/>
      <c r="BA36" s="3738"/>
      <c r="BB36" s="3738"/>
      <c r="BC36" s="3738"/>
      <c r="BD36" s="3690"/>
      <c r="BE36" s="3690"/>
      <c r="BF36" s="3690"/>
      <c r="BG36" s="3690"/>
      <c r="BH36" s="3714"/>
      <c r="BI36" s="3705"/>
      <c r="BJ36" s="3705"/>
      <c r="BK36" s="3747"/>
      <c r="BL36" s="447">
        <v>34</v>
      </c>
      <c r="BM36" s="3674"/>
      <c r="BN36" s="3711"/>
      <c r="BO36" s="3699"/>
      <c r="BP36" s="3711"/>
      <c r="BQ36" s="3699"/>
      <c r="BR36" s="3674"/>
    </row>
    <row r="37" spans="1:70" s="440" customFormat="1" ht="54.75" customHeight="1" x14ac:dyDescent="0.2">
      <c r="A37" s="431"/>
      <c r="B37" s="432"/>
      <c r="C37" s="433"/>
      <c r="D37" s="434"/>
      <c r="E37" s="432"/>
      <c r="F37" s="433"/>
      <c r="G37" s="473"/>
      <c r="H37" s="3678"/>
      <c r="I37" s="3679"/>
      <c r="J37" s="3683"/>
      <c r="K37" s="3723"/>
      <c r="L37" s="3686"/>
      <c r="M37" s="3683"/>
      <c r="N37" s="3683"/>
      <c r="O37" s="3674"/>
      <c r="P37" s="3674"/>
      <c r="Q37" s="3723"/>
      <c r="R37" s="3717"/>
      <c r="S37" s="3705"/>
      <c r="T37" s="3686"/>
      <c r="U37" s="3723"/>
      <c r="V37" s="458" t="s">
        <v>405</v>
      </c>
      <c r="W37" s="474">
        <f>21698843-7698843</f>
        <v>14000000</v>
      </c>
      <c r="X37" s="436"/>
      <c r="Y37" s="450"/>
      <c r="Z37" s="447">
        <v>34</v>
      </c>
      <c r="AA37" s="438" t="s">
        <v>402</v>
      </c>
      <c r="AB37" s="3690"/>
      <c r="AC37" s="3674"/>
      <c r="AD37" s="3690"/>
      <c r="AE37" s="3674"/>
      <c r="AF37" s="3690"/>
      <c r="AG37" s="3690"/>
      <c r="AH37" s="3690"/>
      <c r="AI37" s="3690"/>
      <c r="AJ37" s="3690"/>
      <c r="AK37" s="3690"/>
      <c r="AL37" s="3690"/>
      <c r="AM37" s="3690"/>
      <c r="AN37" s="3690"/>
      <c r="AO37" s="3690"/>
      <c r="AP37" s="3738"/>
      <c r="AQ37" s="3738"/>
      <c r="AR37" s="3690"/>
      <c r="AS37" s="3690"/>
      <c r="AT37" s="3690"/>
      <c r="AU37" s="3690"/>
      <c r="AV37" s="3690"/>
      <c r="AW37" s="3690"/>
      <c r="AX37" s="3690"/>
      <c r="AY37" s="3690"/>
      <c r="AZ37" s="3738"/>
      <c r="BA37" s="3738"/>
      <c r="BB37" s="3738"/>
      <c r="BC37" s="3738"/>
      <c r="BD37" s="3690"/>
      <c r="BE37" s="3690"/>
      <c r="BF37" s="3690"/>
      <c r="BG37" s="3690"/>
      <c r="BH37" s="3714"/>
      <c r="BI37" s="3705"/>
      <c r="BJ37" s="3705"/>
      <c r="BK37" s="3747"/>
      <c r="BL37" s="447">
        <v>34</v>
      </c>
      <c r="BM37" s="3674"/>
      <c r="BN37" s="3711"/>
      <c r="BO37" s="3699"/>
      <c r="BP37" s="3711"/>
      <c r="BQ37" s="3699"/>
      <c r="BR37" s="3674"/>
    </row>
    <row r="38" spans="1:70" s="440" customFormat="1" ht="125.25" customHeight="1" x14ac:dyDescent="0.2">
      <c r="A38" s="431"/>
      <c r="B38" s="432"/>
      <c r="C38" s="433"/>
      <c r="D38" s="434"/>
      <c r="E38" s="432"/>
      <c r="F38" s="433"/>
      <c r="G38" s="473"/>
      <c r="H38" s="3678"/>
      <c r="I38" s="3679"/>
      <c r="J38" s="3683"/>
      <c r="K38" s="3723"/>
      <c r="L38" s="3686"/>
      <c r="M38" s="3683"/>
      <c r="N38" s="3683"/>
      <c r="O38" s="3674"/>
      <c r="P38" s="3674"/>
      <c r="Q38" s="3723"/>
      <c r="R38" s="3717"/>
      <c r="S38" s="3705"/>
      <c r="T38" s="3686"/>
      <c r="U38" s="3724"/>
      <c r="V38" s="458" t="s">
        <v>406</v>
      </c>
      <c r="W38" s="477">
        <f>0+28350000</f>
        <v>28350000</v>
      </c>
      <c r="X38" s="436"/>
      <c r="Y38" s="450"/>
      <c r="Z38" s="447">
        <v>159</v>
      </c>
      <c r="AA38" s="438" t="s">
        <v>407</v>
      </c>
      <c r="AB38" s="3690"/>
      <c r="AC38" s="3674"/>
      <c r="AD38" s="3690"/>
      <c r="AE38" s="3674"/>
      <c r="AF38" s="3690"/>
      <c r="AG38" s="3690"/>
      <c r="AH38" s="3690"/>
      <c r="AI38" s="3690"/>
      <c r="AJ38" s="3690"/>
      <c r="AK38" s="3690"/>
      <c r="AL38" s="3690"/>
      <c r="AM38" s="3690"/>
      <c r="AN38" s="3690"/>
      <c r="AO38" s="3690"/>
      <c r="AP38" s="3738"/>
      <c r="AQ38" s="3738"/>
      <c r="AR38" s="3690"/>
      <c r="AS38" s="3690"/>
      <c r="AT38" s="3690"/>
      <c r="AU38" s="3690"/>
      <c r="AV38" s="3690"/>
      <c r="AW38" s="3690"/>
      <c r="AX38" s="3690"/>
      <c r="AY38" s="3690"/>
      <c r="AZ38" s="3738"/>
      <c r="BA38" s="3738"/>
      <c r="BB38" s="3738"/>
      <c r="BC38" s="3738"/>
      <c r="BD38" s="3690"/>
      <c r="BE38" s="3690"/>
      <c r="BF38" s="3690"/>
      <c r="BG38" s="3690"/>
      <c r="BH38" s="3714"/>
      <c r="BI38" s="3705"/>
      <c r="BJ38" s="3705"/>
      <c r="BK38" s="3747"/>
      <c r="BL38" s="447">
        <v>159</v>
      </c>
      <c r="BM38" s="3674"/>
      <c r="BN38" s="3711"/>
      <c r="BO38" s="3699"/>
      <c r="BP38" s="3711"/>
      <c r="BQ38" s="3699"/>
      <c r="BR38" s="3674"/>
    </row>
    <row r="39" spans="1:70" s="440" customFormat="1" ht="58.5" customHeight="1" x14ac:dyDescent="0.2">
      <c r="A39" s="431"/>
      <c r="B39" s="432"/>
      <c r="C39" s="433"/>
      <c r="D39" s="434"/>
      <c r="E39" s="432"/>
      <c r="F39" s="433"/>
      <c r="G39" s="473"/>
      <c r="H39" s="3678"/>
      <c r="I39" s="3679"/>
      <c r="J39" s="3683"/>
      <c r="K39" s="3723"/>
      <c r="L39" s="3686"/>
      <c r="M39" s="3683"/>
      <c r="N39" s="3683"/>
      <c r="O39" s="3674"/>
      <c r="P39" s="3674"/>
      <c r="Q39" s="3723"/>
      <c r="R39" s="3717"/>
      <c r="S39" s="3705"/>
      <c r="T39" s="3686"/>
      <c r="U39" s="3722" t="s">
        <v>408</v>
      </c>
      <c r="V39" s="3688" t="s">
        <v>409</v>
      </c>
      <c r="W39" s="477">
        <f>26038612-8482831</f>
        <v>17555781</v>
      </c>
      <c r="X39" s="478"/>
      <c r="Y39" s="450"/>
      <c r="Z39" s="447">
        <v>34</v>
      </c>
      <c r="AA39" s="438" t="s">
        <v>410</v>
      </c>
      <c r="AB39" s="3690"/>
      <c r="AC39" s="3674"/>
      <c r="AD39" s="3690"/>
      <c r="AE39" s="3674"/>
      <c r="AF39" s="3690"/>
      <c r="AG39" s="3690"/>
      <c r="AH39" s="3690"/>
      <c r="AI39" s="3690"/>
      <c r="AJ39" s="3690"/>
      <c r="AK39" s="3690"/>
      <c r="AL39" s="3690"/>
      <c r="AM39" s="3690"/>
      <c r="AN39" s="3690"/>
      <c r="AO39" s="3690"/>
      <c r="AP39" s="3738"/>
      <c r="AQ39" s="3738"/>
      <c r="AR39" s="3690"/>
      <c r="AS39" s="3690"/>
      <c r="AT39" s="3690"/>
      <c r="AU39" s="3690"/>
      <c r="AV39" s="3690"/>
      <c r="AW39" s="3690"/>
      <c r="AX39" s="3690"/>
      <c r="AY39" s="3690"/>
      <c r="AZ39" s="3738"/>
      <c r="BA39" s="3738"/>
      <c r="BB39" s="3738"/>
      <c r="BC39" s="3738"/>
      <c r="BD39" s="3690"/>
      <c r="BE39" s="3690"/>
      <c r="BF39" s="3690"/>
      <c r="BG39" s="3690"/>
      <c r="BH39" s="3714"/>
      <c r="BI39" s="3705"/>
      <c r="BJ39" s="3705"/>
      <c r="BK39" s="3747"/>
      <c r="BL39" s="447">
        <v>34</v>
      </c>
      <c r="BM39" s="3674"/>
      <c r="BN39" s="3711"/>
      <c r="BO39" s="3699"/>
      <c r="BP39" s="3711"/>
      <c r="BQ39" s="3699"/>
      <c r="BR39" s="3674"/>
    </row>
    <row r="40" spans="1:70" s="440" customFormat="1" ht="58.5" customHeight="1" x14ac:dyDescent="0.2">
      <c r="A40" s="431"/>
      <c r="B40" s="432"/>
      <c r="C40" s="433"/>
      <c r="D40" s="434"/>
      <c r="E40" s="432"/>
      <c r="F40" s="433"/>
      <c r="G40" s="473"/>
      <c r="H40" s="3678"/>
      <c r="I40" s="3679"/>
      <c r="J40" s="3683"/>
      <c r="K40" s="3723"/>
      <c r="L40" s="3686"/>
      <c r="M40" s="3683"/>
      <c r="N40" s="3683"/>
      <c r="O40" s="3674"/>
      <c r="P40" s="3674"/>
      <c r="Q40" s="3723"/>
      <c r="R40" s="3717"/>
      <c r="S40" s="3705"/>
      <c r="T40" s="3686"/>
      <c r="U40" s="3723"/>
      <c r="V40" s="3688"/>
      <c r="W40" s="477">
        <f>0+43482831</f>
        <v>43482831</v>
      </c>
      <c r="X40" s="478"/>
      <c r="Y40" s="450"/>
      <c r="Z40" s="447">
        <v>83</v>
      </c>
      <c r="AA40" s="438" t="s">
        <v>411</v>
      </c>
      <c r="AB40" s="3690"/>
      <c r="AC40" s="3674"/>
      <c r="AD40" s="3690"/>
      <c r="AE40" s="3674"/>
      <c r="AF40" s="3690"/>
      <c r="AG40" s="3690"/>
      <c r="AH40" s="3690"/>
      <c r="AI40" s="3690"/>
      <c r="AJ40" s="3690"/>
      <c r="AK40" s="3690"/>
      <c r="AL40" s="3690"/>
      <c r="AM40" s="3690"/>
      <c r="AN40" s="3690"/>
      <c r="AO40" s="3690"/>
      <c r="AP40" s="3738"/>
      <c r="AQ40" s="3738"/>
      <c r="AR40" s="3690"/>
      <c r="AS40" s="3690"/>
      <c r="AT40" s="3690"/>
      <c r="AU40" s="3690"/>
      <c r="AV40" s="3690"/>
      <c r="AW40" s="3690"/>
      <c r="AX40" s="3690"/>
      <c r="AY40" s="3690"/>
      <c r="AZ40" s="3738"/>
      <c r="BA40" s="3738"/>
      <c r="BB40" s="3738"/>
      <c r="BC40" s="3738"/>
      <c r="BD40" s="3690"/>
      <c r="BE40" s="3690"/>
      <c r="BF40" s="3690"/>
      <c r="BG40" s="3690"/>
      <c r="BH40" s="3714"/>
      <c r="BI40" s="3705"/>
      <c r="BJ40" s="3705"/>
      <c r="BK40" s="3747"/>
      <c r="BL40" s="447">
        <v>83</v>
      </c>
      <c r="BM40" s="3674"/>
      <c r="BN40" s="3711"/>
      <c r="BO40" s="3699"/>
      <c r="BP40" s="3711"/>
      <c r="BQ40" s="3699"/>
      <c r="BR40" s="3674"/>
    </row>
    <row r="41" spans="1:70" s="440" customFormat="1" ht="66.75" customHeight="1" x14ac:dyDescent="0.2">
      <c r="A41" s="431"/>
      <c r="B41" s="432"/>
      <c r="C41" s="433"/>
      <c r="D41" s="434"/>
      <c r="E41" s="432"/>
      <c r="F41" s="433"/>
      <c r="G41" s="473"/>
      <c r="H41" s="3680"/>
      <c r="I41" s="3681"/>
      <c r="J41" s="3684"/>
      <c r="K41" s="3724"/>
      <c r="L41" s="3687"/>
      <c r="M41" s="3684"/>
      <c r="N41" s="3684"/>
      <c r="O41" s="3675"/>
      <c r="P41" s="3675"/>
      <c r="Q41" s="3724"/>
      <c r="R41" s="3718"/>
      <c r="S41" s="3706"/>
      <c r="T41" s="3687"/>
      <c r="U41" s="3724"/>
      <c r="V41" s="458" t="s">
        <v>412</v>
      </c>
      <c r="W41" s="477">
        <f>65964483+47070480</f>
        <v>113034963</v>
      </c>
      <c r="X41" s="436">
        <v>44780000</v>
      </c>
      <c r="Y41" s="436">
        <v>12316000</v>
      </c>
      <c r="Z41" s="447">
        <v>34</v>
      </c>
      <c r="AA41" s="438" t="s">
        <v>402</v>
      </c>
      <c r="AB41" s="3691"/>
      <c r="AC41" s="3675"/>
      <c r="AD41" s="3691"/>
      <c r="AE41" s="3675"/>
      <c r="AF41" s="3691"/>
      <c r="AG41" s="3691"/>
      <c r="AH41" s="3691"/>
      <c r="AI41" s="3691"/>
      <c r="AJ41" s="3691"/>
      <c r="AK41" s="3691"/>
      <c r="AL41" s="3691"/>
      <c r="AM41" s="3691"/>
      <c r="AN41" s="3691"/>
      <c r="AO41" s="3691"/>
      <c r="AP41" s="3739"/>
      <c r="AQ41" s="3739"/>
      <c r="AR41" s="3691"/>
      <c r="AS41" s="3691"/>
      <c r="AT41" s="3691"/>
      <c r="AU41" s="3691"/>
      <c r="AV41" s="3691"/>
      <c r="AW41" s="3691"/>
      <c r="AX41" s="3691"/>
      <c r="AY41" s="3691"/>
      <c r="AZ41" s="3739"/>
      <c r="BA41" s="3739"/>
      <c r="BB41" s="3739"/>
      <c r="BC41" s="3739"/>
      <c r="BD41" s="3691"/>
      <c r="BE41" s="3691"/>
      <c r="BF41" s="3691"/>
      <c r="BG41" s="3691"/>
      <c r="BH41" s="3715"/>
      <c r="BI41" s="3706"/>
      <c r="BJ41" s="3706"/>
      <c r="BK41" s="3748"/>
      <c r="BL41" s="447">
        <v>34</v>
      </c>
      <c r="BM41" s="3675"/>
      <c r="BN41" s="3712"/>
      <c r="BO41" s="3700"/>
      <c r="BP41" s="3712"/>
      <c r="BQ41" s="3700"/>
      <c r="BR41" s="3675"/>
    </row>
    <row r="42" spans="1:70" s="492" customFormat="1" ht="15" customHeight="1" x14ac:dyDescent="0.2">
      <c r="A42" s="479"/>
      <c r="B42" s="480"/>
      <c r="C42" s="481"/>
      <c r="D42" s="482">
        <v>10</v>
      </c>
      <c r="E42" s="3744" t="s">
        <v>413</v>
      </c>
      <c r="F42" s="3745"/>
      <c r="G42" s="3745"/>
      <c r="H42" s="3745"/>
      <c r="I42" s="3745"/>
      <c r="J42" s="3745"/>
      <c r="K42" s="3745"/>
      <c r="L42" s="483"/>
      <c r="M42" s="484"/>
      <c r="N42" s="484"/>
      <c r="O42" s="485"/>
      <c r="P42" s="484"/>
      <c r="Q42" s="483"/>
      <c r="R42" s="484"/>
      <c r="S42" s="486"/>
      <c r="T42" s="483"/>
      <c r="U42" s="483"/>
      <c r="V42" s="483"/>
      <c r="W42" s="487"/>
      <c r="X42" s="488"/>
      <c r="Y42" s="489"/>
      <c r="Z42" s="490"/>
      <c r="AA42" s="485"/>
      <c r="AB42" s="484"/>
      <c r="AC42" s="484"/>
      <c r="AD42" s="484"/>
      <c r="AE42" s="484"/>
      <c r="AF42" s="484"/>
      <c r="AG42" s="484"/>
      <c r="AH42" s="484"/>
      <c r="AI42" s="484"/>
      <c r="AJ42" s="484"/>
      <c r="AK42" s="484"/>
      <c r="AL42" s="484"/>
      <c r="AM42" s="484"/>
      <c r="AN42" s="484"/>
      <c r="AO42" s="484"/>
      <c r="AP42" s="484"/>
      <c r="AQ42" s="484"/>
      <c r="AR42" s="484"/>
      <c r="AS42" s="484"/>
      <c r="AT42" s="484"/>
      <c r="AU42" s="484"/>
      <c r="AV42" s="484"/>
      <c r="AW42" s="484"/>
      <c r="AX42" s="484"/>
      <c r="AY42" s="484"/>
      <c r="AZ42" s="484"/>
      <c r="BA42" s="484"/>
      <c r="BB42" s="484"/>
      <c r="BC42" s="484"/>
      <c r="BD42" s="484"/>
      <c r="BE42" s="484"/>
      <c r="BF42" s="484"/>
      <c r="BG42" s="484"/>
      <c r="BH42" s="490"/>
      <c r="BI42" s="486"/>
      <c r="BJ42" s="486"/>
      <c r="BK42" s="484"/>
      <c r="BL42" s="484"/>
      <c r="BM42" s="484"/>
      <c r="BN42" s="484"/>
      <c r="BO42" s="484"/>
      <c r="BP42" s="484"/>
      <c r="BQ42" s="484"/>
      <c r="BR42" s="491"/>
    </row>
    <row r="43" spans="1:70" s="492" customFormat="1" ht="15" customHeight="1" x14ac:dyDescent="0.2">
      <c r="A43" s="493"/>
      <c r="B43" s="494"/>
      <c r="C43" s="494"/>
      <c r="D43" s="495"/>
      <c r="E43" s="496"/>
      <c r="F43" s="481"/>
      <c r="G43" s="461">
        <v>32</v>
      </c>
      <c r="H43" s="3741" t="s">
        <v>414</v>
      </c>
      <c r="I43" s="3742"/>
      <c r="J43" s="3742"/>
      <c r="K43" s="3742"/>
      <c r="L43" s="3742"/>
      <c r="M43" s="497"/>
      <c r="N43" s="497"/>
      <c r="O43" s="498"/>
      <c r="P43" s="497"/>
      <c r="Q43" s="499"/>
      <c r="R43" s="497"/>
      <c r="S43" s="500"/>
      <c r="T43" s="499"/>
      <c r="U43" s="499"/>
      <c r="V43" s="499"/>
      <c r="W43" s="501"/>
      <c r="X43" s="502"/>
      <c r="Y43" s="503"/>
      <c r="Z43" s="504"/>
      <c r="AA43" s="498"/>
      <c r="AB43" s="497"/>
      <c r="AC43" s="497"/>
      <c r="AD43" s="497"/>
      <c r="AE43" s="497"/>
      <c r="AF43" s="497"/>
      <c r="AG43" s="497"/>
      <c r="AH43" s="497"/>
      <c r="AI43" s="497"/>
      <c r="AJ43" s="497"/>
      <c r="AK43" s="497"/>
      <c r="AL43" s="497"/>
      <c r="AM43" s="497"/>
      <c r="AN43" s="497"/>
      <c r="AO43" s="497"/>
      <c r="AP43" s="497"/>
      <c r="AQ43" s="497"/>
      <c r="AR43" s="497"/>
      <c r="AS43" s="497"/>
      <c r="AT43" s="497"/>
      <c r="AU43" s="497"/>
      <c r="AV43" s="497"/>
      <c r="AW43" s="497"/>
      <c r="AX43" s="497"/>
      <c r="AY43" s="497"/>
      <c r="AZ43" s="497"/>
      <c r="BA43" s="497"/>
      <c r="BB43" s="497"/>
      <c r="BC43" s="497"/>
      <c r="BD43" s="497"/>
      <c r="BE43" s="497"/>
      <c r="BF43" s="497"/>
      <c r="BG43" s="497"/>
      <c r="BH43" s="504"/>
      <c r="BI43" s="500"/>
      <c r="BJ43" s="500"/>
      <c r="BK43" s="497"/>
      <c r="BL43" s="497"/>
      <c r="BM43" s="497"/>
      <c r="BN43" s="497"/>
      <c r="BO43" s="497"/>
      <c r="BP43" s="497"/>
      <c r="BQ43" s="497"/>
      <c r="BR43" s="505"/>
    </row>
    <row r="44" spans="1:70" s="440" customFormat="1" ht="50.25" customHeight="1" x14ac:dyDescent="0.2">
      <c r="A44" s="431"/>
      <c r="B44" s="432"/>
      <c r="C44" s="432"/>
      <c r="D44" s="434"/>
      <c r="E44" s="3678"/>
      <c r="F44" s="3679"/>
      <c r="G44" s="473"/>
      <c r="H44" s="3676"/>
      <c r="I44" s="3677"/>
      <c r="J44" s="3682">
        <v>119</v>
      </c>
      <c r="K44" s="3685" t="s">
        <v>415</v>
      </c>
      <c r="L44" s="3685" t="s">
        <v>359</v>
      </c>
      <c r="M44" s="3682">
        <v>7</v>
      </c>
      <c r="N44" s="3682">
        <v>0</v>
      </c>
      <c r="O44" s="3673" t="s">
        <v>416</v>
      </c>
      <c r="P44" s="3673" t="s">
        <v>417</v>
      </c>
      <c r="Q44" s="3685" t="s">
        <v>418</v>
      </c>
      <c r="R44" s="3716">
        <v>1</v>
      </c>
      <c r="S44" s="3749">
        <f>SUM(W44:W50)</f>
        <v>550777027</v>
      </c>
      <c r="T44" s="3685" t="s">
        <v>419</v>
      </c>
      <c r="U44" s="3685" t="s">
        <v>420</v>
      </c>
      <c r="V44" s="3673" t="s">
        <v>421</v>
      </c>
      <c r="W44" s="506">
        <v>175000000</v>
      </c>
      <c r="X44" s="507"/>
      <c r="Y44" s="442"/>
      <c r="Z44" s="447">
        <v>47</v>
      </c>
      <c r="AA44" s="438" t="s">
        <v>422</v>
      </c>
      <c r="AB44" s="3673">
        <v>85278</v>
      </c>
      <c r="AC44" s="3673"/>
      <c r="AD44" s="3673">
        <v>85277</v>
      </c>
      <c r="AE44" s="3673"/>
      <c r="AF44" s="3689">
        <v>17056</v>
      </c>
      <c r="AG44" s="439"/>
      <c r="AH44" s="3689">
        <v>34111</v>
      </c>
      <c r="AI44" s="3689"/>
      <c r="AJ44" s="3689">
        <v>85278</v>
      </c>
      <c r="AK44" s="3689"/>
      <c r="AL44" s="3689">
        <v>25582</v>
      </c>
      <c r="AM44" s="439"/>
      <c r="AN44" s="3689">
        <v>4263.875</v>
      </c>
      <c r="AO44" s="3689"/>
      <c r="AP44" s="3689">
        <v>4264</v>
      </c>
      <c r="AQ44" s="439"/>
      <c r="AR44" s="3689"/>
      <c r="AS44" s="439"/>
      <c r="AT44" s="3689"/>
      <c r="AU44" s="439"/>
      <c r="AV44" s="3689"/>
      <c r="AW44" s="439"/>
      <c r="AX44" s="439"/>
      <c r="AY44" s="439"/>
      <c r="AZ44" s="439"/>
      <c r="BA44" s="439"/>
      <c r="BB44" s="439"/>
      <c r="BC44" s="3689"/>
      <c r="BD44" s="439"/>
      <c r="BE44" s="439"/>
      <c r="BF44" s="3689">
        <v>170555</v>
      </c>
      <c r="BG44" s="3689"/>
      <c r="BH44" s="3713">
        <v>1</v>
      </c>
      <c r="BI44" s="3704">
        <f>SUM(X44:X50)</f>
        <v>17915000</v>
      </c>
      <c r="BJ44" s="3704">
        <f>Y44+Y47+Y48+Y50</f>
        <v>3583000</v>
      </c>
      <c r="BK44" s="3746">
        <f>+BJ44/BI44</f>
        <v>0.2</v>
      </c>
      <c r="BL44" s="447">
        <v>47</v>
      </c>
      <c r="BM44" s="3685" t="s">
        <v>423</v>
      </c>
      <c r="BN44" s="3710">
        <v>43466</v>
      </c>
      <c r="BO44" s="3710">
        <v>43502</v>
      </c>
      <c r="BP44" s="3710">
        <v>43830</v>
      </c>
      <c r="BQ44" s="3710">
        <v>43651</v>
      </c>
      <c r="BR44" s="3673" t="s">
        <v>355</v>
      </c>
    </row>
    <row r="45" spans="1:70" s="440" customFormat="1" ht="50.25" customHeight="1" x14ac:dyDescent="0.2">
      <c r="A45" s="431"/>
      <c r="B45" s="432"/>
      <c r="C45" s="432"/>
      <c r="D45" s="434"/>
      <c r="E45" s="3678"/>
      <c r="F45" s="3679"/>
      <c r="G45" s="473"/>
      <c r="H45" s="3678"/>
      <c r="I45" s="3679"/>
      <c r="J45" s="3683"/>
      <c r="K45" s="3686"/>
      <c r="L45" s="3686"/>
      <c r="M45" s="3683"/>
      <c r="N45" s="3683"/>
      <c r="O45" s="3674"/>
      <c r="P45" s="3674"/>
      <c r="Q45" s="3686"/>
      <c r="R45" s="3717"/>
      <c r="S45" s="3750"/>
      <c r="T45" s="3686"/>
      <c r="U45" s="3686"/>
      <c r="V45" s="3674"/>
      <c r="W45" s="508">
        <v>61380526</v>
      </c>
      <c r="X45" s="509"/>
      <c r="Y45" s="442"/>
      <c r="Z45" s="510">
        <v>20</v>
      </c>
      <c r="AA45" s="448" t="s">
        <v>424</v>
      </c>
      <c r="AB45" s="3674"/>
      <c r="AC45" s="3674"/>
      <c r="AD45" s="3674"/>
      <c r="AE45" s="3674"/>
      <c r="AF45" s="3690"/>
      <c r="AG45" s="441"/>
      <c r="AH45" s="3690"/>
      <c r="AI45" s="3690"/>
      <c r="AJ45" s="3690"/>
      <c r="AK45" s="3690"/>
      <c r="AL45" s="3690"/>
      <c r="AM45" s="441"/>
      <c r="AN45" s="3690"/>
      <c r="AO45" s="3690"/>
      <c r="AP45" s="3690"/>
      <c r="AQ45" s="441"/>
      <c r="AR45" s="3690"/>
      <c r="AS45" s="441"/>
      <c r="AT45" s="3690"/>
      <c r="AU45" s="441"/>
      <c r="AV45" s="3690"/>
      <c r="AW45" s="441"/>
      <c r="AX45" s="441"/>
      <c r="AY45" s="441"/>
      <c r="AZ45" s="441"/>
      <c r="BA45" s="441"/>
      <c r="BB45" s="441"/>
      <c r="BC45" s="3690"/>
      <c r="BD45" s="441"/>
      <c r="BE45" s="441"/>
      <c r="BF45" s="3690"/>
      <c r="BG45" s="3690"/>
      <c r="BH45" s="3714"/>
      <c r="BI45" s="3705"/>
      <c r="BJ45" s="3705"/>
      <c r="BK45" s="3747"/>
      <c r="BL45" s="510">
        <v>20</v>
      </c>
      <c r="BM45" s="3686"/>
      <c r="BN45" s="3711"/>
      <c r="BO45" s="3711"/>
      <c r="BP45" s="3711"/>
      <c r="BQ45" s="3711"/>
      <c r="BR45" s="3674"/>
    </row>
    <row r="46" spans="1:70" s="440" customFormat="1" ht="50.25" customHeight="1" x14ac:dyDescent="0.2">
      <c r="A46" s="431"/>
      <c r="B46" s="432"/>
      <c r="C46" s="432"/>
      <c r="D46" s="434"/>
      <c r="E46" s="3678"/>
      <c r="F46" s="3679"/>
      <c r="G46" s="473"/>
      <c r="H46" s="3678"/>
      <c r="I46" s="3679"/>
      <c r="J46" s="3683"/>
      <c r="K46" s="3686"/>
      <c r="L46" s="3686"/>
      <c r="M46" s="3683"/>
      <c r="N46" s="3683"/>
      <c r="O46" s="3674"/>
      <c r="P46" s="3674"/>
      <c r="Q46" s="3686"/>
      <c r="R46" s="3717"/>
      <c r="S46" s="3750"/>
      <c r="T46" s="3686"/>
      <c r="U46" s="3686"/>
      <c r="V46" s="3675"/>
      <c r="W46" s="511">
        <f>0+219596501</f>
        <v>219596501</v>
      </c>
      <c r="X46" s="512"/>
      <c r="Y46" s="442"/>
      <c r="Z46" s="513">
        <v>93</v>
      </c>
      <c r="AA46" s="460" t="s">
        <v>425</v>
      </c>
      <c r="AB46" s="3674"/>
      <c r="AC46" s="3674"/>
      <c r="AD46" s="3674"/>
      <c r="AE46" s="3674"/>
      <c r="AF46" s="3690"/>
      <c r="AG46" s="441"/>
      <c r="AH46" s="3690"/>
      <c r="AI46" s="3690"/>
      <c r="AJ46" s="3690"/>
      <c r="AK46" s="3690"/>
      <c r="AL46" s="3690"/>
      <c r="AM46" s="441"/>
      <c r="AN46" s="3690"/>
      <c r="AO46" s="3690"/>
      <c r="AP46" s="3690"/>
      <c r="AQ46" s="441"/>
      <c r="AR46" s="3690"/>
      <c r="AS46" s="441"/>
      <c r="AT46" s="3690"/>
      <c r="AU46" s="441"/>
      <c r="AV46" s="3690"/>
      <c r="AW46" s="441"/>
      <c r="AX46" s="441"/>
      <c r="AY46" s="441"/>
      <c r="AZ46" s="441"/>
      <c r="BA46" s="441"/>
      <c r="BB46" s="441"/>
      <c r="BC46" s="3690"/>
      <c r="BD46" s="441"/>
      <c r="BE46" s="441"/>
      <c r="BF46" s="3690"/>
      <c r="BG46" s="3690"/>
      <c r="BH46" s="3714"/>
      <c r="BI46" s="3705"/>
      <c r="BJ46" s="3705"/>
      <c r="BK46" s="3747"/>
      <c r="BL46" s="513">
        <v>93</v>
      </c>
      <c r="BM46" s="3686"/>
      <c r="BN46" s="3711"/>
      <c r="BO46" s="3711"/>
      <c r="BP46" s="3711"/>
      <c r="BQ46" s="3711"/>
      <c r="BR46" s="3674"/>
    </row>
    <row r="47" spans="1:70" s="440" customFormat="1" ht="36" customHeight="1" x14ac:dyDescent="0.2">
      <c r="A47" s="431"/>
      <c r="B47" s="432"/>
      <c r="C47" s="432"/>
      <c r="D47" s="434"/>
      <c r="E47" s="3678"/>
      <c r="F47" s="3679"/>
      <c r="G47" s="473"/>
      <c r="H47" s="3678"/>
      <c r="I47" s="3679"/>
      <c r="J47" s="3683"/>
      <c r="K47" s="3686"/>
      <c r="L47" s="3686"/>
      <c r="M47" s="3683"/>
      <c r="N47" s="3683"/>
      <c r="O47" s="3674"/>
      <c r="P47" s="3674"/>
      <c r="Q47" s="3686"/>
      <c r="R47" s="3717"/>
      <c r="S47" s="3750"/>
      <c r="T47" s="3686"/>
      <c r="U47" s="3686"/>
      <c r="V47" s="454" t="s">
        <v>426</v>
      </c>
      <c r="W47" s="514">
        <v>1000000</v>
      </c>
      <c r="X47" s="515"/>
      <c r="Y47" s="442"/>
      <c r="Z47" s="516">
        <v>47</v>
      </c>
      <c r="AA47" s="460" t="s">
        <v>422</v>
      </c>
      <c r="AB47" s="3674"/>
      <c r="AC47" s="3674"/>
      <c r="AD47" s="3674"/>
      <c r="AE47" s="3674"/>
      <c r="AF47" s="3690"/>
      <c r="AG47" s="441"/>
      <c r="AH47" s="3690"/>
      <c r="AI47" s="3690"/>
      <c r="AJ47" s="3690"/>
      <c r="AK47" s="3690"/>
      <c r="AL47" s="3690"/>
      <c r="AM47" s="441"/>
      <c r="AN47" s="3690"/>
      <c r="AO47" s="3690"/>
      <c r="AP47" s="3690"/>
      <c r="AQ47" s="441"/>
      <c r="AR47" s="3690"/>
      <c r="AS47" s="441"/>
      <c r="AT47" s="3690"/>
      <c r="AU47" s="441"/>
      <c r="AV47" s="3690"/>
      <c r="AW47" s="441"/>
      <c r="AX47" s="441"/>
      <c r="AY47" s="441"/>
      <c r="AZ47" s="441"/>
      <c r="BA47" s="441"/>
      <c r="BB47" s="441"/>
      <c r="BC47" s="3690"/>
      <c r="BD47" s="441"/>
      <c r="BE47" s="441"/>
      <c r="BF47" s="3690"/>
      <c r="BG47" s="3690"/>
      <c r="BH47" s="3714"/>
      <c r="BI47" s="3705"/>
      <c r="BJ47" s="3705"/>
      <c r="BK47" s="3747"/>
      <c r="BL47" s="516">
        <v>47</v>
      </c>
      <c r="BM47" s="3686"/>
      <c r="BN47" s="3711"/>
      <c r="BO47" s="3699"/>
      <c r="BP47" s="3711"/>
      <c r="BQ47" s="3699"/>
      <c r="BR47" s="3674"/>
    </row>
    <row r="48" spans="1:70" s="440" customFormat="1" ht="48.75" customHeight="1" x14ac:dyDescent="0.2">
      <c r="A48" s="431"/>
      <c r="B48" s="432"/>
      <c r="C48" s="432"/>
      <c r="D48" s="434"/>
      <c r="E48" s="3678"/>
      <c r="F48" s="3679"/>
      <c r="G48" s="473"/>
      <c r="H48" s="3678"/>
      <c r="I48" s="3679"/>
      <c r="J48" s="3683"/>
      <c r="K48" s="3686"/>
      <c r="L48" s="3686"/>
      <c r="M48" s="3683"/>
      <c r="N48" s="3683"/>
      <c r="O48" s="3674"/>
      <c r="P48" s="3674"/>
      <c r="Q48" s="3686"/>
      <c r="R48" s="3717"/>
      <c r="S48" s="3750"/>
      <c r="T48" s="3686"/>
      <c r="U48" s="3687"/>
      <c r="V48" s="476" t="s">
        <v>427</v>
      </c>
      <c r="W48" s="517">
        <f>33800000+5613000</f>
        <v>39413000</v>
      </c>
      <c r="X48" s="518">
        <v>17915000</v>
      </c>
      <c r="Y48" s="519">
        <v>3583000</v>
      </c>
      <c r="Z48" s="447">
        <v>20</v>
      </c>
      <c r="AA48" s="460" t="s">
        <v>424</v>
      </c>
      <c r="AB48" s="3674"/>
      <c r="AC48" s="3674"/>
      <c r="AD48" s="3674"/>
      <c r="AE48" s="3674"/>
      <c r="AF48" s="3690"/>
      <c r="AG48" s="441"/>
      <c r="AH48" s="3690"/>
      <c r="AI48" s="3690"/>
      <c r="AJ48" s="3690"/>
      <c r="AK48" s="3690"/>
      <c r="AL48" s="3690"/>
      <c r="AM48" s="441"/>
      <c r="AN48" s="3690"/>
      <c r="AO48" s="3690"/>
      <c r="AP48" s="3690"/>
      <c r="AQ48" s="441"/>
      <c r="AR48" s="3690"/>
      <c r="AS48" s="441"/>
      <c r="AT48" s="3690"/>
      <c r="AU48" s="441"/>
      <c r="AV48" s="3690"/>
      <c r="AW48" s="441"/>
      <c r="AX48" s="441"/>
      <c r="AY48" s="441"/>
      <c r="AZ48" s="441"/>
      <c r="BA48" s="441"/>
      <c r="BB48" s="441"/>
      <c r="BC48" s="3690"/>
      <c r="BD48" s="441"/>
      <c r="BE48" s="441"/>
      <c r="BF48" s="3690"/>
      <c r="BG48" s="3690"/>
      <c r="BH48" s="3714"/>
      <c r="BI48" s="3705"/>
      <c r="BJ48" s="3705"/>
      <c r="BK48" s="3747"/>
      <c r="BL48" s="447">
        <v>20</v>
      </c>
      <c r="BM48" s="3686"/>
      <c r="BN48" s="3711"/>
      <c r="BO48" s="3699"/>
      <c r="BP48" s="3711"/>
      <c r="BQ48" s="3699"/>
      <c r="BR48" s="3674"/>
    </row>
    <row r="49" spans="1:84" s="440" customFormat="1" ht="36" customHeight="1" x14ac:dyDescent="0.2">
      <c r="A49" s="431"/>
      <c r="B49" s="432"/>
      <c r="C49" s="432"/>
      <c r="D49" s="434"/>
      <c r="E49" s="3678"/>
      <c r="F49" s="3679"/>
      <c r="G49" s="473"/>
      <c r="H49" s="3678"/>
      <c r="I49" s="3679"/>
      <c r="J49" s="3683"/>
      <c r="K49" s="3686"/>
      <c r="L49" s="3686"/>
      <c r="M49" s="3683"/>
      <c r="N49" s="3683"/>
      <c r="O49" s="3674"/>
      <c r="P49" s="3674"/>
      <c r="Q49" s="3686"/>
      <c r="R49" s="3717"/>
      <c r="S49" s="3750"/>
      <c r="T49" s="3686"/>
      <c r="U49" s="3685" t="s">
        <v>428</v>
      </c>
      <c r="V49" s="3728" t="s">
        <v>429</v>
      </c>
      <c r="W49" s="520">
        <f>54000000-5613000</f>
        <v>48387000</v>
      </c>
      <c r="X49" s="507"/>
      <c r="Y49" s="442"/>
      <c r="Z49" s="447">
        <v>20</v>
      </c>
      <c r="AA49" s="460" t="s">
        <v>424</v>
      </c>
      <c r="AB49" s="3674"/>
      <c r="AC49" s="3674"/>
      <c r="AD49" s="3674"/>
      <c r="AE49" s="3674"/>
      <c r="AF49" s="3690"/>
      <c r="AG49" s="441"/>
      <c r="AH49" s="3690"/>
      <c r="AI49" s="3690"/>
      <c r="AJ49" s="3690"/>
      <c r="AK49" s="3690"/>
      <c r="AL49" s="3690"/>
      <c r="AM49" s="441"/>
      <c r="AN49" s="3690"/>
      <c r="AO49" s="3690"/>
      <c r="AP49" s="3690"/>
      <c r="AQ49" s="441"/>
      <c r="AR49" s="3690"/>
      <c r="AS49" s="441"/>
      <c r="AT49" s="3690"/>
      <c r="AU49" s="441"/>
      <c r="AV49" s="3690"/>
      <c r="AW49" s="441"/>
      <c r="AX49" s="441"/>
      <c r="AY49" s="441"/>
      <c r="AZ49" s="441"/>
      <c r="BA49" s="441"/>
      <c r="BB49" s="441"/>
      <c r="BC49" s="3690"/>
      <c r="BD49" s="441"/>
      <c r="BE49" s="441"/>
      <c r="BF49" s="3690"/>
      <c r="BG49" s="3690"/>
      <c r="BH49" s="3714"/>
      <c r="BI49" s="3705"/>
      <c r="BJ49" s="3705"/>
      <c r="BK49" s="3747"/>
      <c r="BL49" s="447">
        <v>20</v>
      </c>
      <c r="BM49" s="3686"/>
      <c r="BN49" s="3711"/>
      <c r="BO49" s="3699"/>
      <c r="BP49" s="3711"/>
      <c r="BQ49" s="3699"/>
      <c r="BR49" s="3674"/>
    </row>
    <row r="50" spans="1:84" s="440" customFormat="1" ht="51" customHeight="1" x14ac:dyDescent="0.2">
      <c r="A50" s="431"/>
      <c r="B50" s="432"/>
      <c r="C50" s="432"/>
      <c r="D50" s="434"/>
      <c r="E50" s="3678"/>
      <c r="F50" s="3679"/>
      <c r="G50" s="473"/>
      <c r="H50" s="3680"/>
      <c r="I50" s="3681"/>
      <c r="J50" s="3684"/>
      <c r="K50" s="3687"/>
      <c r="L50" s="3687"/>
      <c r="M50" s="3684"/>
      <c r="N50" s="3684"/>
      <c r="O50" s="3675"/>
      <c r="P50" s="3675"/>
      <c r="Q50" s="3687"/>
      <c r="R50" s="3718"/>
      <c r="S50" s="3751"/>
      <c r="T50" s="3687"/>
      <c r="U50" s="3687"/>
      <c r="V50" s="3729"/>
      <c r="W50" s="508">
        <v>6000000</v>
      </c>
      <c r="X50" s="507"/>
      <c r="Y50" s="438"/>
      <c r="Z50" s="447">
        <v>47</v>
      </c>
      <c r="AA50" s="438" t="s">
        <v>430</v>
      </c>
      <c r="AB50" s="3675"/>
      <c r="AC50" s="3675"/>
      <c r="AD50" s="3675"/>
      <c r="AE50" s="3675"/>
      <c r="AF50" s="3691"/>
      <c r="AG50" s="443"/>
      <c r="AH50" s="3691"/>
      <c r="AI50" s="3691"/>
      <c r="AJ50" s="3691"/>
      <c r="AK50" s="3691"/>
      <c r="AL50" s="3691"/>
      <c r="AM50" s="443"/>
      <c r="AN50" s="3691"/>
      <c r="AO50" s="3691"/>
      <c r="AP50" s="3691"/>
      <c r="AQ50" s="443"/>
      <c r="AR50" s="3691"/>
      <c r="AS50" s="443"/>
      <c r="AT50" s="3691"/>
      <c r="AU50" s="443"/>
      <c r="AV50" s="3691"/>
      <c r="AW50" s="443"/>
      <c r="AX50" s="443"/>
      <c r="AY50" s="443"/>
      <c r="AZ50" s="443"/>
      <c r="BA50" s="443"/>
      <c r="BB50" s="443"/>
      <c r="BC50" s="3691"/>
      <c r="BD50" s="443"/>
      <c r="BE50" s="443"/>
      <c r="BF50" s="3691"/>
      <c r="BG50" s="3691"/>
      <c r="BH50" s="3715"/>
      <c r="BI50" s="3706"/>
      <c r="BJ50" s="3706"/>
      <c r="BK50" s="3748"/>
      <c r="BL50" s="447">
        <v>47</v>
      </c>
      <c r="BM50" s="3687"/>
      <c r="BN50" s="3712"/>
      <c r="BO50" s="3700"/>
      <c r="BP50" s="3712"/>
      <c r="BQ50" s="3700"/>
      <c r="BR50" s="3675"/>
    </row>
    <row r="51" spans="1:84" s="472" customFormat="1" ht="15" customHeight="1" x14ac:dyDescent="0.2">
      <c r="A51" s="521"/>
      <c r="B51" s="522"/>
      <c r="C51" s="522"/>
      <c r="D51" s="451"/>
      <c r="E51" s="3678"/>
      <c r="F51" s="3679"/>
      <c r="G51" s="461">
        <v>32</v>
      </c>
      <c r="H51" s="3741" t="s">
        <v>414</v>
      </c>
      <c r="I51" s="3742"/>
      <c r="J51" s="3742"/>
      <c r="K51" s="3742"/>
      <c r="L51" s="3742"/>
      <c r="M51" s="463"/>
      <c r="N51" s="463"/>
      <c r="O51" s="464"/>
      <c r="P51" s="463"/>
      <c r="Q51" s="462"/>
      <c r="R51" s="463"/>
      <c r="S51" s="465"/>
      <c r="T51" s="462"/>
      <c r="U51" s="462"/>
      <c r="V51" s="462"/>
      <c r="W51" s="523"/>
      <c r="X51" s="467"/>
      <c r="Y51" s="467"/>
      <c r="Z51" s="468"/>
      <c r="AA51" s="464"/>
      <c r="AB51" s="463"/>
      <c r="AC51" s="463"/>
      <c r="AD51" s="463"/>
      <c r="AE51" s="463"/>
      <c r="AF51" s="463"/>
      <c r="AG51" s="463"/>
      <c r="AH51" s="463"/>
      <c r="AI51" s="463"/>
      <c r="AJ51" s="463"/>
      <c r="AK51" s="463"/>
      <c r="AL51" s="463"/>
      <c r="AM51" s="463"/>
      <c r="AN51" s="463"/>
      <c r="AO51" s="463"/>
      <c r="AP51" s="463"/>
      <c r="AQ51" s="463"/>
      <c r="AR51" s="463"/>
      <c r="AS51" s="463"/>
      <c r="AT51" s="463"/>
      <c r="AU51" s="463"/>
      <c r="AV51" s="463"/>
      <c r="AW51" s="463"/>
      <c r="AX51" s="463"/>
      <c r="AY51" s="463"/>
      <c r="AZ51" s="463"/>
      <c r="BA51" s="463"/>
      <c r="BB51" s="463"/>
      <c r="BC51" s="463"/>
      <c r="BD51" s="463"/>
      <c r="BE51" s="463"/>
      <c r="BF51" s="463"/>
      <c r="BG51" s="463"/>
      <c r="BH51" s="468"/>
      <c r="BI51" s="465"/>
      <c r="BJ51" s="469"/>
      <c r="BK51" s="463"/>
      <c r="BL51" s="463"/>
      <c r="BM51" s="463"/>
      <c r="BN51" s="463"/>
      <c r="BO51" s="463"/>
      <c r="BP51" s="463"/>
      <c r="BQ51" s="463"/>
      <c r="BR51" s="471"/>
    </row>
    <row r="52" spans="1:84" s="440" customFormat="1" ht="33.75" customHeight="1" x14ac:dyDescent="0.2">
      <c r="A52" s="431"/>
      <c r="B52" s="432"/>
      <c r="C52" s="432"/>
      <c r="D52" s="434"/>
      <c r="E52" s="3678"/>
      <c r="F52" s="3679"/>
      <c r="G52" s="473"/>
      <c r="H52" s="3676"/>
      <c r="I52" s="3677"/>
      <c r="J52" s="3682">
        <v>120</v>
      </c>
      <c r="K52" s="3722" t="s">
        <v>431</v>
      </c>
      <c r="L52" s="3685" t="s">
        <v>359</v>
      </c>
      <c r="M52" s="3682">
        <v>2</v>
      </c>
      <c r="N52" s="3682">
        <v>0</v>
      </c>
      <c r="O52" s="3673" t="s">
        <v>432</v>
      </c>
      <c r="P52" s="3673" t="s">
        <v>433</v>
      </c>
      <c r="Q52" s="3685" t="s">
        <v>434</v>
      </c>
      <c r="R52" s="3716">
        <f>SUM(W52/S52)</f>
        <v>0.16372795969773299</v>
      </c>
      <c r="S52" s="3749">
        <f>SUM(W52:W56)</f>
        <v>79400000</v>
      </c>
      <c r="T52" s="3685" t="s">
        <v>435</v>
      </c>
      <c r="U52" s="3752" t="s">
        <v>436</v>
      </c>
      <c r="V52" s="3685" t="s">
        <v>437</v>
      </c>
      <c r="W52" s="3753">
        <f>20000000-7000000</f>
        <v>13000000</v>
      </c>
      <c r="X52" s="3704"/>
      <c r="Y52" s="3704"/>
      <c r="Z52" s="3698">
        <v>20</v>
      </c>
      <c r="AA52" s="3673" t="s">
        <v>368</v>
      </c>
      <c r="AB52" s="3673">
        <v>142127</v>
      </c>
      <c r="AC52" s="448"/>
      <c r="AD52" s="3673">
        <v>142127</v>
      </c>
      <c r="AE52" s="448"/>
      <c r="AF52" s="3689">
        <v>85276</v>
      </c>
      <c r="AG52" s="439"/>
      <c r="AH52" s="3689">
        <v>85276</v>
      </c>
      <c r="AI52" s="3689"/>
      <c r="AJ52" s="3689">
        <v>99489</v>
      </c>
      <c r="AK52" s="439"/>
      <c r="AL52" s="3689">
        <v>14213</v>
      </c>
      <c r="AM52" s="439"/>
      <c r="AN52" s="3689"/>
      <c r="AO52" s="3689"/>
      <c r="AP52" s="3689"/>
      <c r="AQ52" s="439"/>
      <c r="AR52" s="3689"/>
      <c r="AS52" s="439"/>
      <c r="AT52" s="3689"/>
      <c r="AU52" s="439"/>
      <c r="AV52" s="3689"/>
      <c r="AW52" s="439"/>
      <c r="AX52" s="439"/>
      <c r="AY52" s="439"/>
      <c r="AZ52" s="439"/>
      <c r="BA52" s="439"/>
      <c r="BB52" s="439"/>
      <c r="BC52" s="439"/>
      <c r="BD52" s="439"/>
      <c r="BE52" s="439"/>
      <c r="BF52" s="3689">
        <f>+AB52+AD52</f>
        <v>284254</v>
      </c>
      <c r="BG52" s="3689"/>
      <c r="BH52" s="3713">
        <v>2</v>
      </c>
      <c r="BI52" s="3704">
        <f>SUM(X52:X56)</f>
        <v>23944000</v>
      </c>
      <c r="BJ52" s="3704">
        <f>SUM(Y52:Y56)</f>
        <v>7166000</v>
      </c>
      <c r="BK52" s="3746">
        <f>BJ52/BI52</f>
        <v>0.29928165720013367</v>
      </c>
      <c r="BL52" s="447">
        <v>20</v>
      </c>
      <c r="BM52" s="3685" t="s">
        <v>438</v>
      </c>
      <c r="BN52" s="3710">
        <v>43466</v>
      </c>
      <c r="BO52" s="3710">
        <v>43489</v>
      </c>
      <c r="BP52" s="3710">
        <v>43830</v>
      </c>
      <c r="BQ52" s="3710">
        <v>43630</v>
      </c>
      <c r="BR52" s="3673" t="s">
        <v>355</v>
      </c>
    </row>
    <row r="53" spans="1:84" s="440" customFormat="1" ht="33.75" customHeight="1" x14ac:dyDescent="0.2">
      <c r="A53" s="431"/>
      <c r="B53" s="432"/>
      <c r="C53" s="432"/>
      <c r="D53" s="434"/>
      <c r="E53" s="3678"/>
      <c r="F53" s="3679"/>
      <c r="G53" s="473"/>
      <c r="H53" s="3678"/>
      <c r="I53" s="3679"/>
      <c r="J53" s="3683"/>
      <c r="K53" s="3723"/>
      <c r="L53" s="3686"/>
      <c r="M53" s="3684"/>
      <c r="N53" s="3684"/>
      <c r="O53" s="3674"/>
      <c r="P53" s="3674"/>
      <c r="Q53" s="3686"/>
      <c r="R53" s="3717"/>
      <c r="S53" s="3750"/>
      <c r="T53" s="3686"/>
      <c r="U53" s="3752"/>
      <c r="V53" s="3687"/>
      <c r="W53" s="3754"/>
      <c r="X53" s="3706"/>
      <c r="Y53" s="3706"/>
      <c r="Z53" s="3700"/>
      <c r="AA53" s="3675"/>
      <c r="AB53" s="3674"/>
      <c r="AC53" s="451"/>
      <c r="AD53" s="3674"/>
      <c r="AE53" s="451"/>
      <c r="AF53" s="3690"/>
      <c r="AG53" s="441"/>
      <c r="AH53" s="3690"/>
      <c r="AI53" s="3690"/>
      <c r="AJ53" s="3690"/>
      <c r="AK53" s="441"/>
      <c r="AL53" s="3690"/>
      <c r="AM53" s="441"/>
      <c r="AN53" s="3690"/>
      <c r="AO53" s="3690"/>
      <c r="AP53" s="3690"/>
      <c r="AQ53" s="441"/>
      <c r="AR53" s="3690"/>
      <c r="AS53" s="441"/>
      <c r="AT53" s="3690"/>
      <c r="AU53" s="441"/>
      <c r="AV53" s="3690"/>
      <c r="AW53" s="441"/>
      <c r="AX53" s="441"/>
      <c r="AY53" s="441"/>
      <c r="AZ53" s="441"/>
      <c r="BA53" s="441"/>
      <c r="BB53" s="441"/>
      <c r="BC53" s="441"/>
      <c r="BD53" s="441"/>
      <c r="BE53" s="441"/>
      <c r="BF53" s="3690"/>
      <c r="BG53" s="3690"/>
      <c r="BH53" s="3714"/>
      <c r="BI53" s="3705"/>
      <c r="BJ53" s="3705"/>
      <c r="BK53" s="3747"/>
      <c r="BL53" s="447"/>
      <c r="BM53" s="3686"/>
      <c r="BN53" s="3711"/>
      <c r="BO53" s="3699"/>
      <c r="BP53" s="3711"/>
      <c r="BQ53" s="3699"/>
      <c r="BR53" s="3674"/>
    </row>
    <row r="54" spans="1:84" s="440" customFormat="1" ht="39.75" customHeight="1" x14ac:dyDescent="0.2">
      <c r="A54" s="431"/>
      <c r="B54" s="432"/>
      <c r="C54" s="432"/>
      <c r="D54" s="434"/>
      <c r="E54" s="3678"/>
      <c r="F54" s="3679"/>
      <c r="G54" s="473"/>
      <c r="H54" s="3678"/>
      <c r="I54" s="3679"/>
      <c r="J54" s="3682">
        <v>121</v>
      </c>
      <c r="K54" s="3722" t="s">
        <v>439</v>
      </c>
      <c r="L54" s="3686"/>
      <c r="M54" s="3682">
        <v>4</v>
      </c>
      <c r="N54" s="3682">
        <v>2</v>
      </c>
      <c r="O54" s="3674"/>
      <c r="P54" s="3674"/>
      <c r="Q54" s="3686"/>
      <c r="R54" s="3716">
        <f>SUM(W54:W56/S52)</f>
        <v>0.69939546599496216</v>
      </c>
      <c r="S54" s="3750"/>
      <c r="T54" s="3686"/>
      <c r="U54" s="3722" t="s">
        <v>440</v>
      </c>
      <c r="V54" s="3685" t="s">
        <v>441</v>
      </c>
      <c r="W54" s="3753">
        <f>31760000+23772000</f>
        <v>55532000</v>
      </c>
      <c r="X54" s="3704">
        <v>23944000</v>
      </c>
      <c r="Y54" s="3704">
        <v>7166000</v>
      </c>
      <c r="Z54" s="3698">
        <v>20</v>
      </c>
      <c r="AA54" s="3673" t="s">
        <v>368</v>
      </c>
      <c r="AB54" s="3674"/>
      <c r="AC54" s="451"/>
      <c r="AD54" s="3674"/>
      <c r="AE54" s="451"/>
      <c r="AF54" s="3690"/>
      <c r="AG54" s="441"/>
      <c r="AH54" s="3690"/>
      <c r="AI54" s="3690"/>
      <c r="AJ54" s="3690"/>
      <c r="AK54" s="441"/>
      <c r="AL54" s="3690"/>
      <c r="AM54" s="441"/>
      <c r="AN54" s="3690"/>
      <c r="AO54" s="3690"/>
      <c r="AP54" s="3690"/>
      <c r="AQ54" s="441"/>
      <c r="AR54" s="3690"/>
      <c r="AS54" s="441"/>
      <c r="AT54" s="3690"/>
      <c r="AU54" s="441"/>
      <c r="AV54" s="3690"/>
      <c r="AW54" s="441"/>
      <c r="AX54" s="441"/>
      <c r="AY54" s="441"/>
      <c r="AZ54" s="441"/>
      <c r="BA54" s="441"/>
      <c r="BB54" s="441"/>
      <c r="BC54" s="441"/>
      <c r="BD54" s="441"/>
      <c r="BE54" s="441"/>
      <c r="BF54" s="3690"/>
      <c r="BG54" s="3690"/>
      <c r="BH54" s="3714"/>
      <c r="BI54" s="3705"/>
      <c r="BJ54" s="3705"/>
      <c r="BK54" s="3747"/>
      <c r="BL54" s="447"/>
      <c r="BM54" s="3686"/>
      <c r="BN54" s="3711"/>
      <c r="BO54" s="3699"/>
      <c r="BP54" s="3711"/>
      <c r="BQ54" s="3699"/>
      <c r="BR54" s="3674"/>
    </row>
    <row r="55" spans="1:84" s="440" customFormat="1" ht="39" customHeight="1" x14ac:dyDescent="0.2">
      <c r="A55" s="431"/>
      <c r="B55" s="432"/>
      <c r="C55" s="432"/>
      <c r="D55" s="434"/>
      <c r="E55" s="3678"/>
      <c r="F55" s="3679"/>
      <c r="G55" s="473"/>
      <c r="H55" s="3678"/>
      <c r="I55" s="3679"/>
      <c r="J55" s="3683"/>
      <c r="K55" s="3723"/>
      <c r="L55" s="3686"/>
      <c r="M55" s="3683"/>
      <c r="N55" s="3683"/>
      <c r="O55" s="3674"/>
      <c r="P55" s="3674"/>
      <c r="Q55" s="3686"/>
      <c r="R55" s="3717"/>
      <c r="S55" s="3750"/>
      <c r="T55" s="3686"/>
      <c r="U55" s="3723"/>
      <c r="V55" s="3687"/>
      <c r="W55" s="3754"/>
      <c r="X55" s="3706"/>
      <c r="Y55" s="3706"/>
      <c r="Z55" s="3700"/>
      <c r="AA55" s="3675"/>
      <c r="AB55" s="3674"/>
      <c r="AC55" s="451"/>
      <c r="AD55" s="3674"/>
      <c r="AE55" s="451"/>
      <c r="AF55" s="3690"/>
      <c r="AG55" s="441"/>
      <c r="AH55" s="3690"/>
      <c r="AI55" s="3690"/>
      <c r="AJ55" s="3690"/>
      <c r="AK55" s="441"/>
      <c r="AL55" s="3690"/>
      <c r="AM55" s="441"/>
      <c r="AN55" s="3690"/>
      <c r="AO55" s="3690"/>
      <c r="AP55" s="3690"/>
      <c r="AQ55" s="441"/>
      <c r="AR55" s="3690"/>
      <c r="AS55" s="441"/>
      <c r="AT55" s="3690"/>
      <c r="AU55" s="441"/>
      <c r="AV55" s="3690"/>
      <c r="AW55" s="441"/>
      <c r="AX55" s="441"/>
      <c r="AY55" s="441"/>
      <c r="AZ55" s="441"/>
      <c r="BA55" s="441"/>
      <c r="BB55" s="441"/>
      <c r="BC55" s="441"/>
      <c r="BD55" s="441"/>
      <c r="BE55" s="441"/>
      <c r="BF55" s="3690"/>
      <c r="BG55" s="3690"/>
      <c r="BH55" s="3714"/>
      <c r="BI55" s="3705"/>
      <c r="BJ55" s="3705"/>
      <c r="BK55" s="3747"/>
      <c r="BL55" s="447">
        <v>20</v>
      </c>
      <c r="BM55" s="3686"/>
      <c r="BN55" s="3711"/>
      <c r="BO55" s="3699"/>
      <c r="BP55" s="3711"/>
      <c r="BQ55" s="3699"/>
      <c r="BR55" s="3674"/>
    </row>
    <row r="56" spans="1:84" s="472" customFormat="1" ht="40.5" customHeight="1" thickBot="1" x14ac:dyDescent="0.25">
      <c r="A56" s="431"/>
      <c r="B56" s="432"/>
      <c r="C56" s="432"/>
      <c r="D56" s="434"/>
      <c r="E56" s="3678"/>
      <c r="F56" s="3679"/>
      <c r="G56" s="473"/>
      <c r="H56" s="3678"/>
      <c r="I56" s="3679"/>
      <c r="J56" s="3683"/>
      <c r="K56" s="3723"/>
      <c r="L56" s="3686"/>
      <c r="M56" s="3757"/>
      <c r="N56" s="3683"/>
      <c r="O56" s="3674"/>
      <c r="P56" s="3674"/>
      <c r="Q56" s="3686"/>
      <c r="R56" s="3717"/>
      <c r="S56" s="3750"/>
      <c r="T56" s="3686"/>
      <c r="U56" s="3723"/>
      <c r="V56" s="524" t="s">
        <v>442</v>
      </c>
      <c r="W56" s="525">
        <f>2382000+8486000</f>
        <v>10868000</v>
      </c>
      <c r="X56" s="457"/>
      <c r="Y56" s="457"/>
      <c r="Z56" s="526">
        <v>20</v>
      </c>
      <c r="AA56" s="448" t="s">
        <v>368</v>
      </c>
      <c r="AB56" s="3674"/>
      <c r="AC56" s="451"/>
      <c r="AD56" s="3674"/>
      <c r="AE56" s="451"/>
      <c r="AF56" s="3690"/>
      <c r="AG56" s="441"/>
      <c r="AH56" s="3690"/>
      <c r="AI56" s="3690"/>
      <c r="AJ56" s="3690"/>
      <c r="AK56" s="441"/>
      <c r="AL56" s="3690"/>
      <c r="AM56" s="441"/>
      <c r="AN56" s="3690"/>
      <c r="AO56" s="3690"/>
      <c r="AP56" s="3690"/>
      <c r="AQ56" s="441"/>
      <c r="AR56" s="3690"/>
      <c r="AS56" s="441"/>
      <c r="AT56" s="3690"/>
      <c r="AU56" s="441"/>
      <c r="AV56" s="3690"/>
      <c r="AW56" s="441"/>
      <c r="AX56" s="441"/>
      <c r="AY56" s="441"/>
      <c r="AZ56" s="441"/>
      <c r="BA56" s="441"/>
      <c r="BB56" s="441"/>
      <c r="BC56" s="441"/>
      <c r="BD56" s="441"/>
      <c r="BE56" s="441"/>
      <c r="BF56" s="3690"/>
      <c r="BG56" s="3690"/>
      <c r="BH56" s="3714"/>
      <c r="BI56" s="3705"/>
      <c r="BJ56" s="3705"/>
      <c r="BK56" s="3747"/>
      <c r="BL56" s="447">
        <v>20</v>
      </c>
      <c r="BM56" s="3686"/>
      <c r="BN56" s="3711"/>
      <c r="BO56" s="3699"/>
      <c r="BP56" s="3711"/>
      <c r="BQ56" s="3699"/>
      <c r="BR56" s="3674"/>
    </row>
    <row r="57" spans="1:84" s="472" customFormat="1" ht="22.5" customHeight="1" thickBot="1" x14ac:dyDescent="0.25">
      <c r="A57" s="527"/>
      <c r="B57" s="528"/>
      <c r="C57" s="528"/>
      <c r="D57" s="528"/>
      <c r="E57" s="528"/>
      <c r="F57" s="528"/>
      <c r="G57" s="528"/>
      <c r="H57" s="528"/>
      <c r="I57" s="528"/>
      <c r="J57" s="529"/>
      <c r="K57" s="530"/>
      <c r="L57" s="530"/>
      <c r="M57" s="528"/>
      <c r="N57" s="528"/>
      <c r="O57" s="528"/>
      <c r="P57" s="528"/>
      <c r="Q57" s="531" t="s">
        <v>334</v>
      </c>
      <c r="R57" s="532"/>
      <c r="S57" s="533">
        <f>SUM(S16:S56)</f>
        <v>5418161534</v>
      </c>
      <c r="T57" s="530"/>
      <c r="U57" s="530"/>
      <c r="V57" s="530"/>
      <c r="W57" s="534">
        <f>SUM(W16:W56)</f>
        <v>5418161534</v>
      </c>
      <c r="X57" s="535">
        <f>SUM(X16:X56)</f>
        <v>355687000</v>
      </c>
      <c r="Y57" s="533">
        <f>SUM(Y16:Y56)</f>
        <v>88780000</v>
      </c>
      <c r="Z57" s="536"/>
      <c r="AA57" s="537"/>
      <c r="AB57" s="528"/>
      <c r="AC57" s="528"/>
      <c r="AD57" s="528"/>
      <c r="AE57" s="528"/>
      <c r="AF57" s="538"/>
      <c r="AG57" s="538"/>
      <c r="AH57" s="539"/>
      <c r="AI57" s="538"/>
      <c r="AJ57" s="538"/>
      <c r="AK57" s="538"/>
      <c r="AL57" s="538"/>
      <c r="AM57" s="538"/>
      <c r="AN57" s="538"/>
      <c r="AO57" s="538"/>
      <c r="AP57" s="538"/>
      <c r="AQ57" s="538"/>
      <c r="AR57" s="538"/>
      <c r="AS57" s="538"/>
      <c r="AT57" s="538"/>
      <c r="AU57" s="538"/>
      <c r="AV57" s="538"/>
      <c r="AW57" s="538"/>
      <c r="AX57" s="538"/>
      <c r="AY57" s="538"/>
      <c r="AZ57" s="538"/>
      <c r="BA57" s="538"/>
      <c r="BB57" s="538"/>
      <c r="BC57" s="538"/>
      <c r="BD57" s="538"/>
      <c r="BE57" s="538"/>
      <c r="BF57" s="538"/>
      <c r="BG57" s="538"/>
      <c r="BH57" s="540"/>
      <c r="BI57" s="533">
        <f>SUM(BI16:BI56)</f>
        <v>355687000</v>
      </c>
      <c r="BJ57" s="533">
        <f>SUM(BJ16:BJ56)</f>
        <v>88780000</v>
      </c>
      <c r="BK57" s="541"/>
      <c r="BL57" s="530"/>
      <c r="BM57" s="530"/>
      <c r="BN57" s="542"/>
      <c r="BO57" s="542"/>
      <c r="BP57" s="542"/>
      <c r="BQ57" s="542"/>
      <c r="BR57" s="543"/>
    </row>
    <row r="58" spans="1:84" s="367" customFormat="1" ht="15" x14ac:dyDescent="0.2">
      <c r="K58" s="544"/>
      <c r="L58" s="544"/>
      <c r="M58" s="545"/>
      <c r="N58" s="545"/>
      <c r="O58" s="546"/>
      <c r="P58" s="545"/>
      <c r="Q58" s="544"/>
      <c r="R58" s="546"/>
      <c r="S58" s="547"/>
      <c r="T58" s="544"/>
      <c r="U58" s="544"/>
      <c r="V58" s="544"/>
      <c r="W58" s="548"/>
      <c r="X58" s="549"/>
      <c r="Y58" s="549"/>
      <c r="Z58" s="550"/>
      <c r="AA58" s="418"/>
      <c r="AB58" s="551"/>
      <c r="AC58" s="551"/>
      <c r="AD58" s="551"/>
      <c r="AE58" s="551"/>
      <c r="BH58" s="552"/>
      <c r="BI58" s="553"/>
      <c r="BJ58" s="554"/>
      <c r="BK58" s="555"/>
      <c r="BL58" s="556"/>
      <c r="BM58" s="556"/>
      <c r="BN58" s="557"/>
      <c r="BO58" s="557"/>
      <c r="BP58" s="557"/>
      <c r="BQ58" s="557"/>
    </row>
    <row r="59" spans="1:84" s="367" customFormat="1" ht="15" x14ac:dyDescent="0.2">
      <c r="K59" s="544"/>
      <c r="L59" s="544"/>
      <c r="M59" s="545"/>
      <c r="N59" s="545"/>
      <c r="O59" s="546"/>
      <c r="P59" s="545"/>
      <c r="Q59" s="544"/>
      <c r="R59" s="546"/>
      <c r="S59" s="547"/>
      <c r="T59" s="544"/>
      <c r="U59" s="544"/>
      <c r="V59" s="544"/>
      <c r="W59" s="548"/>
      <c r="X59" s="549"/>
      <c r="Y59" s="549"/>
      <c r="Z59" s="550"/>
      <c r="AA59" s="418"/>
      <c r="AB59" s="551"/>
      <c r="AC59" s="551"/>
      <c r="AD59" s="551"/>
      <c r="AE59" s="551"/>
      <c r="BH59" s="552"/>
      <c r="BI59" s="553"/>
      <c r="BJ59" s="554"/>
      <c r="BK59" s="555"/>
      <c r="BL59" s="556"/>
      <c r="BM59" s="556"/>
      <c r="BN59" s="557"/>
      <c r="BO59" s="557"/>
      <c r="BP59" s="557"/>
      <c r="BQ59" s="557"/>
    </row>
    <row r="60" spans="1:84" s="367" customFormat="1" ht="15" x14ac:dyDescent="0.2">
      <c r="K60" s="544"/>
      <c r="L60" s="544"/>
      <c r="M60" s="545"/>
      <c r="N60" s="545"/>
      <c r="O60" s="546"/>
      <c r="P60" s="545"/>
      <c r="Q60" s="544"/>
      <c r="R60" s="546"/>
      <c r="S60" s="547"/>
      <c r="T60" s="544"/>
      <c r="U60" s="544"/>
      <c r="V60" s="544"/>
      <c r="W60" s="548"/>
      <c r="X60" s="549"/>
      <c r="Y60" s="549"/>
      <c r="Z60" s="550"/>
      <c r="AA60" s="418"/>
      <c r="AB60" s="551"/>
      <c r="AC60" s="551"/>
      <c r="AD60" s="551"/>
      <c r="AE60" s="551"/>
      <c r="BH60" s="552"/>
      <c r="BI60" s="553"/>
      <c r="BJ60" s="554"/>
      <c r="BK60" s="555"/>
      <c r="BL60" s="556"/>
      <c r="BM60" s="556"/>
      <c r="BN60" s="557"/>
      <c r="BO60" s="557"/>
      <c r="BP60" s="557"/>
      <c r="BQ60" s="557"/>
    </row>
    <row r="61" spans="1:84" s="367" customFormat="1" ht="15.75" x14ac:dyDescent="0.25">
      <c r="A61" s="545"/>
      <c r="B61" s="545"/>
      <c r="C61" s="545"/>
      <c r="D61" s="3755" t="s">
        <v>443</v>
      </c>
      <c r="E61" s="3755"/>
      <c r="F61" s="3755"/>
      <c r="G61" s="3755"/>
      <c r="H61" s="3755"/>
      <c r="I61" s="3755"/>
      <c r="J61" s="545"/>
      <c r="K61" s="544"/>
      <c r="L61" s="544"/>
      <c r="M61" s="558"/>
      <c r="N61" s="558"/>
      <c r="O61" s="546"/>
      <c r="P61" s="545"/>
      <c r="Q61" s="544"/>
      <c r="R61" s="545"/>
      <c r="S61" s="559"/>
      <c r="T61" s="560"/>
      <c r="U61" s="544"/>
      <c r="V61" s="544"/>
      <c r="W61" s="548"/>
      <c r="X61" s="549"/>
      <c r="Y61" s="549"/>
      <c r="Z61" s="550"/>
      <c r="AA61" s="561"/>
      <c r="AB61" s="562"/>
      <c r="AC61" s="562"/>
      <c r="AD61" s="562"/>
      <c r="AE61" s="562"/>
      <c r="AF61" s="562"/>
      <c r="AG61" s="562"/>
      <c r="AH61" s="563"/>
      <c r="AI61" s="551"/>
      <c r="AJ61" s="551"/>
      <c r="AK61" s="551"/>
      <c r="BH61" s="552"/>
      <c r="BI61" s="564"/>
      <c r="BJ61" s="564"/>
      <c r="BK61" s="555"/>
      <c r="BL61" s="556"/>
      <c r="BM61" s="556"/>
      <c r="BN61" s="557"/>
      <c r="BO61" s="557"/>
      <c r="BP61" s="557"/>
      <c r="BQ61" s="557"/>
      <c r="CB61" s="565"/>
      <c r="CC61" s="565"/>
      <c r="CD61" s="566"/>
      <c r="CE61" s="566"/>
      <c r="CF61" s="567"/>
    </row>
    <row r="62" spans="1:84" s="367" customFormat="1" ht="15.75" x14ac:dyDescent="0.2">
      <c r="A62" s="545"/>
      <c r="B62" s="545"/>
      <c r="C62" s="545"/>
      <c r="D62" s="3756" t="s">
        <v>444</v>
      </c>
      <c r="E62" s="3756"/>
      <c r="F62" s="3756"/>
      <c r="G62" s="3756"/>
      <c r="H62" s="3756"/>
      <c r="I62" s="3756"/>
      <c r="J62" s="545"/>
      <c r="K62" s="544"/>
      <c r="L62" s="544"/>
      <c r="M62" s="558"/>
      <c r="N62" s="558"/>
      <c r="O62" s="546"/>
      <c r="P62" s="545"/>
      <c r="Q62" s="544"/>
      <c r="R62" s="545"/>
      <c r="S62" s="559"/>
      <c r="T62" s="560"/>
      <c r="U62" s="544"/>
      <c r="V62" s="544"/>
      <c r="W62" s="568"/>
      <c r="X62" s="569"/>
      <c r="Y62" s="569"/>
      <c r="Z62" s="550"/>
      <c r="AA62" s="561"/>
      <c r="AB62" s="562"/>
      <c r="AC62" s="562"/>
      <c r="AD62" s="562"/>
      <c r="AE62" s="562"/>
      <c r="AF62" s="562"/>
      <c r="AG62" s="562"/>
      <c r="AH62" s="563"/>
      <c r="AI62" s="551"/>
      <c r="AJ62" s="551"/>
      <c r="AK62" s="551"/>
      <c r="BH62" s="552"/>
      <c r="BI62" s="564"/>
      <c r="BJ62" s="564"/>
      <c r="BK62" s="555"/>
      <c r="BL62" s="556"/>
      <c r="BM62" s="556"/>
      <c r="BN62" s="557"/>
      <c r="BO62" s="557"/>
      <c r="BP62" s="557"/>
      <c r="BQ62" s="557"/>
      <c r="BW62" s="570"/>
      <c r="BX62" s="570"/>
      <c r="CB62" s="565"/>
      <c r="CC62" s="565"/>
      <c r="CD62" s="566"/>
      <c r="CE62" s="566"/>
      <c r="CF62" s="567"/>
    </row>
  </sheetData>
  <sheetProtection password="F3F4" sheet="1" objects="1" scenarios="1"/>
  <mergeCells count="449">
    <mergeCell ref="D61:I61"/>
    <mergeCell ref="D62:I62"/>
    <mergeCell ref="BP52:BP56"/>
    <mergeCell ref="BQ52:BQ56"/>
    <mergeCell ref="BR52:BR56"/>
    <mergeCell ref="J54:J56"/>
    <mergeCell ref="K54:K56"/>
    <mergeCell ref="M54:M56"/>
    <mergeCell ref="N54:N56"/>
    <mergeCell ref="R54:R56"/>
    <mergeCell ref="U54:U56"/>
    <mergeCell ref="V54:V55"/>
    <mergeCell ref="BI52:BI56"/>
    <mergeCell ref="BJ52:BJ56"/>
    <mergeCell ref="BK52:BK56"/>
    <mergeCell ref="BM52:BM56"/>
    <mergeCell ref="BN52:BN56"/>
    <mergeCell ref="BO52:BO56"/>
    <mergeCell ref="AR52:AR56"/>
    <mergeCell ref="AT52:AT56"/>
    <mergeCell ref="AV52:AV56"/>
    <mergeCell ref="BF52:BF56"/>
    <mergeCell ref="BG52:BG56"/>
    <mergeCell ref="BH52:BH56"/>
    <mergeCell ref="AI52:AI56"/>
    <mergeCell ref="AJ52:AJ56"/>
    <mergeCell ref="AL52:AL56"/>
    <mergeCell ref="AN52:AN56"/>
    <mergeCell ref="AO52:AO56"/>
    <mergeCell ref="AP52:AP56"/>
    <mergeCell ref="Z52:Z53"/>
    <mergeCell ref="AA52:AA53"/>
    <mergeCell ref="AB52:AB56"/>
    <mergeCell ref="AD52:AD56"/>
    <mergeCell ref="AF52:AF56"/>
    <mergeCell ref="AH52:AH56"/>
    <mergeCell ref="Z54:Z55"/>
    <mergeCell ref="AA54:AA55"/>
    <mergeCell ref="T44:T50"/>
    <mergeCell ref="U44:U48"/>
    <mergeCell ref="V44:V46"/>
    <mergeCell ref="AB44:AB50"/>
    <mergeCell ref="AC44:AC50"/>
    <mergeCell ref="AD44:AD50"/>
    <mergeCell ref="N44:N50"/>
    <mergeCell ref="O44:O50"/>
    <mergeCell ref="T52:T56"/>
    <mergeCell ref="U52:U53"/>
    <mergeCell ref="V52:V53"/>
    <mergeCell ref="W52:W53"/>
    <mergeCell ref="X52:X53"/>
    <mergeCell ref="Y52:Y53"/>
    <mergeCell ref="W54:W55"/>
    <mergeCell ref="X54:X55"/>
    <mergeCell ref="Y54:Y55"/>
    <mergeCell ref="R52:R53"/>
    <mergeCell ref="S52:S56"/>
    <mergeCell ref="BQ44:BQ50"/>
    <mergeCell ref="BR44:BR50"/>
    <mergeCell ref="U49:U50"/>
    <mergeCell ref="V49:V50"/>
    <mergeCell ref="BN44:BN50"/>
    <mergeCell ref="BO44:BO50"/>
    <mergeCell ref="BP44:BP50"/>
    <mergeCell ref="AI44:AI50"/>
    <mergeCell ref="AJ44:AJ50"/>
    <mergeCell ref="AK44:AK50"/>
    <mergeCell ref="AL44:AL50"/>
    <mergeCell ref="AN44:AN50"/>
    <mergeCell ref="AO44:AO50"/>
    <mergeCell ref="AP44:AP50"/>
    <mergeCell ref="AR44:AR50"/>
    <mergeCell ref="AT44:AT50"/>
    <mergeCell ref="AE44:AE50"/>
    <mergeCell ref="AF44:AF50"/>
    <mergeCell ref="AH44:AH50"/>
    <mergeCell ref="BJ44:BJ50"/>
    <mergeCell ref="BK44:BK50"/>
    <mergeCell ref="BM44:BM50"/>
    <mergeCell ref="AV44:AV50"/>
    <mergeCell ref="BC44:BC50"/>
    <mergeCell ref="BF44:BF50"/>
    <mergeCell ref="BG44:BG50"/>
    <mergeCell ref="BH44:BH50"/>
    <mergeCell ref="BI44:BI50"/>
    <mergeCell ref="P44:P50"/>
    <mergeCell ref="Q44:Q50"/>
    <mergeCell ref="R44:R50"/>
    <mergeCell ref="S44:S50"/>
    <mergeCell ref="E44:F56"/>
    <mergeCell ref="H44:I50"/>
    <mergeCell ref="J44:J50"/>
    <mergeCell ref="K44:K50"/>
    <mergeCell ref="L44:L50"/>
    <mergeCell ref="M44:M50"/>
    <mergeCell ref="H51:L51"/>
    <mergeCell ref="H52:I56"/>
    <mergeCell ref="J52:J53"/>
    <mergeCell ref="K52:K53"/>
    <mergeCell ref="L52:L56"/>
    <mergeCell ref="M52:M53"/>
    <mergeCell ref="N52:N53"/>
    <mergeCell ref="O52:O56"/>
    <mergeCell ref="P52:P56"/>
    <mergeCell ref="Q52:Q56"/>
    <mergeCell ref="BQ35:BQ41"/>
    <mergeCell ref="BR35:BR41"/>
    <mergeCell ref="U39:U41"/>
    <mergeCell ref="V39:V40"/>
    <mergeCell ref="E42:K42"/>
    <mergeCell ref="H43:L43"/>
    <mergeCell ref="BJ35:BJ41"/>
    <mergeCell ref="BK35:BK41"/>
    <mergeCell ref="BM35:BM41"/>
    <mergeCell ref="BN35:BN41"/>
    <mergeCell ref="BO35:BO41"/>
    <mergeCell ref="BP35:BP41"/>
    <mergeCell ref="BD35:BD41"/>
    <mergeCell ref="BE35:BE41"/>
    <mergeCell ref="BF35:BF41"/>
    <mergeCell ref="BG35:BG41"/>
    <mergeCell ref="BH35:BH41"/>
    <mergeCell ref="BI35:BI41"/>
    <mergeCell ref="AX35:AX41"/>
    <mergeCell ref="AY35:AY41"/>
    <mergeCell ref="AZ35:AZ41"/>
    <mergeCell ref="BA35:BA41"/>
    <mergeCell ref="BB35:BB41"/>
    <mergeCell ref="BC35:BC41"/>
    <mergeCell ref="AR35:AR41"/>
    <mergeCell ref="AS35:AS41"/>
    <mergeCell ref="AT35:AT41"/>
    <mergeCell ref="AU35:AU41"/>
    <mergeCell ref="AV35:AV41"/>
    <mergeCell ref="AW35:AW41"/>
    <mergeCell ref="AL35:AL41"/>
    <mergeCell ref="AM35:AM41"/>
    <mergeCell ref="AN35:AN41"/>
    <mergeCell ref="AO35:AO41"/>
    <mergeCell ref="AP35:AP41"/>
    <mergeCell ref="AQ35:AQ41"/>
    <mergeCell ref="AF35:AF41"/>
    <mergeCell ref="AG35:AG41"/>
    <mergeCell ref="AH35:AH41"/>
    <mergeCell ref="AI35:AI41"/>
    <mergeCell ref="AJ35:AJ41"/>
    <mergeCell ref="AK35:AK41"/>
    <mergeCell ref="T35:T41"/>
    <mergeCell ref="U35:U38"/>
    <mergeCell ref="AB35:AB41"/>
    <mergeCell ref="AC35:AC41"/>
    <mergeCell ref="AD35:AD41"/>
    <mergeCell ref="AE35:AE41"/>
    <mergeCell ref="N35:N41"/>
    <mergeCell ref="O35:O41"/>
    <mergeCell ref="P35:P41"/>
    <mergeCell ref="Q35:Q41"/>
    <mergeCell ref="R35:R41"/>
    <mergeCell ref="S35:S41"/>
    <mergeCell ref="H34:K34"/>
    <mergeCell ref="H35:I41"/>
    <mergeCell ref="J35:J41"/>
    <mergeCell ref="K35:K41"/>
    <mergeCell ref="L35:L41"/>
    <mergeCell ref="M35:M41"/>
    <mergeCell ref="BM32:BM33"/>
    <mergeCell ref="BN32:BN33"/>
    <mergeCell ref="BO32:BO33"/>
    <mergeCell ref="BP32:BP33"/>
    <mergeCell ref="BQ32:BQ33"/>
    <mergeCell ref="BR32:BR33"/>
    <mergeCell ref="BG32:BG33"/>
    <mergeCell ref="BH32:BH33"/>
    <mergeCell ref="BI32:BI33"/>
    <mergeCell ref="BJ32:BJ33"/>
    <mergeCell ref="BK32:BK33"/>
    <mergeCell ref="BL32:BL33"/>
    <mergeCell ref="BA32:BA33"/>
    <mergeCell ref="BB32:BB33"/>
    <mergeCell ref="BC32:BC33"/>
    <mergeCell ref="BD32:BD33"/>
    <mergeCell ref="BE32:BE33"/>
    <mergeCell ref="BF32:BF33"/>
    <mergeCell ref="AU32:AU33"/>
    <mergeCell ref="AV32:AV33"/>
    <mergeCell ref="AW32:AW33"/>
    <mergeCell ref="AX32:AX33"/>
    <mergeCell ref="AY32:AY33"/>
    <mergeCell ref="AZ32:AZ33"/>
    <mergeCell ref="AO32:AO33"/>
    <mergeCell ref="AP32:AP33"/>
    <mergeCell ref="AQ32:AQ33"/>
    <mergeCell ref="AR32:AR33"/>
    <mergeCell ref="AS32:AS33"/>
    <mergeCell ref="AT32:AT33"/>
    <mergeCell ref="AI32:AI33"/>
    <mergeCell ref="AJ32:AJ33"/>
    <mergeCell ref="AK32:AK33"/>
    <mergeCell ref="AL32:AL33"/>
    <mergeCell ref="AM32:AM33"/>
    <mergeCell ref="AN32:AN33"/>
    <mergeCell ref="AF32:AF33"/>
    <mergeCell ref="AG32:AG33"/>
    <mergeCell ref="AH32:AH33"/>
    <mergeCell ref="Q32:Q33"/>
    <mergeCell ref="R32:R33"/>
    <mergeCell ref="S32:S33"/>
    <mergeCell ref="T32:T33"/>
    <mergeCell ref="U32:U33"/>
    <mergeCell ref="AB32:AB33"/>
    <mergeCell ref="J27:J30"/>
    <mergeCell ref="K27:K30"/>
    <mergeCell ref="L27:L30"/>
    <mergeCell ref="M27:M30"/>
    <mergeCell ref="N27:N30"/>
    <mergeCell ref="R27:R30"/>
    <mergeCell ref="AC32:AC33"/>
    <mergeCell ref="AD32:AD33"/>
    <mergeCell ref="AE32:AE33"/>
    <mergeCell ref="H31:K31"/>
    <mergeCell ref="H32:I33"/>
    <mergeCell ref="J32:J33"/>
    <mergeCell ref="K32:K33"/>
    <mergeCell ref="L32:L33"/>
    <mergeCell ref="M32:M33"/>
    <mergeCell ref="N32:N33"/>
    <mergeCell ref="O32:O33"/>
    <mergeCell ref="P32:P33"/>
    <mergeCell ref="BO19:BO30"/>
    <mergeCell ref="BP19:BP30"/>
    <mergeCell ref="BQ19:BQ30"/>
    <mergeCell ref="BR19:BR30"/>
    <mergeCell ref="V20:V21"/>
    <mergeCell ref="J23:J26"/>
    <mergeCell ref="K23:K26"/>
    <mergeCell ref="L23:L25"/>
    <mergeCell ref="M23:M26"/>
    <mergeCell ref="N23:N26"/>
    <mergeCell ref="BH19:BH30"/>
    <mergeCell ref="BI19:BI30"/>
    <mergeCell ref="BJ19:BJ30"/>
    <mergeCell ref="BK19:BK30"/>
    <mergeCell ref="BM19:BM30"/>
    <mergeCell ref="BN19:BN30"/>
    <mergeCell ref="BB19:BB30"/>
    <mergeCell ref="BC19:BC30"/>
    <mergeCell ref="BD19:BD30"/>
    <mergeCell ref="BE19:BE30"/>
    <mergeCell ref="BF19:BF30"/>
    <mergeCell ref="BG19:BG30"/>
    <mergeCell ref="AV19:AV30"/>
    <mergeCell ref="AW19:AW30"/>
    <mergeCell ref="AX19:AX30"/>
    <mergeCell ref="AY19:AY30"/>
    <mergeCell ref="AZ19:AZ30"/>
    <mergeCell ref="BA19:BA30"/>
    <mergeCell ref="AP19:AP30"/>
    <mergeCell ref="AQ19:AQ30"/>
    <mergeCell ref="AR19:AR30"/>
    <mergeCell ref="AS19:AS30"/>
    <mergeCell ref="AT19:AT30"/>
    <mergeCell ref="AU19:AU30"/>
    <mergeCell ref="AJ19:AJ30"/>
    <mergeCell ref="AK19:AK30"/>
    <mergeCell ref="AL19:AL30"/>
    <mergeCell ref="AM19:AM30"/>
    <mergeCell ref="AN19:AN30"/>
    <mergeCell ref="AO19:AO30"/>
    <mergeCell ref="AD19:AD30"/>
    <mergeCell ref="AE19:AE30"/>
    <mergeCell ref="AF19:AF30"/>
    <mergeCell ref="AG19:AG30"/>
    <mergeCell ref="AH19:AH30"/>
    <mergeCell ref="AI19:AI30"/>
    <mergeCell ref="R19:R22"/>
    <mergeCell ref="S19:S30"/>
    <mergeCell ref="T19:T30"/>
    <mergeCell ref="U19:U22"/>
    <mergeCell ref="AB19:AB30"/>
    <mergeCell ref="AC19:AC30"/>
    <mergeCell ref="R23:R26"/>
    <mergeCell ref="U23:U26"/>
    <mergeCell ref="V25:V26"/>
    <mergeCell ref="U27:U30"/>
    <mergeCell ref="V29:V30"/>
    <mergeCell ref="BQ16:BQ18"/>
    <mergeCell ref="BR16:BR18"/>
    <mergeCell ref="J19:J22"/>
    <mergeCell ref="K19:K22"/>
    <mergeCell ref="L19:L22"/>
    <mergeCell ref="M19:M22"/>
    <mergeCell ref="N19:N22"/>
    <mergeCell ref="O19:O30"/>
    <mergeCell ref="P19:P30"/>
    <mergeCell ref="Q19:Q30"/>
    <mergeCell ref="BJ16:BJ18"/>
    <mergeCell ref="BK16:BK18"/>
    <mergeCell ref="BM16:BM18"/>
    <mergeCell ref="BN16:BN18"/>
    <mergeCell ref="BO16:BO18"/>
    <mergeCell ref="BP16:BP18"/>
    <mergeCell ref="BD16:BD18"/>
    <mergeCell ref="BE16:BE18"/>
    <mergeCell ref="BF16:BF18"/>
    <mergeCell ref="BG16:BG18"/>
    <mergeCell ref="BH16:BH18"/>
    <mergeCell ref="BI16:BI18"/>
    <mergeCell ref="AX16:AX18"/>
    <mergeCell ref="AY16:AY18"/>
    <mergeCell ref="AZ16:AZ18"/>
    <mergeCell ref="BA16:BA18"/>
    <mergeCell ref="BB16:BB18"/>
    <mergeCell ref="BC16:BC18"/>
    <mergeCell ref="AR16:AR18"/>
    <mergeCell ref="AS16:AS18"/>
    <mergeCell ref="AT16:AT18"/>
    <mergeCell ref="AU16:AU18"/>
    <mergeCell ref="AV16:AV18"/>
    <mergeCell ref="AW16:AW18"/>
    <mergeCell ref="AN16:AN18"/>
    <mergeCell ref="AO16:AO18"/>
    <mergeCell ref="AP16:AP18"/>
    <mergeCell ref="AQ16:AQ18"/>
    <mergeCell ref="AE16:AE18"/>
    <mergeCell ref="AF16:AF18"/>
    <mergeCell ref="AG16:AG18"/>
    <mergeCell ref="AH16:AH18"/>
    <mergeCell ref="AI16:AI18"/>
    <mergeCell ref="AJ16:AJ18"/>
    <mergeCell ref="E14:K14"/>
    <mergeCell ref="BG14:BR14"/>
    <mergeCell ref="H15:K15"/>
    <mergeCell ref="BH15:BR15"/>
    <mergeCell ref="G16:G30"/>
    <mergeCell ref="H16:I30"/>
    <mergeCell ref="J16:J18"/>
    <mergeCell ref="K16:K18"/>
    <mergeCell ref="L16:L18"/>
    <mergeCell ref="M16:M18"/>
    <mergeCell ref="T16:T18"/>
    <mergeCell ref="U16:U18"/>
    <mergeCell ref="V16:V17"/>
    <mergeCell ref="AB16:AB18"/>
    <mergeCell ref="AC16:AC18"/>
    <mergeCell ref="AD16:AD18"/>
    <mergeCell ref="N16:N18"/>
    <mergeCell ref="O16:O18"/>
    <mergeCell ref="P16:P18"/>
    <mergeCell ref="Q16:Q18"/>
    <mergeCell ref="R16:R18"/>
    <mergeCell ref="S16:S18"/>
    <mergeCell ref="AK16:AK18"/>
    <mergeCell ref="AL16:AL18"/>
    <mergeCell ref="BG9:BG11"/>
    <mergeCell ref="BN9:BN11"/>
    <mergeCell ref="BO9:BO11"/>
    <mergeCell ref="BP9:BP11"/>
    <mergeCell ref="BQ9:BQ11"/>
    <mergeCell ref="BH13:BR13"/>
    <mergeCell ref="AW9:AW11"/>
    <mergeCell ref="AX9:AX11"/>
    <mergeCell ref="AY9:AY11"/>
    <mergeCell ref="AZ9:AZ11"/>
    <mergeCell ref="BA9:BA11"/>
    <mergeCell ref="BB9:BB11"/>
    <mergeCell ref="BL8:BL11"/>
    <mergeCell ref="BM8:BM11"/>
    <mergeCell ref="BD8:BE8"/>
    <mergeCell ref="BH8:BH9"/>
    <mergeCell ref="BI8:BI11"/>
    <mergeCell ref="BJ8:BJ11"/>
    <mergeCell ref="BK8:BK11"/>
    <mergeCell ref="BD9:BD11"/>
    <mergeCell ref="BE9:BE11"/>
    <mergeCell ref="BF9:BF11"/>
    <mergeCell ref="BR7:BR12"/>
    <mergeCell ref="AN7:AY7"/>
    <mergeCell ref="BF7:BG8"/>
    <mergeCell ref="BH7:BM7"/>
    <mergeCell ref="BN7:BO8"/>
    <mergeCell ref="BP7:BQ8"/>
    <mergeCell ref="AT8:AU8"/>
    <mergeCell ref="AV8:AW8"/>
    <mergeCell ref="AX8:AY8"/>
    <mergeCell ref="AZ8:BA8"/>
    <mergeCell ref="W9:W11"/>
    <mergeCell ref="X9:X11"/>
    <mergeCell ref="Y9:Y11"/>
    <mergeCell ref="AB9:AB11"/>
    <mergeCell ref="AC9:AC11"/>
    <mergeCell ref="AD9:AD11"/>
    <mergeCell ref="AE9:AE11"/>
    <mergeCell ref="AF9:AF11"/>
    <mergeCell ref="BB8:BC8"/>
    <mergeCell ref="BC9:BC11"/>
    <mergeCell ref="AB8:AC8"/>
    <mergeCell ref="AD8:AE8"/>
    <mergeCell ref="AF8:AG8"/>
    <mergeCell ref="AH8:AI8"/>
    <mergeCell ref="AJ8:AK8"/>
    <mergeCell ref="AL8:AM8"/>
    <mergeCell ref="Z7:Z12"/>
    <mergeCell ref="AA7:AA12"/>
    <mergeCell ref="AB7:AE7"/>
    <mergeCell ref="AF7:AM7"/>
    <mergeCell ref="AG9:AG11"/>
    <mergeCell ref="AH9:AH11"/>
    <mergeCell ref="AI9:AI11"/>
    <mergeCell ref="AJ9:AJ11"/>
    <mergeCell ref="AZ7:BE7"/>
    <mergeCell ref="AN8:AO8"/>
    <mergeCell ref="AP8:AQ8"/>
    <mergeCell ref="AR8:AS8"/>
    <mergeCell ref="AQ9:AQ11"/>
    <mergeCell ref="AR9:AR11"/>
    <mergeCell ref="AS9:AS11"/>
    <mergeCell ref="AT9:AT11"/>
    <mergeCell ref="AU9:AU11"/>
    <mergeCell ref="AV9:AV11"/>
    <mergeCell ref="AK9:AK11"/>
    <mergeCell ref="AL9:AL11"/>
    <mergeCell ref="AM9:AM11"/>
    <mergeCell ref="AN9:AN11"/>
    <mergeCell ref="AO9:AO11"/>
    <mergeCell ref="AP9:AP11"/>
    <mergeCell ref="A1:BP4"/>
    <mergeCell ref="A5:M6"/>
    <mergeCell ref="Q5:BR5"/>
    <mergeCell ref="Q6:AA6"/>
    <mergeCell ref="BN6:BR6"/>
    <mergeCell ref="A7:A12"/>
    <mergeCell ref="B7:C12"/>
    <mergeCell ref="D7:D12"/>
    <mergeCell ref="E7:F12"/>
    <mergeCell ref="G7:G12"/>
    <mergeCell ref="P7:P12"/>
    <mergeCell ref="Q7:Q12"/>
    <mergeCell ref="R7:R12"/>
    <mergeCell ref="S7:S12"/>
    <mergeCell ref="T7:T12"/>
    <mergeCell ref="U7:U12"/>
    <mergeCell ref="H7:I12"/>
    <mergeCell ref="J7:J12"/>
    <mergeCell ref="K7:K12"/>
    <mergeCell ref="L7:L12"/>
    <mergeCell ref="M7:N11"/>
    <mergeCell ref="O7:O12"/>
    <mergeCell ref="V7:V12"/>
    <mergeCell ref="W7:Y8"/>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87"/>
  <sheetViews>
    <sheetView showGridLines="0" zoomScale="70" zoomScaleNormal="70" workbookViewId="0">
      <selection activeCell="K13" sqref="K13:K16"/>
    </sheetView>
  </sheetViews>
  <sheetFormatPr baseColWidth="10" defaultColWidth="11.42578125" defaultRowHeight="14.25" x14ac:dyDescent="0.2"/>
  <cols>
    <col min="1" max="1" width="13.28515625" style="571" customWidth="1"/>
    <col min="2" max="2" width="8.42578125" style="571" customWidth="1"/>
    <col min="3" max="3" width="10.7109375" style="571" customWidth="1"/>
    <col min="4" max="4" width="12.7109375" style="571" customWidth="1"/>
    <col min="5" max="5" width="8" style="571" customWidth="1"/>
    <col min="6" max="6" width="9.28515625" style="571" customWidth="1"/>
    <col min="7" max="7" width="12" style="571" customWidth="1"/>
    <col min="8" max="8" width="17.5703125" style="571" customWidth="1"/>
    <col min="9" max="9" width="4.7109375" style="571" customWidth="1"/>
    <col min="10" max="10" width="11.7109375" style="571" customWidth="1"/>
    <col min="11" max="12" width="27.7109375" style="571" customWidth="1"/>
    <col min="13" max="13" width="8.140625" style="571" customWidth="1"/>
    <col min="14" max="14" width="10" style="121" customWidth="1"/>
    <col min="15" max="15" width="33.42578125" style="571" customWidth="1"/>
    <col min="16" max="16" width="20.42578125" style="571" customWidth="1"/>
    <col min="17" max="17" width="27.7109375" style="571" customWidth="1"/>
    <col min="18" max="18" width="10" style="571" customWidth="1"/>
    <col min="19" max="19" width="23.140625" style="1255" customWidth="1"/>
    <col min="20" max="22" width="27.7109375" style="571" customWidth="1"/>
    <col min="23" max="23" width="29.85546875" style="2628" customWidth="1"/>
    <col min="24" max="24" width="27" style="2628" customWidth="1"/>
    <col min="25" max="25" width="25.140625" style="2628" customWidth="1"/>
    <col min="26" max="26" width="14.7109375" style="571" customWidth="1"/>
    <col min="27" max="27" width="16.5703125" style="572" customWidth="1"/>
    <col min="28" max="28" width="14.5703125" style="121" customWidth="1"/>
    <col min="29" max="29" width="17.28515625" style="121" customWidth="1"/>
    <col min="30" max="59" width="11.5703125" style="121" customWidth="1"/>
    <col min="60" max="60" width="16.140625" style="121" customWidth="1"/>
    <col min="61" max="61" width="30.85546875" style="2628" customWidth="1"/>
    <col min="62" max="62" width="27" style="2628" customWidth="1"/>
    <col min="63" max="63" width="15.7109375" style="2629" bestFit="1" customWidth="1"/>
    <col min="64" max="64" width="13.5703125" style="121" customWidth="1"/>
    <col min="65" max="65" width="18.7109375" style="2630" customWidth="1"/>
    <col min="66" max="69" width="15" style="121" customWidth="1"/>
    <col min="70" max="70" width="19.85546875" style="121" customWidth="1"/>
    <col min="71" max="83" width="14.85546875" style="571" customWidth="1"/>
    <col min="84" max="16384" width="11.42578125" style="571"/>
  </cols>
  <sheetData>
    <row r="1" spans="1:70" ht="15" customHeight="1" x14ac:dyDescent="0.2">
      <c r="A1" s="3873" t="s">
        <v>2460</v>
      </c>
      <c r="B1" s="3874"/>
      <c r="C1" s="3874"/>
      <c r="D1" s="3874"/>
      <c r="E1" s="3874"/>
      <c r="F1" s="3874"/>
      <c r="G1" s="3874"/>
      <c r="H1" s="3874"/>
      <c r="I1" s="3874"/>
      <c r="J1" s="3874"/>
      <c r="K1" s="3874"/>
      <c r="L1" s="3874"/>
      <c r="M1" s="3874"/>
      <c r="N1" s="3874"/>
      <c r="O1" s="3874"/>
      <c r="P1" s="3874"/>
      <c r="Q1" s="3874"/>
      <c r="R1" s="3874"/>
      <c r="S1" s="3874"/>
      <c r="T1" s="3874"/>
      <c r="U1" s="3874"/>
      <c r="V1" s="3874"/>
      <c r="W1" s="3874"/>
      <c r="X1" s="3874"/>
      <c r="Y1" s="3874"/>
      <c r="Z1" s="3874"/>
      <c r="AA1" s="3874"/>
      <c r="AB1" s="3874"/>
      <c r="AC1" s="3874"/>
      <c r="AD1" s="3874"/>
      <c r="AE1" s="3874"/>
      <c r="AF1" s="3874"/>
      <c r="AG1" s="3874"/>
      <c r="AH1" s="3874"/>
      <c r="AI1" s="3874"/>
      <c r="AJ1" s="3874"/>
      <c r="AK1" s="3874"/>
      <c r="AL1" s="3874"/>
      <c r="AM1" s="3874"/>
      <c r="AN1" s="3874"/>
      <c r="AO1" s="3874"/>
      <c r="AP1" s="3874"/>
      <c r="AQ1" s="3874"/>
      <c r="AR1" s="3874"/>
      <c r="AS1" s="3874"/>
      <c r="AT1" s="3874"/>
      <c r="AU1" s="3874"/>
      <c r="AV1" s="3874"/>
      <c r="AW1" s="3874"/>
      <c r="AX1" s="3874"/>
      <c r="AY1" s="3874"/>
      <c r="AZ1" s="3874"/>
      <c r="BA1" s="3874"/>
      <c r="BB1" s="3874"/>
      <c r="BC1" s="3874"/>
      <c r="BD1" s="3874"/>
      <c r="BE1" s="3874"/>
      <c r="BF1" s="3874"/>
      <c r="BG1" s="3874"/>
      <c r="BH1" s="3874"/>
      <c r="BI1" s="3874"/>
      <c r="BJ1" s="3874"/>
      <c r="BK1" s="3874"/>
      <c r="BL1" s="3874"/>
      <c r="BM1" s="3874"/>
      <c r="BN1" s="3874"/>
      <c r="BO1" s="2574"/>
      <c r="BQ1" s="2575" t="s">
        <v>1</v>
      </c>
      <c r="BR1" s="2576" t="s">
        <v>2</v>
      </c>
    </row>
    <row r="2" spans="1:70" ht="15" x14ac:dyDescent="0.2">
      <c r="A2" s="3875"/>
      <c r="B2" s="3876"/>
      <c r="C2" s="3876"/>
      <c r="D2" s="3876"/>
      <c r="E2" s="3876"/>
      <c r="F2" s="3876"/>
      <c r="G2" s="3876"/>
      <c r="H2" s="3876"/>
      <c r="I2" s="3876"/>
      <c r="J2" s="3876"/>
      <c r="K2" s="3876"/>
      <c r="L2" s="3876"/>
      <c r="M2" s="3876"/>
      <c r="N2" s="3876"/>
      <c r="O2" s="3876"/>
      <c r="P2" s="3876"/>
      <c r="Q2" s="3876"/>
      <c r="R2" s="3876"/>
      <c r="S2" s="3876"/>
      <c r="T2" s="3876"/>
      <c r="U2" s="3876"/>
      <c r="V2" s="3876"/>
      <c r="W2" s="3876"/>
      <c r="X2" s="3876"/>
      <c r="Y2" s="3876"/>
      <c r="Z2" s="3876"/>
      <c r="AA2" s="3876"/>
      <c r="AB2" s="3876"/>
      <c r="AC2" s="3876"/>
      <c r="AD2" s="3876"/>
      <c r="AE2" s="3876"/>
      <c r="AF2" s="3876"/>
      <c r="AG2" s="3876"/>
      <c r="AH2" s="3876"/>
      <c r="AI2" s="3876"/>
      <c r="AJ2" s="3876"/>
      <c r="AK2" s="3876"/>
      <c r="AL2" s="3876"/>
      <c r="AM2" s="3876"/>
      <c r="AN2" s="3876"/>
      <c r="AO2" s="3876"/>
      <c r="AP2" s="3876"/>
      <c r="AQ2" s="3876"/>
      <c r="AR2" s="3876"/>
      <c r="AS2" s="3876"/>
      <c r="AT2" s="3876"/>
      <c r="AU2" s="3876"/>
      <c r="AV2" s="3876"/>
      <c r="AW2" s="3876"/>
      <c r="AX2" s="3876"/>
      <c r="AY2" s="3876"/>
      <c r="AZ2" s="3876"/>
      <c r="BA2" s="3876"/>
      <c r="BB2" s="3876"/>
      <c r="BC2" s="3876"/>
      <c r="BD2" s="3876"/>
      <c r="BE2" s="3876"/>
      <c r="BF2" s="3876"/>
      <c r="BG2" s="3876"/>
      <c r="BH2" s="3876"/>
      <c r="BI2" s="3876"/>
      <c r="BJ2" s="3876"/>
      <c r="BK2" s="3876"/>
      <c r="BL2" s="3876"/>
      <c r="BM2" s="3876"/>
      <c r="BN2" s="3876"/>
      <c r="BO2" s="2577"/>
      <c r="BQ2" s="337" t="s">
        <v>3</v>
      </c>
      <c r="BR2" s="2578">
        <v>6</v>
      </c>
    </row>
    <row r="3" spans="1:70" ht="15" x14ac:dyDescent="0.2">
      <c r="A3" s="3875"/>
      <c r="B3" s="3876"/>
      <c r="C3" s="3876"/>
      <c r="D3" s="3876"/>
      <c r="E3" s="3876"/>
      <c r="F3" s="3876"/>
      <c r="G3" s="3876"/>
      <c r="H3" s="3876"/>
      <c r="I3" s="3876"/>
      <c r="J3" s="3876"/>
      <c r="K3" s="3876"/>
      <c r="L3" s="3876"/>
      <c r="M3" s="3876"/>
      <c r="N3" s="3876"/>
      <c r="O3" s="3876"/>
      <c r="P3" s="3876"/>
      <c r="Q3" s="3876"/>
      <c r="R3" s="3876"/>
      <c r="S3" s="3876"/>
      <c r="T3" s="3876"/>
      <c r="U3" s="3876"/>
      <c r="V3" s="3876"/>
      <c r="W3" s="3876"/>
      <c r="X3" s="3876"/>
      <c r="Y3" s="3876"/>
      <c r="Z3" s="3876"/>
      <c r="AA3" s="3876"/>
      <c r="AB3" s="3876"/>
      <c r="AC3" s="3876"/>
      <c r="AD3" s="3876"/>
      <c r="AE3" s="3876"/>
      <c r="AF3" s="3876"/>
      <c r="AG3" s="3876"/>
      <c r="AH3" s="3876"/>
      <c r="AI3" s="3876"/>
      <c r="AJ3" s="3876"/>
      <c r="AK3" s="3876"/>
      <c r="AL3" s="3876"/>
      <c r="AM3" s="3876"/>
      <c r="AN3" s="3876"/>
      <c r="AO3" s="3876"/>
      <c r="AP3" s="3876"/>
      <c r="AQ3" s="3876"/>
      <c r="AR3" s="3876"/>
      <c r="AS3" s="3876"/>
      <c r="AT3" s="3876"/>
      <c r="AU3" s="3876"/>
      <c r="AV3" s="3876"/>
      <c r="AW3" s="3876"/>
      <c r="AX3" s="3876"/>
      <c r="AY3" s="3876"/>
      <c r="AZ3" s="3876"/>
      <c r="BA3" s="3876"/>
      <c r="BB3" s="3876"/>
      <c r="BC3" s="3876"/>
      <c r="BD3" s="3876"/>
      <c r="BE3" s="3876"/>
      <c r="BF3" s="3876"/>
      <c r="BG3" s="3876"/>
      <c r="BH3" s="3876"/>
      <c r="BI3" s="3876"/>
      <c r="BJ3" s="3876"/>
      <c r="BK3" s="3876"/>
      <c r="BL3" s="3876"/>
      <c r="BM3" s="3876"/>
      <c r="BN3" s="3876"/>
      <c r="BO3" s="2577"/>
      <c r="BQ3" s="337" t="s">
        <v>4</v>
      </c>
      <c r="BR3" s="2579" t="s">
        <v>5</v>
      </c>
    </row>
    <row r="4" spans="1:70" s="1216" customFormat="1" ht="15" x14ac:dyDescent="0.2">
      <c r="A4" s="3877"/>
      <c r="B4" s="3125"/>
      <c r="C4" s="3125"/>
      <c r="D4" s="3125"/>
      <c r="E4" s="3125"/>
      <c r="F4" s="3125"/>
      <c r="G4" s="3125"/>
      <c r="H4" s="3125"/>
      <c r="I4" s="3125"/>
      <c r="J4" s="3125"/>
      <c r="K4" s="3125"/>
      <c r="L4" s="3125"/>
      <c r="M4" s="3125"/>
      <c r="N4" s="3125"/>
      <c r="O4" s="3125"/>
      <c r="P4" s="3125"/>
      <c r="Q4" s="3125"/>
      <c r="R4" s="3125"/>
      <c r="S4" s="3125"/>
      <c r="T4" s="3125"/>
      <c r="U4" s="3125"/>
      <c r="V4" s="3125"/>
      <c r="W4" s="3125"/>
      <c r="X4" s="3125"/>
      <c r="Y4" s="3125"/>
      <c r="Z4" s="3125"/>
      <c r="AA4" s="3125"/>
      <c r="AB4" s="3125"/>
      <c r="AC4" s="3125"/>
      <c r="AD4" s="3125"/>
      <c r="AE4" s="3125"/>
      <c r="AF4" s="3125"/>
      <c r="AG4" s="3125"/>
      <c r="AH4" s="3125"/>
      <c r="AI4" s="3125"/>
      <c r="AJ4" s="3125"/>
      <c r="AK4" s="3125"/>
      <c r="AL4" s="3125"/>
      <c r="AM4" s="3125"/>
      <c r="AN4" s="3125"/>
      <c r="AO4" s="3125"/>
      <c r="AP4" s="3125"/>
      <c r="AQ4" s="3125"/>
      <c r="AR4" s="3125"/>
      <c r="AS4" s="3125"/>
      <c r="AT4" s="3125"/>
      <c r="AU4" s="3125"/>
      <c r="AV4" s="3125"/>
      <c r="AW4" s="3125"/>
      <c r="AX4" s="3125"/>
      <c r="AY4" s="3125"/>
      <c r="AZ4" s="3125"/>
      <c r="BA4" s="3125"/>
      <c r="BB4" s="3125"/>
      <c r="BC4" s="3125"/>
      <c r="BD4" s="3125"/>
      <c r="BE4" s="3125"/>
      <c r="BF4" s="3125"/>
      <c r="BG4" s="3125"/>
      <c r="BH4" s="3125"/>
      <c r="BI4" s="3125"/>
      <c r="BJ4" s="3125"/>
      <c r="BK4" s="3125"/>
      <c r="BL4" s="3125"/>
      <c r="BM4" s="3125"/>
      <c r="BN4" s="3125"/>
      <c r="BO4" s="2336"/>
      <c r="BQ4" s="337" t="s">
        <v>6</v>
      </c>
      <c r="BR4" s="2580" t="s">
        <v>7</v>
      </c>
    </row>
    <row r="5" spans="1:70" ht="15" x14ac:dyDescent="0.2">
      <c r="A5" s="3878" t="s">
        <v>8</v>
      </c>
      <c r="B5" s="3879"/>
      <c r="C5" s="3879"/>
      <c r="D5" s="3879"/>
      <c r="E5" s="3879"/>
      <c r="F5" s="3879"/>
      <c r="G5" s="3879"/>
      <c r="H5" s="3879"/>
      <c r="I5" s="3879"/>
      <c r="J5" s="3879"/>
      <c r="K5" s="3879"/>
      <c r="L5" s="3879"/>
      <c r="M5" s="3879"/>
      <c r="N5" s="337"/>
      <c r="O5" s="337"/>
      <c r="P5" s="337"/>
      <c r="Q5" s="3879" t="s">
        <v>9</v>
      </c>
      <c r="R5" s="3879"/>
      <c r="S5" s="3879"/>
      <c r="T5" s="3879"/>
      <c r="U5" s="3879"/>
      <c r="V5" s="3879"/>
      <c r="W5" s="3879"/>
      <c r="X5" s="3879"/>
      <c r="Y5" s="3879"/>
      <c r="Z5" s="3879"/>
      <c r="AA5" s="3879"/>
      <c r="AB5" s="3879"/>
      <c r="AC5" s="3879"/>
      <c r="AD5" s="3879"/>
      <c r="AE5" s="3879"/>
      <c r="AF5" s="3879"/>
      <c r="AG5" s="3879"/>
      <c r="AH5" s="3879"/>
      <c r="AI5" s="3879"/>
      <c r="AJ5" s="3879"/>
      <c r="AK5" s="3879"/>
      <c r="AL5" s="3879"/>
      <c r="AM5" s="3879"/>
      <c r="AN5" s="3879"/>
      <c r="AO5" s="3879"/>
      <c r="AP5" s="3879"/>
      <c r="AQ5" s="3879"/>
      <c r="AR5" s="3879"/>
      <c r="AS5" s="3879"/>
      <c r="AT5" s="3879"/>
      <c r="AU5" s="3879"/>
      <c r="AV5" s="3879"/>
      <c r="AW5" s="3879"/>
      <c r="AX5" s="3879"/>
      <c r="AY5" s="3879"/>
      <c r="AZ5" s="3879"/>
      <c r="BA5" s="3879"/>
      <c r="BB5" s="3879"/>
      <c r="BC5" s="3879"/>
      <c r="BD5" s="3879"/>
      <c r="BE5" s="3879"/>
      <c r="BF5" s="3879"/>
      <c r="BG5" s="3879"/>
      <c r="BH5" s="3879"/>
      <c r="BI5" s="3879"/>
      <c r="BJ5" s="3879"/>
      <c r="BK5" s="3879"/>
      <c r="BL5" s="3879"/>
      <c r="BM5" s="3879"/>
      <c r="BN5" s="3879"/>
      <c r="BO5" s="3879"/>
      <c r="BP5" s="3879"/>
      <c r="BQ5" s="3879"/>
      <c r="BR5" s="3880"/>
    </row>
    <row r="6" spans="1:70" ht="15.75" thickBot="1" x14ac:dyDescent="0.25">
      <c r="A6" s="3878"/>
      <c r="B6" s="3879"/>
      <c r="C6" s="3879"/>
      <c r="D6" s="3879"/>
      <c r="E6" s="3879"/>
      <c r="F6" s="3879"/>
      <c r="G6" s="3879"/>
      <c r="H6" s="3879"/>
      <c r="I6" s="3879"/>
      <c r="J6" s="3879"/>
      <c r="K6" s="3879"/>
      <c r="L6" s="3879"/>
      <c r="M6" s="3879"/>
      <c r="N6" s="337"/>
      <c r="O6" s="337"/>
      <c r="P6" s="1218"/>
      <c r="Q6" s="3881"/>
      <c r="R6" s="3882"/>
      <c r="S6" s="3882"/>
      <c r="T6" s="3882"/>
      <c r="U6" s="3882"/>
      <c r="V6" s="3882"/>
      <c r="W6" s="3882"/>
      <c r="X6" s="3882"/>
      <c r="Y6" s="3882"/>
      <c r="Z6" s="3882"/>
      <c r="AA6" s="3883"/>
      <c r="AB6" s="1219"/>
      <c r="AC6" s="1219"/>
      <c r="AD6" s="1219"/>
      <c r="AE6" s="1219"/>
      <c r="AF6" s="1219"/>
      <c r="AG6" s="1219"/>
      <c r="AH6" s="1219"/>
      <c r="AI6" s="1219"/>
      <c r="AJ6" s="1219"/>
      <c r="AK6" s="1219"/>
      <c r="AL6" s="1219"/>
      <c r="AM6" s="1219"/>
      <c r="AN6" s="1219"/>
      <c r="AO6" s="1219"/>
      <c r="AP6" s="1219"/>
      <c r="AQ6" s="1219"/>
      <c r="AR6" s="1219"/>
      <c r="AS6" s="1219"/>
      <c r="AT6" s="1219"/>
      <c r="AU6" s="1219"/>
      <c r="AV6" s="1219"/>
      <c r="AW6" s="1219"/>
      <c r="AX6" s="1219"/>
      <c r="AY6" s="1219"/>
      <c r="AZ6" s="1219"/>
      <c r="BA6" s="1219"/>
      <c r="BB6" s="1219"/>
      <c r="BC6" s="1219"/>
      <c r="BD6" s="1219"/>
      <c r="BE6" s="1219"/>
      <c r="BF6" s="1219"/>
      <c r="BG6" s="1219"/>
      <c r="BH6" s="1219"/>
      <c r="BI6" s="2581"/>
      <c r="BJ6" s="2581"/>
      <c r="BK6" s="2582"/>
      <c r="BL6" s="1219"/>
      <c r="BM6" s="2583"/>
      <c r="BN6" s="3881"/>
      <c r="BO6" s="3882"/>
      <c r="BP6" s="3882"/>
      <c r="BQ6" s="3882"/>
      <c r="BR6" s="3884"/>
    </row>
    <row r="7" spans="1:70" s="1220" customFormat="1" ht="12" customHeight="1" x14ac:dyDescent="0.2">
      <c r="A7" s="3885" t="s">
        <v>10</v>
      </c>
      <c r="B7" s="3849" t="s">
        <v>11</v>
      </c>
      <c r="C7" s="3849"/>
      <c r="D7" s="3849" t="s">
        <v>10</v>
      </c>
      <c r="E7" s="3849" t="s">
        <v>12</v>
      </c>
      <c r="F7" s="3849"/>
      <c r="G7" s="3849" t="s">
        <v>10</v>
      </c>
      <c r="H7" s="3849" t="s">
        <v>13</v>
      </c>
      <c r="I7" s="3849"/>
      <c r="J7" s="3849" t="s">
        <v>10</v>
      </c>
      <c r="K7" s="3849" t="s">
        <v>14</v>
      </c>
      <c r="L7" s="3849" t="s">
        <v>15</v>
      </c>
      <c r="M7" s="3858" t="s">
        <v>775</v>
      </c>
      <c r="N7" s="3859"/>
      <c r="O7" s="3849" t="s">
        <v>17</v>
      </c>
      <c r="P7" s="3872" t="s">
        <v>18</v>
      </c>
      <c r="Q7" s="3849" t="s">
        <v>9</v>
      </c>
      <c r="R7" s="3849" t="s">
        <v>19</v>
      </c>
      <c r="S7" s="3848" t="s">
        <v>20</v>
      </c>
      <c r="T7" s="3849" t="s">
        <v>21</v>
      </c>
      <c r="U7" s="3849" t="s">
        <v>22</v>
      </c>
      <c r="V7" s="3849" t="s">
        <v>23</v>
      </c>
      <c r="W7" s="3866" t="s">
        <v>20</v>
      </c>
      <c r="X7" s="3867"/>
      <c r="Y7" s="3868"/>
      <c r="Z7" s="3872" t="s">
        <v>10</v>
      </c>
      <c r="AA7" s="3849" t="s">
        <v>24</v>
      </c>
      <c r="AB7" s="3854" t="s">
        <v>25</v>
      </c>
      <c r="AC7" s="3855"/>
      <c r="AD7" s="3855"/>
      <c r="AE7" s="3856"/>
      <c r="AF7" s="3159" t="s">
        <v>26</v>
      </c>
      <c r="AG7" s="3160"/>
      <c r="AH7" s="3160"/>
      <c r="AI7" s="3160"/>
      <c r="AJ7" s="3160"/>
      <c r="AK7" s="3160"/>
      <c r="AL7" s="3160"/>
      <c r="AM7" s="3857"/>
      <c r="AN7" s="3887" t="s">
        <v>27</v>
      </c>
      <c r="AO7" s="3888"/>
      <c r="AP7" s="3888"/>
      <c r="AQ7" s="3888"/>
      <c r="AR7" s="3888"/>
      <c r="AS7" s="3888"/>
      <c r="AT7" s="3888"/>
      <c r="AU7" s="3888"/>
      <c r="AV7" s="3888"/>
      <c r="AW7" s="3888"/>
      <c r="AX7" s="3888"/>
      <c r="AY7" s="3889"/>
      <c r="AZ7" s="3159" t="s">
        <v>28</v>
      </c>
      <c r="BA7" s="3160"/>
      <c r="BB7" s="3160"/>
      <c r="BC7" s="3160"/>
      <c r="BD7" s="3160"/>
      <c r="BE7" s="3857"/>
      <c r="BF7" s="3159" t="s">
        <v>29</v>
      </c>
      <c r="BG7" s="3857"/>
      <c r="BH7" s="3890" t="s">
        <v>30</v>
      </c>
      <c r="BI7" s="3891"/>
      <c r="BJ7" s="3891"/>
      <c r="BK7" s="3891"/>
      <c r="BL7" s="3891"/>
      <c r="BM7" s="3892"/>
      <c r="BN7" s="3852" t="s">
        <v>31</v>
      </c>
      <c r="BO7" s="3175"/>
      <c r="BP7" s="3852" t="s">
        <v>32</v>
      </c>
      <c r="BQ7" s="3175"/>
      <c r="BR7" s="3886" t="s">
        <v>33</v>
      </c>
    </row>
    <row r="8" spans="1:70" s="1220" customFormat="1" ht="97.5" customHeight="1" x14ac:dyDescent="0.2">
      <c r="A8" s="3885"/>
      <c r="B8" s="3849"/>
      <c r="C8" s="3849"/>
      <c r="D8" s="3849"/>
      <c r="E8" s="3849"/>
      <c r="F8" s="3849"/>
      <c r="G8" s="3849"/>
      <c r="H8" s="3849"/>
      <c r="I8" s="3849"/>
      <c r="J8" s="3849"/>
      <c r="K8" s="3849"/>
      <c r="L8" s="3849"/>
      <c r="M8" s="3145"/>
      <c r="N8" s="3147"/>
      <c r="O8" s="3849"/>
      <c r="P8" s="3148"/>
      <c r="Q8" s="3849"/>
      <c r="R8" s="3849"/>
      <c r="S8" s="3848"/>
      <c r="T8" s="3849"/>
      <c r="U8" s="3849"/>
      <c r="V8" s="3849"/>
      <c r="W8" s="3869"/>
      <c r="X8" s="3870"/>
      <c r="Y8" s="3871"/>
      <c r="Z8" s="3148"/>
      <c r="AA8" s="3849"/>
      <c r="AB8" s="3853" t="s">
        <v>34</v>
      </c>
      <c r="AC8" s="3853"/>
      <c r="AD8" s="3853" t="s">
        <v>35</v>
      </c>
      <c r="AE8" s="3853"/>
      <c r="AF8" s="3853" t="s">
        <v>36</v>
      </c>
      <c r="AG8" s="3853"/>
      <c r="AH8" s="3853" t="s">
        <v>37</v>
      </c>
      <c r="AI8" s="3853"/>
      <c r="AJ8" s="3853" t="s">
        <v>131</v>
      </c>
      <c r="AK8" s="3853"/>
      <c r="AL8" s="3853" t="s">
        <v>39</v>
      </c>
      <c r="AM8" s="3853"/>
      <c r="AN8" s="3853" t="s">
        <v>40</v>
      </c>
      <c r="AO8" s="3853"/>
      <c r="AP8" s="3853" t="s">
        <v>41</v>
      </c>
      <c r="AQ8" s="3853"/>
      <c r="AR8" s="3853" t="s">
        <v>42</v>
      </c>
      <c r="AS8" s="3853"/>
      <c r="AT8" s="3853" t="s">
        <v>43</v>
      </c>
      <c r="AU8" s="3853"/>
      <c r="AV8" s="3853" t="s">
        <v>44</v>
      </c>
      <c r="AW8" s="3853"/>
      <c r="AX8" s="3853" t="s">
        <v>45</v>
      </c>
      <c r="AY8" s="3853"/>
      <c r="AZ8" s="3853" t="s">
        <v>46</v>
      </c>
      <c r="BA8" s="3853"/>
      <c r="BB8" s="3853" t="s">
        <v>47</v>
      </c>
      <c r="BC8" s="3853"/>
      <c r="BD8" s="3853" t="s">
        <v>48</v>
      </c>
      <c r="BE8" s="3853"/>
      <c r="BF8" s="3853" t="s">
        <v>29</v>
      </c>
      <c r="BG8" s="3853"/>
      <c r="BH8" s="3861" t="s">
        <v>49</v>
      </c>
      <c r="BI8" s="3862" t="s">
        <v>50</v>
      </c>
      <c r="BJ8" s="3862" t="s">
        <v>51</v>
      </c>
      <c r="BK8" s="3860" t="s">
        <v>52</v>
      </c>
      <c r="BL8" s="3861" t="s">
        <v>53</v>
      </c>
      <c r="BM8" s="3155" t="s">
        <v>54</v>
      </c>
      <c r="BN8" s="3173"/>
      <c r="BO8" s="3174"/>
      <c r="BP8" s="3173"/>
      <c r="BQ8" s="3174"/>
      <c r="BR8" s="3886"/>
    </row>
    <row r="9" spans="1:70" s="1221" customFormat="1" ht="23.25" customHeight="1" x14ac:dyDescent="0.2">
      <c r="A9" s="3885"/>
      <c r="B9" s="3849"/>
      <c r="C9" s="3849"/>
      <c r="D9" s="3849"/>
      <c r="E9" s="3849"/>
      <c r="F9" s="3849"/>
      <c r="G9" s="3849"/>
      <c r="H9" s="3849"/>
      <c r="I9" s="3849"/>
      <c r="J9" s="3849"/>
      <c r="K9" s="3849"/>
      <c r="L9" s="3849"/>
      <c r="M9" s="378" t="s">
        <v>55</v>
      </c>
      <c r="N9" s="378" t="s">
        <v>56</v>
      </c>
      <c r="O9" s="3849"/>
      <c r="P9" s="3148"/>
      <c r="Q9" s="3849"/>
      <c r="R9" s="3849"/>
      <c r="S9" s="3848"/>
      <c r="T9" s="3849"/>
      <c r="U9" s="3849"/>
      <c r="V9" s="3849"/>
      <c r="W9" s="2584" t="s">
        <v>57</v>
      </c>
      <c r="X9" s="2584" t="s">
        <v>58</v>
      </c>
      <c r="Y9" s="2584" t="s">
        <v>59</v>
      </c>
      <c r="Z9" s="3149"/>
      <c r="AA9" s="3849"/>
      <c r="AB9" s="378" t="s">
        <v>55</v>
      </c>
      <c r="AC9" s="378" t="s">
        <v>56</v>
      </c>
      <c r="AD9" s="378" t="s">
        <v>55</v>
      </c>
      <c r="AE9" s="378" t="s">
        <v>56</v>
      </c>
      <c r="AF9" s="378" t="s">
        <v>55</v>
      </c>
      <c r="AG9" s="378" t="s">
        <v>56</v>
      </c>
      <c r="AH9" s="378" t="s">
        <v>55</v>
      </c>
      <c r="AI9" s="378" t="s">
        <v>56</v>
      </c>
      <c r="AJ9" s="378" t="s">
        <v>55</v>
      </c>
      <c r="AK9" s="378" t="s">
        <v>56</v>
      </c>
      <c r="AL9" s="378" t="s">
        <v>55</v>
      </c>
      <c r="AM9" s="378" t="s">
        <v>56</v>
      </c>
      <c r="AN9" s="378" t="s">
        <v>55</v>
      </c>
      <c r="AO9" s="378" t="s">
        <v>56</v>
      </c>
      <c r="AP9" s="378" t="s">
        <v>55</v>
      </c>
      <c r="AQ9" s="378" t="s">
        <v>56</v>
      </c>
      <c r="AR9" s="378" t="s">
        <v>55</v>
      </c>
      <c r="AS9" s="378" t="s">
        <v>56</v>
      </c>
      <c r="AT9" s="378" t="s">
        <v>55</v>
      </c>
      <c r="AU9" s="378" t="s">
        <v>56</v>
      </c>
      <c r="AV9" s="378" t="s">
        <v>55</v>
      </c>
      <c r="AW9" s="378" t="s">
        <v>56</v>
      </c>
      <c r="AX9" s="378" t="s">
        <v>55</v>
      </c>
      <c r="AY9" s="378" t="s">
        <v>56</v>
      </c>
      <c r="AZ9" s="378" t="s">
        <v>55</v>
      </c>
      <c r="BA9" s="378" t="s">
        <v>56</v>
      </c>
      <c r="BB9" s="378" t="s">
        <v>55</v>
      </c>
      <c r="BC9" s="378" t="s">
        <v>56</v>
      </c>
      <c r="BD9" s="378" t="s">
        <v>55</v>
      </c>
      <c r="BE9" s="378" t="s">
        <v>56</v>
      </c>
      <c r="BF9" s="378" t="s">
        <v>55</v>
      </c>
      <c r="BG9" s="378" t="s">
        <v>56</v>
      </c>
      <c r="BH9" s="3861"/>
      <c r="BI9" s="3862"/>
      <c r="BJ9" s="3862"/>
      <c r="BK9" s="3860"/>
      <c r="BL9" s="3861"/>
      <c r="BM9" s="3156"/>
      <c r="BN9" s="393" t="s">
        <v>55</v>
      </c>
      <c r="BO9" s="393" t="s">
        <v>56</v>
      </c>
      <c r="BP9" s="393" t="s">
        <v>55</v>
      </c>
      <c r="BQ9" s="393" t="s">
        <v>56</v>
      </c>
      <c r="BR9" s="3886"/>
    </row>
    <row r="10" spans="1:70" ht="15" x14ac:dyDescent="0.2">
      <c r="A10" s="2585"/>
      <c r="B10" s="1230"/>
      <c r="C10" s="1231"/>
      <c r="D10" s="1231"/>
      <c r="E10" s="1231"/>
      <c r="F10" s="1232"/>
      <c r="G10" s="1232"/>
      <c r="H10" s="1232"/>
      <c r="I10" s="1232"/>
      <c r="J10" s="1232"/>
      <c r="K10" s="1232"/>
      <c r="L10" s="1232"/>
      <c r="M10" s="1232"/>
      <c r="N10" s="1406"/>
      <c r="O10" s="1232"/>
      <c r="P10" s="1232"/>
      <c r="Q10" s="1232"/>
      <c r="R10" s="1232"/>
      <c r="S10" s="2586"/>
      <c r="T10" s="1232"/>
      <c r="U10" s="1232"/>
      <c r="V10" s="1232"/>
      <c r="W10" s="2587"/>
      <c r="X10" s="2587"/>
      <c r="Y10" s="2587"/>
      <c r="Z10" s="1232"/>
      <c r="AA10" s="1406"/>
      <c r="AB10" s="1406"/>
      <c r="AC10" s="1406"/>
      <c r="AD10" s="1406"/>
      <c r="AE10" s="1406"/>
      <c r="AF10" s="1406"/>
      <c r="AG10" s="1406"/>
      <c r="AH10" s="1406"/>
      <c r="AI10" s="1406"/>
      <c r="AJ10" s="1406"/>
      <c r="AK10" s="1406"/>
      <c r="AL10" s="1406"/>
      <c r="AM10" s="1406"/>
      <c r="AN10" s="1406"/>
      <c r="AO10" s="1406"/>
      <c r="AP10" s="1406"/>
      <c r="AQ10" s="1406"/>
      <c r="AR10" s="1406"/>
      <c r="AS10" s="1406"/>
      <c r="AT10" s="1406"/>
      <c r="AU10" s="1406"/>
      <c r="AV10" s="1406"/>
      <c r="AW10" s="1406"/>
      <c r="AX10" s="1406"/>
      <c r="AY10" s="1406"/>
      <c r="AZ10" s="1406"/>
      <c r="BA10" s="1406"/>
      <c r="BB10" s="1406"/>
      <c r="BC10" s="1406"/>
      <c r="BD10" s="1406"/>
      <c r="BE10" s="1406"/>
      <c r="BF10" s="1406"/>
      <c r="BG10" s="1406"/>
      <c r="BH10" s="1406"/>
      <c r="BI10" s="2587"/>
      <c r="BJ10" s="2587"/>
      <c r="BK10" s="2588"/>
      <c r="BL10" s="1406"/>
      <c r="BM10" s="1406"/>
      <c r="BN10" s="1406"/>
      <c r="BO10" s="1406"/>
      <c r="BP10" s="1406"/>
      <c r="BQ10" s="1406"/>
      <c r="BR10" s="2589"/>
    </row>
    <row r="11" spans="1:70" ht="15.75" x14ac:dyDescent="0.2">
      <c r="A11" s="3863"/>
      <c r="B11" s="3863"/>
      <c r="C11" s="3368"/>
      <c r="D11" s="2590">
        <v>2</v>
      </c>
      <c r="E11" s="2151" t="s">
        <v>207</v>
      </c>
      <c r="F11" s="2151"/>
      <c r="G11" s="2151"/>
      <c r="H11" s="2151"/>
      <c r="I11" s="2151"/>
      <c r="J11" s="1034"/>
      <c r="K11" s="1034"/>
      <c r="L11" s="1034"/>
      <c r="M11" s="1034"/>
      <c r="N11" s="1039"/>
      <c r="O11" s="1034"/>
      <c r="P11" s="1034"/>
      <c r="Q11" s="1034"/>
      <c r="R11" s="1034"/>
      <c r="S11" s="2591"/>
      <c r="T11" s="1034"/>
      <c r="U11" s="1034"/>
      <c r="V11" s="1034"/>
      <c r="W11" s="2592"/>
      <c r="X11" s="2592"/>
      <c r="Y11" s="2592"/>
      <c r="Z11" s="1034"/>
      <c r="AA11" s="1039"/>
      <c r="AB11" s="1039"/>
      <c r="AC11" s="1039"/>
      <c r="AD11" s="1039"/>
      <c r="AE11" s="1039"/>
      <c r="AF11" s="1039"/>
      <c r="AG11" s="1039"/>
      <c r="AH11" s="1039"/>
      <c r="AI11" s="1039"/>
      <c r="AJ11" s="1039"/>
      <c r="AK11" s="1039"/>
      <c r="AL11" s="1039"/>
      <c r="AM11" s="1039"/>
      <c r="AN11" s="1039"/>
      <c r="AO11" s="1039"/>
      <c r="AP11" s="1039"/>
      <c r="AQ11" s="1039"/>
      <c r="AR11" s="1039"/>
      <c r="AS11" s="1039"/>
      <c r="AT11" s="1039"/>
      <c r="AU11" s="1039"/>
      <c r="AV11" s="1039"/>
      <c r="AW11" s="1039"/>
      <c r="AX11" s="1039"/>
      <c r="AY11" s="1039"/>
      <c r="AZ11" s="1039"/>
      <c r="BA11" s="1039"/>
      <c r="BB11" s="1039"/>
      <c r="BC11" s="1039"/>
      <c r="BD11" s="1039"/>
      <c r="BE11" s="1039"/>
      <c r="BF11" s="1039"/>
      <c r="BG11" s="1039"/>
      <c r="BH11" s="1039"/>
      <c r="BI11" s="2592"/>
      <c r="BJ11" s="2592"/>
      <c r="BK11" s="2593"/>
      <c r="BL11" s="1039"/>
      <c r="BM11" s="1039"/>
      <c r="BN11" s="1039"/>
      <c r="BO11" s="1039"/>
      <c r="BP11" s="1039"/>
      <c r="BQ11" s="1039"/>
      <c r="BR11" s="2594"/>
    </row>
    <row r="12" spans="1:70" ht="15.75" x14ac:dyDescent="0.2">
      <c r="A12" s="3864"/>
      <c r="B12" s="3864"/>
      <c r="C12" s="3369"/>
      <c r="D12" s="3839"/>
      <c r="E12" s="3839"/>
      <c r="F12" s="3372"/>
      <c r="G12" s="2595">
        <v>8</v>
      </c>
      <c r="H12" s="2158" t="s">
        <v>2461</v>
      </c>
      <c r="I12" s="2158"/>
      <c r="J12" s="1044"/>
      <c r="K12" s="1044"/>
      <c r="L12" s="1044"/>
      <c r="M12" s="1044"/>
      <c r="N12" s="1048"/>
      <c r="O12" s="1044"/>
      <c r="P12" s="1044"/>
      <c r="Q12" s="1044"/>
      <c r="R12" s="1044"/>
      <c r="S12" s="2596"/>
      <c r="T12" s="1044"/>
      <c r="U12" s="1044"/>
      <c r="V12" s="1044"/>
      <c r="W12" s="2597"/>
      <c r="X12" s="2597"/>
      <c r="Y12" s="2597"/>
      <c r="Z12" s="1044"/>
      <c r="AA12" s="1048"/>
      <c r="AB12" s="1048"/>
      <c r="AC12" s="1048"/>
      <c r="AD12" s="1048"/>
      <c r="AE12" s="1048"/>
      <c r="AF12" s="1048"/>
      <c r="AG12" s="1048"/>
      <c r="AH12" s="1048"/>
      <c r="AI12" s="1048"/>
      <c r="AJ12" s="1048"/>
      <c r="AK12" s="1048"/>
      <c r="AL12" s="1048"/>
      <c r="AM12" s="1048"/>
      <c r="AN12" s="1048"/>
      <c r="AO12" s="1048"/>
      <c r="AP12" s="1048"/>
      <c r="AQ12" s="1048"/>
      <c r="AR12" s="1048"/>
      <c r="AS12" s="1048"/>
      <c r="AT12" s="1048"/>
      <c r="AU12" s="1048"/>
      <c r="AV12" s="1048"/>
      <c r="AW12" s="1048"/>
      <c r="AX12" s="1048"/>
      <c r="AY12" s="1048"/>
      <c r="AZ12" s="1048"/>
      <c r="BA12" s="1048"/>
      <c r="BB12" s="1048"/>
      <c r="BC12" s="1048"/>
      <c r="BD12" s="1048"/>
      <c r="BE12" s="1048"/>
      <c r="BF12" s="1048"/>
      <c r="BG12" s="1048"/>
      <c r="BH12" s="1048"/>
      <c r="BI12" s="2597"/>
      <c r="BJ12" s="2597"/>
      <c r="BK12" s="2598"/>
      <c r="BL12" s="1048"/>
      <c r="BM12" s="1048"/>
      <c r="BN12" s="1048"/>
      <c r="BO12" s="1048"/>
      <c r="BP12" s="1048"/>
      <c r="BQ12" s="1048"/>
      <c r="BR12" s="2599"/>
    </row>
    <row r="13" spans="1:70" s="367" customFormat="1" ht="51.75" customHeight="1" x14ac:dyDescent="0.2">
      <c r="A13" s="3864"/>
      <c r="B13" s="3864"/>
      <c r="C13" s="3369"/>
      <c r="D13" s="3840"/>
      <c r="E13" s="3840"/>
      <c r="F13" s="3374"/>
      <c r="G13" s="3318"/>
      <c r="H13" s="3318"/>
      <c r="I13" s="3318"/>
      <c r="J13" s="3320">
        <v>38</v>
      </c>
      <c r="K13" s="3822" t="s">
        <v>2462</v>
      </c>
      <c r="L13" s="3822" t="s">
        <v>2463</v>
      </c>
      <c r="M13" s="3318">
        <v>4</v>
      </c>
      <c r="N13" s="3320">
        <v>0</v>
      </c>
      <c r="O13" s="3318" t="s">
        <v>2464</v>
      </c>
      <c r="P13" s="3318" t="s">
        <v>2465</v>
      </c>
      <c r="Q13" s="3822" t="s">
        <v>2466</v>
      </c>
      <c r="R13" s="3824">
        <f>(W13+W14+W15)/S13</f>
        <v>0.66764214046822745</v>
      </c>
      <c r="S13" s="3832">
        <f>SUM(W13:W22)</f>
        <v>119600000</v>
      </c>
      <c r="T13" s="3822" t="s">
        <v>2467</v>
      </c>
      <c r="U13" s="3825" t="s">
        <v>2468</v>
      </c>
      <c r="V13" s="3822" t="s">
        <v>2469</v>
      </c>
      <c r="W13" s="2600">
        <v>16425000</v>
      </c>
      <c r="X13" s="1621">
        <v>0</v>
      </c>
      <c r="Y13" s="1621">
        <v>0</v>
      </c>
      <c r="Z13" s="1418">
        <v>20</v>
      </c>
      <c r="AA13" s="1417" t="s">
        <v>863</v>
      </c>
      <c r="AB13" s="3320">
        <v>294321</v>
      </c>
      <c r="AC13" s="3320"/>
      <c r="AD13" s="3320">
        <v>283947</v>
      </c>
      <c r="AE13" s="3320"/>
      <c r="AF13" s="3320">
        <v>135754</v>
      </c>
      <c r="AG13" s="3320"/>
      <c r="AH13" s="3320">
        <v>44640</v>
      </c>
      <c r="AI13" s="3320"/>
      <c r="AJ13" s="3320">
        <v>308178</v>
      </c>
      <c r="AK13" s="3320"/>
      <c r="AL13" s="3320">
        <v>89696</v>
      </c>
      <c r="AM13" s="3320"/>
      <c r="AN13" s="3320"/>
      <c r="AO13" s="3320"/>
      <c r="AP13" s="3320"/>
      <c r="AQ13" s="3320"/>
      <c r="AR13" s="3320"/>
      <c r="AS13" s="3320"/>
      <c r="AT13" s="3320"/>
      <c r="AU13" s="3320"/>
      <c r="AV13" s="3320"/>
      <c r="AW13" s="3320"/>
      <c r="AX13" s="3320"/>
      <c r="AY13" s="3320"/>
      <c r="AZ13" s="3320"/>
      <c r="BA13" s="3320"/>
      <c r="BB13" s="3320"/>
      <c r="BC13" s="3320"/>
      <c r="BD13" s="3320"/>
      <c r="BE13" s="3320"/>
      <c r="BF13" s="3320"/>
      <c r="BG13" s="3320">
        <f>AC13+AE13</f>
        <v>0</v>
      </c>
      <c r="BH13" s="3256"/>
      <c r="BI13" s="3850"/>
      <c r="BJ13" s="3850"/>
      <c r="BK13" s="3845">
        <v>0</v>
      </c>
      <c r="BL13" s="3256" t="s">
        <v>863</v>
      </c>
      <c r="BM13" s="3256" t="s">
        <v>2470</v>
      </c>
      <c r="BN13" s="3842">
        <v>43467</v>
      </c>
      <c r="BO13" s="3842"/>
      <c r="BP13" s="3842">
        <v>43830</v>
      </c>
      <c r="BQ13" s="3842"/>
      <c r="BR13" s="3827" t="s">
        <v>2471</v>
      </c>
    </row>
    <row r="14" spans="1:70" s="367" customFormat="1" ht="51.75" customHeight="1" x14ac:dyDescent="0.2">
      <c r="A14" s="3864"/>
      <c r="B14" s="3864"/>
      <c r="C14" s="3369"/>
      <c r="D14" s="3840"/>
      <c r="E14" s="3840"/>
      <c r="F14" s="3374"/>
      <c r="G14" s="3318"/>
      <c r="H14" s="3318"/>
      <c r="I14" s="3318"/>
      <c r="J14" s="3320"/>
      <c r="K14" s="3822"/>
      <c r="L14" s="3822"/>
      <c r="M14" s="3318"/>
      <c r="N14" s="3320"/>
      <c r="O14" s="3318"/>
      <c r="P14" s="3318"/>
      <c r="Q14" s="3822"/>
      <c r="R14" s="3824"/>
      <c r="S14" s="3832"/>
      <c r="T14" s="3822"/>
      <c r="U14" s="3825"/>
      <c r="V14" s="3822"/>
      <c r="W14" s="2600">
        <f>0+60000000</f>
        <v>60000000</v>
      </c>
      <c r="X14" s="1621">
        <v>0</v>
      </c>
      <c r="Y14" s="1621">
        <v>0</v>
      </c>
      <c r="Z14" s="1418">
        <v>88</v>
      </c>
      <c r="AA14" s="1417" t="s">
        <v>2472</v>
      </c>
      <c r="AB14" s="3320"/>
      <c r="AC14" s="3320"/>
      <c r="AD14" s="3320"/>
      <c r="AE14" s="3320"/>
      <c r="AF14" s="3320"/>
      <c r="AG14" s="3320"/>
      <c r="AH14" s="3320"/>
      <c r="AI14" s="3320"/>
      <c r="AJ14" s="3320"/>
      <c r="AK14" s="3320"/>
      <c r="AL14" s="3320"/>
      <c r="AM14" s="3320"/>
      <c r="AN14" s="3320"/>
      <c r="AO14" s="3320"/>
      <c r="AP14" s="3320"/>
      <c r="AQ14" s="3320"/>
      <c r="AR14" s="3320"/>
      <c r="AS14" s="3320"/>
      <c r="AT14" s="3320"/>
      <c r="AU14" s="3320"/>
      <c r="AV14" s="3320"/>
      <c r="AW14" s="3320"/>
      <c r="AX14" s="3320"/>
      <c r="AY14" s="3320"/>
      <c r="AZ14" s="3320"/>
      <c r="BA14" s="3320"/>
      <c r="BB14" s="3320"/>
      <c r="BC14" s="3320"/>
      <c r="BD14" s="3320"/>
      <c r="BE14" s="3320"/>
      <c r="BF14" s="3320"/>
      <c r="BG14" s="3320"/>
      <c r="BH14" s="3258"/>
      <c r="BI14" s="3851"/>
      <c r="BJ14" s="3851"/>
      <c r="BK14" s="3847"/>
      <c r="BL14" s="3258"/>
      <c r="BM14" s="3257"/>
      <c r="BN14" s="3842"/>
      <c r="BO14" s="3842"/>
      <c r="BP14" s="3842"/>
      <c r="BQ14" s="3842"/>
      <c r="BR14" s="3827"/>
    </row>
    <row r="15" spans="1:70" s="367" customFormat="1" ht="27" customHeight="1" x14ac:dyDescent="0.2">
      <c r="A15" s="3864"/>
      <c r="B15" s="3864"/>
      <c r="C15" s="3369"/>
      <c r="D15" s="3840"/>
      <c r="E15" s="3840"/>
      <c r="F15" s="3374"/>
      <c r="G15" s="3318"/>
      <c r="H15" s="3318"/>
      <c r="I15" s="3318"/>
      <c r="J15" s="3320"/>
      <c r="K15" s="3822"/>
      <c r="L15" s="3822"/>
      <c r="M15" s="3318"/>
      <c r="N15" s="3320"/>
      <c r="O15" s="3318"/>
      <c r="P15" s="3318"/>
      <c r="Q15" s="3822"/>
      <c r="R15" s="3824"/>
      <c r="S15" s="3832"/>
      <c r="T15" s="3822"/>
      <c r="U15" s="3825"/>
      <c r="V15" s="3822" t="s">
        <v>2473</v>
      </c>
      <c r="W15" s="3794">
        <v>3425000</v>
      </c>
      <c r="X15" s="3828">
        <v>0</v>
      </c>
      <c r="Y15" s="3828">
        <v>0</v>
      </c>
      <c r="Z15" s="3830">
        <v>20</v>
      </c>
      <c r="AA15" s="3318" t="s">
        <v>863</v>
      </c>
      <c r="AB15" s="3320"/>
      <c r="AC15" s="3320"/>
      <c r="AD15" s="3320"/>
      <c r="AE15" s="3320"/>
      <c r="AF15" s="3320"/>
      <c r="AG15" s="3320"/>
      <c r="AH15" s="3320"/>
      <c r="AI15" s="3320"/>
      <c r="AJ15" s="3320"/>
      <c r="AK15" s="3320"/>
      <c r="AL15" s="3320"/>
      <c r="AM15" s="3320"/>
      <c r="AN15" s="3320"/>
      <c r="AO15" s="3320"/>
      <c r="AP15" s="3320"/>
      <c r="AQ15" s="3320"/>
      <c r="AR15" s="3320"/>
      <c r="AS15" s="3320"/>
      <c r="AT15" s="3320"/>
      <c r="AU15" s="3320"/>
      <c r="AV15" s="3320"/>
      <c r="AW15" s="3320"/>
      <c r="AX15" s="3320"/>
      <c r="AY15" s="3320"/>
      <c r="AZ15" s="3320"/>
      <c r="BA15" s="3320"/>
      <c r="BB15" s="3320"/>
      <c r="BC15" s="3320"/>
      <c r="BD15" s="3320"/>
      <c r="BE15" s="3320"/>
      <c r="BF15" s="3320"/>
      <c r="BG15" s="3320"/>
      <c r="BH15" s="3256"/>
      <c r="BI15" s="3850"/>
      <c r="BJ15" s="3850"/>
      <c r="BK15" s="3845">
        <v>0</v>
      </c>
      <c r="BL15" s="3256" t="s">
        <v>2474</v>
      </c>
      <c r="BM15" s="3257"/>
      <c r="BN15" s="3842">
        <v>43467</v>
      </c>
      <c r="BO15" s="3842"/>
      <c r="BP15" s="3842">
        <v>43830</v>
      </c>
      <c r="BQ15" s="3842"/>
      <c r="BR15" s="3827"/>
    </row>
    <row r="16" spans="1:70" s="367" customFormat="1" ht="27" customHeight="1" x14ac:dyDescent="0.2">
      <c r="A16" s="3864"/>
      <c r="B16" s="3864"/>
      <c r="C16" s="3369"/>
      <c r="D16" s="3840"/>
      <c r="E16" s="3840"/>
      <c r="F16" s="3374"/>
      <c r="G16" s="3318"/>
      <c r="H16" s="3318"/>
      <c r="I16" s="3318"/>
      <c r="J16" s="3320"/>
      <c r="K16" s="3822"/>
      <c r="L16" s="3822"/>
      <c r="M16" s="3318"/>
      <c r="N16" s="3320"/>
      <c r="O16" s="3318"/>
      <c r="P16" s="3318"/>
      <c r="Q16" s="3822"/>
      <c r="R16" s="3824"/>
      <c r="S16" s="3832"/>
      <c r="T16" s="3822"/>
      <c r="U16" s="3825"/>
      <c r="V16" s="3822"/>
      <c r="W16" s="3794"/>
      <c r="X16" s="3829"/>
      <c r="Y16" s="3829"/>
      <c r="Z16" s="3830"/>
      <c r="AA16" s="3318"/>
      <c r="AB16" s="3320"/>
      <c r="AC16" s="3320"/>
      <c r="AD16" s="3320"/>
      <c r="AE16" s="3320"/>
      <c r="AF16" s="3320"/>
      <c r="AG16" s="3320"/>
      <c r="AH16" s="3320"/>
      <c r="AI16" s="3320"/>
      <c r="AJ16" s="3320"/>
      <c r="AK16" s="3320"/>
      <c r="AL16" s="3320"/>
      <c r="AM16" s="3320"/>
      <c r="AN16" s="3320"/>
      <c r="AO16" s="3320"/>
      <c r="AP16" s="3320"/>
      <c r="AQ16" s="3320"/>
      <c r="AR16" s="3320"/>
      <c r="AS16" s="3320"/>
      <c r="AT16" s="3320"/>
      <c r="AU16" s="3320"/>
      <c r="AV16" s="3320"/>
      <c r="AW16" s="3320"/>
      <c r="AX16" s="3320"/>
      <c r="AY16" s="3320"/>
      <c r="AZ16" s="3320"/>
      <c r="BA16" s="3320"/>
      <c r="BB16" s="3320"/>
      <c r="BC16" s="3320"/>
      <c r="BD16" s="3320"/>
      <c r="BE16" s="3320"/>
      <c r="BF16" s="3320"/>
      <c r="BG16" s="3320"/>
      <c r="BH16" s="3258"/>
      <c r="BI16" s="3851"/>
      <c r="BJ16" s="3851"/>
      <c r="BK16" s="3847"/>
      <c r="BL16" s="3258"/>
      <c r="BM16" s="3258"/>
      <c r="BN16" s="3842"/>
      <c r="BO16" s="3842"/>
      <c r="BP16" s="3842"/>
      <c r="BQ16" s="3842"/>
      <c r="BR16" s="3827"/>
    </row>
    <row r="17" spans="1:70" s="367" customFormat="1" ht="27" customHeight="1" x14ac:dyDescent="0.2">
      <c r="A17" s="3864"/>
      <c r="B17" s="3864"/>
      <c r="C17" s="3369"/>
      <c r="D17" s="3840"/>
      <c r="E17" s="3840"/>
      <c r="F17" s="3374"/>
      <c r="G17" s="3318"/>
      <c r="H17" s="3318"/>
      <c r="I17" s="3318"/>
      <c r="J17" s="3320">
        <v>39</v>
      </c>
      <c r="K17" s="3822" t="s">
        <v>2475</v>
      </c>
      <c r="L17" s="3822" t="s">
        <v>2476</v>
      </c>
      <c r="M17" s="3318">
        <v>3</v>
      </c>
      <c r="N17" s="3320">
        <v>1.5</v>
      </c>
      <c r="O17" s="3318"/>
      <c r="P17" s="3318"/>
      <c r="Q17" s="3822"/>
      <c r="R17" s="3824">
        <f>(W17+W19+W21)/S13</f>
        <v>0.33235785953177255</v>
      </c>
      <c r="S17" s="3832"/>
      <c r="T17" s="3822"/>
      <c r="U17" s="3825"/>
      <c r="V17" s="3822" t="s">
        <v>2477</v>
      </c>
      <c r="W17" s="3826">
        <v>39750000</v>
      </c>
      <c r="X17" s="3794">
        <v>13990000</v>
      </c>
      <c r="Y17" s="3828">
        <v>0</v>
      </c>
      <c r="Z17" s="3830">
        <v>20</v>
      </c>
      <c r="AA17" s="3318" t="s">
        <v>863</v>
      </c>
      <c r="AB17" s="3320"/>
      <c r="AC17" s="3320"/>
      <c r="AD17" s="3320"/>
      <c r="AE17" s="3320"/>
      <c r="AF17" s="3320"/>
      <c r="AG17" s="3320"/>
      <c r="AH17" s="3320"/>
      <c r="AI17" s="3320"/>
      <c r="AJ17" s="3320"/>
      <c r="AK17" s="3320"/>
      <c r="AL17" s="3320"/>
      <c r="AM17" s="3320"/>
      <c r="AN17" s="3320"/>
      <c r="AO17" s="3320"/>
      <c r="AP17" s="3320"/>
      <c r="AQ17" s="3320"/>
      <c r="AR17" s="3320"/>
      <c r="AS17" s="3320"/>
      <c r="AT17" s="3320"/>
      <c r="AU17" s="3320"/>
      <c r="AV17" s="3320"/>
      <c r="AW17" s="3320"/>
      <c r="AX17" s="3320"/>
      <c r="AY17" s="3320"/>
      <c r="AZ17" s="3320"/>
      <c r="BA17" s="3320"/>
      <c r="BB17" s="3320"/>
      <c r="BC17" s="3320"/>
      <c r="BD17" s="3320"/>
      <c r="BE17" s="3320"/>
      <c r="BF17" s="3320"/>
      <c r="BG17" s="3320"/>
      <c r="BH17" s="3256">
        <v>1</v>
      </c>
      <c r="BI17" s="3795">
        <v>13990000</v>
      </c>
      <c r="BJ17" s="3795"/>
      <c r="BK17" s="3845">
        <f>(BJ17/BI17)*100</f>
        <v>0</v>
      </c>
      <c r="BL17" s="3256" t="s">
        <v>863</v>
      </c>
      <c r="BM17" s="3256" t="s">
        <v>2478</v>
      </c>
      <c r="BN17" s="3766">
        <v>43467</v>
      </c>
      <c r="BO17" s="3844">
        <v>43509</v>
      </c>
      <c r="BP17" s="3766">
        <v>43830</v>
      </c>
      <c r="BQ17" s="3256"/>
      <c r="BR17" s="3827"/>
    </row>
    <row r="18" spans="1:70" s="367" customFormat="1" ht="27" customHeight="1" x14ac:dyDescent="0.2">
      <c r="A18" s="3864"/>
      <c r="B18" s="3864"/>
      <c r="C18" s="3369"/>
      <c r="D18" s="3840"/>
      <c r="E18" s="3840"/>
      <c r="F18" s="3374"/>
      <c r="G18" s="3318"/>
      <c r="H18" s="3318"/>
      <c r="I18" s="3318"/>
      <c r="J18" s="3320"/>
      <c r="K18" s="3822"/>
      <c r="L18" s="3822"/>
      <c r="M18" s="3318"/>
      <c r="N18" s="3320"/>
      <c r="O18" s="3318"/>
      <c r="P18" s="3318"/>
      <c r="Q18" s="3822"/>
      <c r="R18" s="3824"/>
      <c r="S18" s="3832"/>
      <c r="T18" s="3822"/>
      <c r="U18" s="3825"/>
      <c r="V18" s="3822"/>
      <c r="W18" s="3826"/>
      <c r="X18" s="3794"/>
      <c r="Y18" s="3831"/>
      <c r="Z18" s="3830"/>
      <c r="AA18" s="3318"/>
      <c r="AB18" s="3320"/>
      <c r="AC18" s="3320"/>
      <c r="AD18" s="3320"/>
      <c r="AE18" s="3320"/>
      <c r="AF18" s="3320"/>
      <c r="AG18" s="3320"/>
      <c r="AH18" s="3320"/>
      <c r="AI18" s="3320"/>
      <c r="AJ18" s="3320"/>
      <c r="AK18" s="3320"/>
      <c r="AL18" s="3320"/>
      <c r="AM18" s="3320"/>
      <c r="AN18" s="3320"/>
      <c r="AO18" s="3320"/>
      <c r="AP18" s="3320"/>
      <c r="AQ18" s="3320"/>
      <c r="AR18" s="3320"/>
      <c r="AS18" s="3320"/>
      <c r="AT18" s="3320"/>
      <c r="AU18" s="3320"/>
      <c r="AV18" s="3320"/>
      <c r="AW18" s="3320"/>
      <c r="AX18" s="3320"/>
      <c r="AY18" s="3320"/>
      <c r="AZ18" s="3320"/>
      <c r="BA18" s="3320"/>
      <c r="BB18" s="3320"/>
      <c r="BC18" s="3320"/>
      <c r="BD18" s="3320"/>
      <c r="BE18" s="3320"/>
      <c r="BF18" s="3320"/>
      <c r="BG18" s="3320"/>
      <c r="BH18" s="3257"/>
      <c r="BI18" s="3796"/>
      <c r="BJ18" s="3796"/>
      <c r="BK18" s="3846"/>
      <c r="BL18" s="3257"/>
      <c r="BM18" s="3257"/>
      <c r="BN18" s="3767"/>
      <c r="BO18" s="3257"/>
      <c r="BP18" s="3767"/>
      <c r="BQ18" s="3257"/>
      <c r="BR18" s="3827"/>
    </row>
    <row r="19" spans="1:70" s="367" customFormat="1" ht="27" customHeight="1" x14ac:dyDescent="0.2">
      <c r="A19" s="3864"/>
      <c r="B19" s="3864"/>
      <c r="C19" s="3369"/>
      <c r="D19" s="3840"/>
      <c r="E19" s="3840"/>
      <c r="F19" s="3374"/>
      <c r="G19" s="3318"/>
      <c r="H19" s="3318"/>
      <c r="I19" s="3318"/>
      <c r="J19" s="3320"/>
      <c r="K19" s="3822"/>
      <c r="L19" s="3822"/>
      <c r="M19" s="3318"/>
      <c r="N19" s="3320"/>
      <c r="O19" s="3318"/>
      <c r="P19" s="3318"/>
      <c r="Q19" s="3822"/>
      <c r="R19" s="3824"/>
      <c r="S19" s="3832"/>
      <c r="T19" s="3822"/>
      <c r="U19" s="3825"/>
      <c r="V19" s="3822"/>
      <c r="W19" s="3826"/>
      <c r="X19" s="3794"/>
      <c r="Y19" s="3831"/>
      <c r="Z19" s="3830"/>
      <c r="AA19" s="3318"/>
      <c r="AB19" s="3320"/>
      <c r="AC19" s="3320"/>
      <c r="AD19" s="3320"/>
      <c r="AE19" s="3320"/>
      <c r="AF19" s="3320"/>
      <c r="AG19" s="3320"/>
      <c r="AH19" s="3320"/>
      <c r="AI19" s="3320"/>
      <c r="AJ19" s="3320"/>
      <c r="AK19" s="3320"/>
      <c r="AL19" s="3320"/>
      <c r="AM19" s="3320"/>
      <c r="AN19" s="3320"/>
      <c r="AO19" s="3320"/>
      <c r="AP19" s="3320"/>
      <c r="AQ19" s="3320"/>
      <c r="AR19" s="3320"/>
      <c r="AS19" s="3320"/>
      <c r="AT19" s="3320"/>
      <c r="AU19" s="3320"/>
      <c r="AV19" s="3320"/>
      <c r="AW19" s="3320"/>
      <c r="AX19" s="3320"/>
      <c r="AY19" s="3320"/>
      <c r="AZ19" s="3320"/>
      <c r="BA19" s="3320"/>
      <c r="BB19" s="3320"/>
      <c r="BC19" s="3320"/>
      <c r="BD19" s="3320"/>
      <c r="BE19" s="3320"/>
      <c r="BF19" s="3320"/>
      <c r="BG19" s="3320"/>
      <c r="BH19" s="3257"/>
      <c r="BI19" s="3796"/>
      <c r="BJ19" s="3796"/>
      <c r="BK19" s="3846"/>
      <c r="BL19" s="3257"/>
      <c r="BM19" s="3257"/>
      <c r="BN19" s="3767"/>
      <c r="BO19" s="3257"/>
      <c r="BP19" s="3767"/>
      <c r="BQ19" s="3257"/>
      <c r="BR19" s="3827"/>
    </row>
    <row r="20" spans="1:70" s="367" customFormat="1" ht="27" customHeight="1" x14ac:dyDescent="0.2">
      <c r="A20" s="3864"/>
      <c r="B20" s="3864"/>
      <c r="C20" s="3369"/>
      <c r="D20" s="3840"/>
      <c r="E20" s="3840"/>
      <c r="F20" s="3374"/>
      <c r="G20" s="3318"/>
      <c r="H20" s="3318"/>
      <c r="I20" s="3318"/>
      <c r="J20" s="3320"/>
      <c r="K20" s="3822"/>
      <c r="L20" s="3822"/>
      <c r="M20" s="3318"/>
      <c r="N20" s="3320"/>
      <c r="O20" s="3318"/>
      <c r="P20" s="3318"/>
      <c r="Q20" s="3822"/>
      <c r="R20" s="3824"/>
      <c r="S20" s="3832"/>
      <c r="T20" s="3822"/>
      <c r="U20" s="3825"/>
      <c r="V20" s="3822"/>
      <c r="W20" s="3826"/>
      <c r="X20" s="3794"/>
      <c r="Y20" s="3831"/>
      <c r="Z20" s="3830"/>
      <c r="AA20" s="3318"/>
      <c r="AB20" s="3320"/>
      <c r="AC20" s="3320"/>
      <c r="AD20" s="3320"/>
      <c r="AE20" s="3320"/>
      <c r="AF20" s="3320"/>
      <c r="AG20" s="3320"/>
      <c r="AH20" s="3320"/>
      <c r="AI20" s="3320"/>
      <c r="AJ20" s="3320"/>
      <c r="AK20" s="3320"/>
      <c r="AL20" s="3320"/>
      <c r="AM20" s="3320"/>
      <c r="AN20" s="3320"/>
      <c r="AO20" s="3320"/>
      <c r="AP20" s="3320"/>
      <c r="AQ20" s="3320"/>
      <c r="AR20" s="3320"/>
      <c r="AS20" s="3320"/>
      <c r="AT20" s="3320"/>
      <c r="AU20" s="3320"/>
      <c r="AV20" s="3320"/>
      <c r="AW20" s="3320"/>
      <c r="AX20" s="3320"/>
      <c r="AY20" s="3320"/>
      <c r="AZ20" s="3320"/>
      <c r="BA20" s="3320"/>
      <c r="BB20" s="3320"/>
      <c r="BC20" s="3320"/>
      <c r="BD20" s="3320"/>
      <c r="BE20" s="3320"/>
      <c r="BF20" s="3320"/>
      <c r="BG20" s="3320"/>
      <c r="BH20" s="3257"/>
      <c r="BI20" s="3796"/>
      <c r="BJ20" s="3796"/>
      <c r="BK20" s="3846"/>
      <c r="BL20" s="3257"/>
      <c r="BM20" s="3257"/>
      <c r="BN20" s="3767"/>
      <c r="BO20" s="3257"/>
      <c r="BP20" s="3767"/>
      <c r="BQ20" s="3257"/>
      <c r="BR20" s="3827"/>
    </row>
    <row r="21" spans="1:70" s="367" customFormat="1" ht="27" customHeight="1" x14ac:dyDescent="0.2">
      <c r="A21" s="3864"/>
      <c r="B21" s="3864"/>
      <c r="C21" s="3369"/>
      <c r="D21" s="3840"/>
      <c r="E21" s="3840"/>
      <c r="F21" s="3374"/>
      <c r="G21" s="3318"/>
      <c r="H21" s="3318"/>
      <c r="I21" s="3318"/>
      <c r="J21" s="3320"/>
      <c r="K21" s="3822"/>
      <c r="L21" s="3822"/>
      <c r="M21" s="3318"/>
      <c r="N21" s="3320"/>
      <c r="O21" s="3318"/>
      <c r="P21" s="3318"/>
      <c r="Q21" s="3822"/>
      <c r="R21" s="3824"/>
      <c r="S21" s="3832"/>
      <c r="T21" s="3822"/>
      <c r="U21" s="3825"/>
      <c r="V21" s="3822"/>
      <c r="W21" s="3826"/>
      <c r="X21" s="3794"/>
      <c r="Y21" s="3831"/>
      <c r="Z21" s="3830"/>
      <c r="AA21" s="3318"/>
      <c r="AB21" s="3320"/>
      <c r="AC21" s="3320"/>
      <c r="AD21" s="3320"/>
      <c r="AE21" s="3320"/>
      <c r="AF21" s="3320"/>
      <c r="AG21" s="3320"/>
      <c r="AH21" s="3320"/>
      <c r="AI21" s="3320"/>
      <c r="AJ21" s="3320"/>
      <c r="AK21" s="3320"/>
      <c r="AL21" s="3320"/>
      <c r="AM21" s="3320"/>
      <c r="AN21" s="3320"/>
      <c r="AO21" s="3320"/>
      <c r="AP21" s="3320"/>
      <c r="AQ21" s="3320"/>
      <c r="AR21" s="3320"/>
      <c r="AS21" s="3320"/>
      <c r="AT21" s="3320"/>
      <c r="AU21" s="3320"/>
      <c r="AV21" s="3320"/>
      <c r="AW21" s="3320"/>
      <c r="AX21" s="3320"/>
      <c r="AY21" s="3320"/>
      <c r="AZ21" s="3320"/>
      <c r="BA21" s="3320"/>
      <c r="BB21" s="3320"/>
      <c r="BC21" s="3320"/>
      <c r="BD21" s="3320"/>
      <c r="BE21" s="3320"/>
      <c r="BF21" s="3320"/>
      <c r="BG21" s="3320"/>
      <c r="BH21" s="3257"/>
      <c r="BI21" s="3796"/>
      <c r="BJ21" s="3796"/>
      <c r="BK21" s="3846"/>
      <c r="BL21" s="3257"/>
      <c r="BM21" s="3257"/>
      <c r="BN21" s="3767"/>
      <c r="BO21" s="3257"/>
      <c r="BP21" s="3767"/>
      <c r="BQ21" s="3257"/>
      <c r="BR21" s="3827"/>
    </row>
    <row r="22" spans="1:70" s="367" customFormat="1" ht="27" customHeight="1" x14ac:dyDescent="0.2">
      <c r="A22" s="3864"/>
      <c r="B22" s="3864"/>
      <c r="C22" s="3369"/>
      <c r="D22" s="3840"/>
      <c r="E22" s="3840"/>
      <c r="F22" s="3374"/>
      <c r="G22" s="3318"/>
      <c r="H22" s="3318"/>
      <c r="I22" s="3318"/>
      <c r="J22" s="3320"/>
      <c r="K22" s="3822"/>
      <c r="L22" s="3822"/>
      <c r="M22" s="3318"/>
      <c r="N22" s="3320"/>
      <c r="O22" s="3318"/>
      <c r="P22" s="3318"/>
      <c r="Q22" s="3822"/>
      <c r="R22" s="3824"/>
      <c r="S22" s="3832"/>
      <c r="T22" s="3822"/>
      <c r="U22" s="3825"/>
      <c r="V22" s="3822"/>
      <c r="W22" s="3826"/>
      <c r="X22" s="3794"/>
      <c r="Y22" s="3829"/>
      <c r="Z22" s="3830"/>
      <c r="AA22" s="3318"/>
      <c r="AB22" s="3320"/>
      <c r="AC22" s="3320"/>
      <c r="AD22" s="3320"/>
      <c r="AE22" s="3320"/>
      <c r="AF22" s="3320"/>
      <c r="AG22" s="3320"/>
      <c r="AH22" s="3320"/>
      <c r="AI22" s="3320"/>
      <c r="AJ22" s="3320"/>
      <c r="AK22" s="3320"/>
      <c r="AL22" s="3320"/>
      <c r="AM22" s="3320"/>
      <c r="AN22" s="3320"/>
      <c r="AO22" s="3320"/>
      <c r="AP22" s="3320"/>
      <c r="AQ22" s="3320"/>
      <c r="AR22" s="3320"/>
      <c r="AS22" s="3320"/>
      <c r="AT22" s="3320"/>
      <c r="AU22" s="3320"/>
      <c r="AV22" s="3320"/>
      <c r="AW22" s="3320"/>
      <c r="AX22" s="3320"/>
      <c r="AY22" s="3320"/>
      <c r="AZ22" s="3320"/>
      <c r="BA22" s="3320"/>
      <c r="BB22" s="3320"/>
      <c r="BC22" s="3320"/>
      <c r="BD22" s="3320"/>
      <c r="BE22" s="3320"/>
      <c r="BF22" s="3320"/>
      <c r="BG22" s="3320"/>
      <c r="BH22" s="3258"/>
      <c r="BI22" s="3797"/>
      <c r="BJ22" s="3797"/>
      <c r="BK22" s="3847"/>
      <c r="BL22" s="3258"/>
      <c r="BM22" s="3258"/>
      <c r="BN22" s="3768"/>
      <c r="BO22" s="3258"/>
      <c r="BP22" s="3768"/>
      <c r="BQ22" s="3258"/>
      <c r="BR22" s="3827"/>
    </row>
    <row r="23" spans="1:70" s="367" customFormat="1" ht="61.5" customHeight="1" x14ac:dyDescent="0.2">
      <c r="A23" s="3864"/>
      <c r="B23" s="3864"/>
      <c r="C23" s="3369"/>
      <c r="D23" s="3840"/>
      <c r="E23" s="3840"/>
      <c r="F23" s="3374"/>
      <c r="G23" s="3318"/>
      <c r="H23" s="3318"/>
      <c r="I23" s="3318"/>
      <c r="J23" s="3320">
        <v>40</v>
      </c>
      <c r="K23" s="3822" t="s">
        <v>2479</v>
      </c>
      <c r="L23" s="3822" t="s">
        <v>2480</v>
      </c>
      <c r="M23" s="3318">
        <v>0.56000000000000005</v>
      </c>
      <c r="N23" s="3843">
        <v>0</v>
      </c>
      <c r="O23" s="3176" t="s">
        <v>2481</v>
      </c>
      <c r="P23" s="3318" t="s">
        <v>2482</v>
      </c>
      <c r="Q23" s="3822" t="s">
        <v>2483</v>
      </c>
      <c r="R23" s="3824">
        <f>(W23+W24)/S23</f>
        <v>0.53959057551178058</v>
      </c>
      <c r="S23" s="3832">
        <f>SUM(W23:W31)</f>
        <v>129450000</v>
      </c>
      <c r="T23" s="3822" t="s">
        <v>2484</v>
      </c>
      <c r="U23" s="3825" t="s">
        <v>2485</v>
      </c>
      <c r="V23" s="3822" t="s">
        <v>2486</v>
      </c>
      <c r="W23" s="2600">
        <v>19850000</v>
      </c>
      <c r="X23" s="1621">
        <v>0</v>
      </c>
      <c r="Y23" s="1621">
        <v>0</v>
      </c>
      <c r="Z23" s="1418">
        <v>20</v>
      </c>
      <c r="AA23" s="1417" t="s">
        <v>863</v>
      </c>
      <c r="AB23" s="3256">
        <v>294321</v>
      </c>
      <c r="AC23" s="3256">
        <v>41</v>
      </c>
      <c r="AD23" s="3256">
        <v>283947</v>
      </c>
      <c r="AE23" s="3256">
        <v>46</v>
      </c>
      <c r="AF23" s="3256">
        <v>135754</v>
      </c>
      <c r="AG23" s="3256"/>
      <c r="AH23" s="3256">
        <v>44640</v>
      </c>
      <c r="AI23" s="3256">
        <v>78</v>
      </c>
      <c r="AJ23" s="3256">
        <v>308178</v>
      </c>
      <c r="AK23" s="3256">
        <v>9</v>
      </c>
      <c r="AL23" s="3256">
        <v>89696</v>
      </c>
      <c r="AM23" s="3257"/>
      <c r="AN23" s="3257"/>
      <c r="AO23" s="3257">
        <v>1</v>
      </c>
      <c r="AP23" s="3257"/>
      <c r="AQ23" s="3257">
        <v>2</v>
      </c>
      <c r="AR23" s="3257"/>
      <c r="AS23" s="3257"/>
      <c r="AT23" s="3257"/>
      <c r="AU23" s="3257"/>
      <c r="AV23" s="3257"/>
      <c r="AW23" s="3257"/>
      <c r="AX23" s="3257"/>
      <c r="AY23" s="3257"/>
      <c r="AZ23" s="3257"/>
      <c r="BA23" s="3257"/>
      <c r="BB23" s="3257"/>
      <c r="BC23" s="3257"/>
      <c r="BD23" s="3257"/>
      <c r="BE23" s="3257">
        <v>5</v>
      </c>
      <c r="BF23" s="3257"/>
      <c r="BG23" s="3257">
        <f>AC23+AE23</f>
        <v>87</v>
      </c>
      <c r="BH23" s="3819"/>
      <c r="BI23" s="3813"/>
      <c r="BJ23" s="3813"/>
      <c r="BK23" s="3816">
        <v>0</v>
      </c>
      <c r="BL23" s="3256" t="s">
        <v>2487</v>
      </c>
      <c r="BM23" s="3256" t="s">
        <v>2488</v>
      </c>
      <c r="BN23" s="3766">
        <v>43467</v>
      </c>
      <c r="BO23" s="3766"/>
      <c r="BP23" s="3766">
        <v>43830</v>
      </c>
      <c r="BQ23" s="3766"/>
      <c r="BR23" s="3827" t="s">
        <v>2471</v>
      </c>
    </row>
    <row r="24" spans="1:70" s="367" customFormat="1" ht="34.5" customHeight="1" x14ac:dyDescent="0.2">
      <c r="A24" s="3864"/>
      <c r="B24" s="3864"/>
      <c r="C24" s="3369"/>
      <c r="D24" s="3840"/>
      <c r="E24" s="3840"/>
      <c r="F24" s="3374"/>
      <c r="G24" s="3318"/>
      <c r="H24" s="3318"/>
      <c r="I24" s="3318"/>
      <c r="J24" s="3320"/>
      <c r="K24" s="3822"/>
      <c r="L24" s="3822"/>
      <c r="M24" s="3318"/>
      <c r="N24" s="3843"/>
      <c r="O24" s="3177"/>
      <c r="P24" s="3318"/>
      <c r="Q24" s="3822"/>
      <c r="R24" s="3824"/>
      <c r="S24" s="3832"/>
      <c r="T24" s="3822"/>
      <c r="U24" s="3825"/>
      <c r="V24" s="3822"/>
      <c r="W24" s="3794">
        <f>0+50000000</f>
        <v>50000000</v>
      </c>
      <c r="X24" s="3828">
        <v>0</v>
      </c>
      <c r="Y24" s="3828">
        <v>0</v>
      </c>
      <c r="Z24" s="3830">
        <v>88</v>
      </c>
      <c r="AA24" s="3318" t="s">
        <v>2472</v>
      </c>
      <c r="AB24" s="3257"/>
      <c r="AC24" s="3257"/>
      <c r="AD24" s="3257"/>
      <c r="AE24" s="3257"/>
      <c r="AF24" s="3257"/>
      <c r="AG24" s="3257"/>
      <c r="AH24" s="3257"/>
      <c r="AI24" s="3257"/>
      <c r="AJ24" s="3257"/>
      <c r="AK24" s="3257"/>
      <c r="AL24" s="3257"/>
      <c r="AM24" s="3257"/>
      <c r="AN24" s="3257"/>
      <c r="AO24" s="3257"/>
      <c r="AP24" s="3257"/>
      <c r="AQ24" s="3257"/>
      <c r="AR24" s="3257"/>
      <c r="AS24" s="3257"/>
      <c r="AT24" s="3257"/>
      <c r="AU24" s="3257"/>
      <c r="AV24" s="3257"/>
      <c r="AW24" s="3257"/>
      <c r="AX24" s="3257"/>
      <c r="AY24" s="3257"/>
      <c r="AZ24" s="3257"/>
      <c r="BA24" s="3257"/>
      <c r="BB24" s="3257"/>
      <c r="BC24" s="3257"/>
      <c r="BD24" s="3257"/>
      <c r="BE24" s="3257"/>
      <c r="BF24" s="3257"/>
      <c r="BG24" s="3257"/>
      <c r="BH24" s="3820"/>
      <c r="BI24" s="3814"/>
      <c r="BJ24" s="3814"/>
      <c r="BK24" s="3817"/>
      <c r="BL24" s="3820"/>
      <c r="BM24" s="3257"/>
      <c r="BN24" s="3767"/>
      <c r="BO24" s="3767"/>
      <c r="BP24" s="3767"/>
      <c r="BQ24" s="3767"/>
      <c r="BR24" s="3827"/>
    </row>
    <row r="25" spans="1:70" s="367" customFormat="1" ht="34.5" customHeight="1" x14ac:dyDescent="0.2">
      <c r="A25" s="3864"/>
      <c r="B25" s="3864"/>
      <c r="C25" s="3369"/>
      <c r="D25" s="3840"/>
      <c r="E25" s="3840"/>
      <c r="F25" s="3374"/>
      <c r="G25" s="3318"/>
      <c r="H25" s="3318"/>
      <c r="I25" s="3318"/>
      <c r="J25" s="3320"/>
      <c r="K25" s="3822"/>
      <c r="L25" s="3822"/>
      <c r="M25" s="3318"/>
      <c r="N25" s="3843"/>
      <c r="O25" s="3177"/>
      <c r="P25" s="3318"/>
      <c r="Q25" s="3822"/>
      <c r="R25" s="3824"/>
      <c r="S25" s="3832"/>
      <c r="T25" s="3822"/>
      <c r="U25" s="3825"/>
      <c r="V25" s="3822"/>
      <c r="W25" s="3794"/>
      <c r="X25" s="3829"/>
      <c r="Y25" s="3829"/>
      <c r="Z25" s="3830"/>
      <c r="AA25" s="3318"/>
      <c r="AB25" s="3257"/>
      <c r="AC25" s="3257"/>
      <c r="AD25" s="3257"/>
      <c r="AE25" s="3257"/>
      <c r="AF25" s="3257"/>
      <c r="AG25" s="3257"/>
      <c r="AH25" s="3257"/>
      <c r="AI25" s="3257"/>
      <c r="AJ25" s="3257"/>
      <c r="AK25" s="3257"/>
      <c r="AL25" s="3257"/>
      <c r="AM25" s="3257"/>
      <c r="AN25" s="3257"/>
      <c r="AO25" s="3257"/>
      <c r="AP25" s="3257"/>
      <c r="AQ25" s="3257"/>
      <c r="AR25" s="3257"/>
      <c r="AS25" s="3257"/>
      <c r="AT25" s="3257"/>
      <c r="AU25" s="3257"/>
      <c r="AV25" s="3257"/>
      <c r="AW25" s="3257"/>
      <c r="AX25" s="3257"/>
      <c r="AY25" s="3257"/>
      <c r="AZ25" s="3257"/>
      <c r="BA25" s="3257"/>
      <c r="BB25" s="3257"/>
      <c r="BC25" s="3257"/>
      <c r="BD25" s="3257"/>
      <c r="BE25" s="3257"/>
      <c r="BF25" s="3257"/>
      <c r="BG25" s="3257"/>
      <c r="BH25" s="3821"/>
      <c r="BI25" s="3815"/>
      <c r="BJ25" s="3815"/>
      <c r="BK25" s="3818"/>
      <c r="BL25" s="3821"/>
      <c r="BM25" s="3258"/>
      <c r="BN25" s="3768"/>
      <c r="BO25" s="3768"/>
      <c r="BP25" s="3768"/>
      <c r="BQ25" s="3768"/>
      <c r="BR25" s="3827"/>
    </row>
    <row r="26" spans="1:70" s="367" customFormat="1" ht="27" customHeight="1" x14ac:dyDescent="0.2">
      <c r="A26" s="3864"/>
      <c r="B26" s="3864"/>
      <c r="C26" s="3369"/>
      <c r="D26" s="3840"/>
      <c r="E26" s="3840"/>
      <c r="F26" s="3374"/>
      <c r="G26" s="3318"/>
      <c r="H26" s="3318"/>
      <c r="I26" s="3318"/>
      <c r="J26" s="3320">
        <v>41</v>
      </c>
      <c r="K26" s="3822" t="s">
        <v>2489</v>
      </c>
      <c r="L26" s="3822" t="s">
        <v>2490</v>
      </c>
      <c r="M26" s="3318">
        <v>1</v>
      </c>
      <c r="N26" s="3823">
        <v>0.25</v>
      </c>
      <c r="O26" s="3177"/>
      <c r="P26" s="3318"/>
      <c r="Q26" s="3822"/>
      <c r="R26" s="3824">
        <f>(W26)/S23</f>
        <v>0.19196601004248745</v>
      </c>
      <c r="S26" s="3832"/>
      <c r="T26" s="3822"/>
      <c r="U26" s="3825" t="s">
        <v>2491</v>
      </c>
      <c r="V26" s="3822" t="s">
        <v>2492</v>
      </c>
      <c r="W26" s="3794">
        <v>24850000</v>
      </c>
      <c r="X26" s="3813">
        <v>13990000</v>
      </c>
      <c r="Y26" s="3826">
        <v>5596000</v>
      </c>
      <c r="Z26" s="3830">
        <v>20</v>
      </c>
      <c r="AA26" s="3318" t="s">
        <v>863</v>
      </c>
      <c r="AB26" s="3257"/>
      <c r="AC26" s="3257"/>
      <c r="AD26" s="3257"/>
      <c r="AE26" s="3257"/>
      <c r="AF26" s="3257"/>
      <c r="AG26" s="3257"/>
      <c r="AH26" s="3257"/>
      <c r="AI26" s="3257"/>
      <c r="AJ26" s="3257"/>
      <c r="AK26" s="3257"/>
      <c r="AL26" s="3257"/>
      <c r="AM26" s="3257"/>
      <c r="AN26" s="3257"/>
      <c r="AO26" s="3257"/>
      <c r="AP26" s="3257"/>
      <c r="AQ26" s="3257"/>
      <c r="AR26" s="3257"/>
      <c r="AS26" s="3257"/>
      <c r="AT26" s="3257"/>
      <c r="AU26" s="3257"/>
      <c r="AV26" s="3257"/>
      <c r="AW26" s="3257"/>
      <c r="AX26" s="3257"/>
      <c r="AY26" s="3257"/>
      <c r="AZ26" s="3257"/>
      <c r="BA26" s="3257"/>
      <c r="BB26" s="3257"/>
      <c r="BC26" s="3257"/>
      <c r="BD26" s="3257"/>
      <c r="BE26" s="3257"/>
      <c r="BF26" s="3257"/>
      <c r="BG26" s="3257"/>
      <c r="BH26" s="3819">
        <v>1</v>
      </c>
      <c r="BI26" s="3813">
        <v>13990000</v>
      </c>
      <c r="BJ26" s="3813">
        <v>5596000</v>
      </c>
      <c r="BK26" s="3816">
        <f>(BJ26/BI26)</f>
        <v>0.4</v>
      </c>
      <c r="BL26" s="3819" t="s">
        <v>863</v>
      </c>
      <c r="BM26" s="3256" t="s">
        <v>2488</v>
      </c>
      <c r="BN26" s="3766">
        <v>43467</v>
      </c>
      <c r="BO26" s="3766">
        <v>43488</v>
      </c>
      <c r="BP26" s="3766">
        <v>43830</v>
      </c>
      <c r="BQ26" s="3766"/>
      <c r="BR26" s="3827"/>
    </row>
    <row r="27" spans="1:70" s="367" customFormat="1" ht="27" customHeight="1" x14ac:dyDescent="0.2">
      <c r="A27" s="3864"/>
      <c r="B27" s="3864"/>
      <c r="C27" s="3369"/>
      <c r="D27" s="3840"/>
      <c r="E27" s="3840"/>
      <c r="F27" s="3374"/>
      <c r="G27" s="3318"/>
      <c r="H27" s="3318"/>
      <c r="I27" s="3318"/>
      <c r="J27" s="3320"/>
      <c r="K27" s="3822"/>
      <c r="L27" s="3822"/>
      <c r="M27" s="3318"/>
      <c r="N27" s="3823"/>
      <c r="O27" s="3177"/>
      <c r="P27" s="3318"/>
      <c r="Q27" s="3822"/>
      <c r="R27" s="3824"/>
      <c r="S27" s="3832"/>
      <c r="T27" s="3822"/>
      <c r="U27" s="3825"/>
      <c r="V27" s="3822"/>
      <c r="W27" s="3794"/>
      <c r="X27" s="3814"/>
      <c r="Y27" s="3826"/>
      <c r="Z27" s="3830"/>
      <c r="AA27" s="3318"/>
      <c r="AB27" s="3257"/>
      <c r="AC27" s="3257"/>
      <c r="AD27" s="3257"/>
      <c r="AE27" s="3257"/>
      <c r="AF27" s="3257"/>
      <c r="AG27" s="3257"/>
      <c r="AH27" s="3257"/>
      <c r="AI27" s="3257"/>
      <c r="AJ27" s="3257"/>
      <c r="AK27" s="3257"/>
      <c r="AL27" s="3257"/>
      <c r="AM27" s="3257"/>
      <c r="AN27" s="3257"/>
      <c r="AO27" s="3257"/>
      <c r="AP27" s="3257"/>
      <c r="AQ27" s="3257"/>
      <c r="AR27" s="3257"/>
      <c r="AS27" s="3257"/>
      <c r="AT27" s="3257"/>
      <c r="AU27" s="3257"/>
      <c r="AV27" s="3257"/>
      <c r="AW27" s="3257"/>
      <c r="AX27" s="3257"/>
      <c r="AY27" s="3257"/>
      <c r="AZ27" s="3257"/>
      <c r="BA27" s="3257"/>
      <c r="BB27" s="3257"/>
      <c r="BC27" s="3257"/>
      <c r="BD27" s="3257"/>
      <c r="BE27" s="3257"/>
      <c r="BF27" s="3257"/>
      <c r="BG27" s="3257"/>
      <c r="BH27" s="3820"/>
      <c r="BI27" s="3814"/>
      <c r="BJ27" s="3814"/>
      <c r="BK27" s="3817"/>
      <c r="BL27" s="3820"/>
      <c r="BM27" s="3257"/>
      <c r="BN27" s="3767"/>
      <c r="BO27" s="3767"/>
      <c r="BP27" s="3767"/>
      <c r="BQ27" s="3767"/>
      <c r="BR27" s="3827"/>
    </row>
    <row r="28" spans="1:70" s="367" customFormat="1" ht="21.75" customHeight="1" x14ac:dyDescent="0.2">
      <c r="A28" s="3864"/>
      <c r="B28" s="3864"/>
      <c r="C28" s="3369"/>
      <c r="D28" s="3840"/>
      <c r="E28" s="3840"/>
      <c r="F28" s="3374"/>
      <c r="G28" s="3318"/>
      <c r="H28" s="3318"/>
      <c r="I28" s="3318"/>
      <c r="J28" s="3320"/>
      <c r="K28" s="3822"/>
      <c r="L28" s="3822"/>
      <c r="M28" s="3318"/>
      <c r="N28" s="3823"/>
      <c r="O28" s="3177"/>
      <c r="P28" s="3318"/>
      <c r="Q28" s="3822"/>
      <c r="R28" s="3824"/>
      <c r="S28" s="3832"/>
      <c r="T28" s="3822"/>
      <c r="U28" s="3825"/>
      <c r="V28" s="3822"/>
      <c r="W28" s="3794"/>
      <c r="X28" s="3815"/>
      <c r="Y28" s="3826"/>
      <c r="Z28" s="3830"/>
      <c r="AA28" s="3318"/>
      <c r="AB28" s="3257"/>
      <c r="AC28" s="3257"/>
      <c r="AD28" s="3257"/>
      <c r="AE28" s="3257"/>
      <c r="AF28" s="3257"/>
      <c r="AG28" s="3257"/>
      <c r="AH28" s="3257"/>
      <c r="AI28" s="3257"/>
      <c r="AJ28" s="3257"/>
      <c r="AK28" s="3257"/>
      <c r="AL28" s="3257"/>
      <c r="AM28" s="3257"/>
      <c r="AN28" s="3257"/>
      <c r="AO28" s="3257"/>
      <c r="AP28" s="3257"/>
      <c r="AQ28" s="3257"/>
      <c r="AR28" s="3257"/>
      <c r="AS28" s="3257"/>
      <c r="AT28" s="3257"/>
      <c r="AU28" s="3257"/>
      <c r="AV28" s="3257"/>
      <c r="AW28" s="3257"/>
      <c r="AX28" s="3257"/>
      <c r="AY28" s="3257"/>
      <c r="AZ28" s="3257"/>
      <c r="BA28" s="3257"/>
      <c r="BB28" s="3257"/>
      <c r="BC28" s="3257"/>
      <c r="BD28" s="3257"/>
      <c r="BE28" s="3257"/>
      <c r="BF28" s="3257"/>
      <c r="BG28" s="3257"/>
      <c r="BH28" s="3821"/>
      <c r="BI28" s="3815"/>
      <c r="BJ28" s="3815"/>
      <c r="BK28" s="3818"/>
      <c r="BL28" s="3821"/>
      <c r="BM28" s="3258"/>
      <c r="BN28" s="3768"/>
      <c r="BO28" s="3768"/>
      <c r="BP28" s="3768"/>
      <c r="BQ28" s="3768"/>
      <c r="BR28" s="3827"/>
    </row>
    <row r="29" spans="1:70" s="367" customFormat="1" ht="27" customHeight="1" x14ac:dyDescent="0.2">
      <c r="A29" s="3864"/>
      <c r="B29" s="3864"/>
      <c r="C29" s="3369"/>
      <c r="D29" s="3840"/>
      <c r="E29" s="3840"/>
      <c r="F29" s="3374"/>
      <c r="G29" s="3318"/>
      <c r="H29" s="3318"/>
      <c r="I29" s="3318"/>
      <c r="J29" s="3320">
        <v>42</v>
      </c>
      <c r="K29" s="3822" t="s">
        <v>2493</v>
      </c>
      <c r="L29" s="3822" t="s">
        <v>2494</v>
      </c>
      <c r="M29" s="3318">
        <v>1</v>
      </c>
      <c r="N29" s="3823">
        <v>0.25</v>
      </c>
      <c r="O29" s="3177"/>
      <c r="P29" s="3318"/>
      <c r="Q29" s="3822"/>
      <c r="R29" s="3824">
        <f>(W29)/S23</f>
        <v>0.26844341444573194</v>
      </c>
      <c r="S29" s="3832"/>
      <c r="T29" s="3822"/>
      <c r="U29" s="3825"/>
      <c r="V29" s="3822" t="s">
        <v>2495</v>
      </c>
      <c r="W29" s="3794">
        <v>34750000</v>
      </c>
      <c r="X29" s="3826">
        <v>17915000</v>
      </c>
      <c r="Y29" s="3826">
        <v>3583000</v>
      </c>
      <c r="Z29" s="3830">
        <v>20</v>
      </c>
      <c r="AA29" s="3318" t="s">
        <v>863</v>
      </c>
      <c r="AB29" s="3257"/>
      <c r="AC29" s="3257"/>
      <c r="AD29" s="3257"/>
      <c r="AE29" s="3257"/>
      <c r="AF29" s="3257"/>
      <c r="AG29" s="3257"/>
      <c r="AH29" s="3257"/>
      <c r="AI29" s="3257"/>
      <c r="AJ29" s="3257"/>
      <c r="AK29" s="3257"/>
      <c r="AL29" s="3257"/>
      <c r="AM29" s="3257"/>
      <c r="AN29" s="3257"/>
      <c r="AO29" s="3257"/>
      <c r="AP29" s="3257"/>
      <c r="AQ29" s="3257"/>
      <c r="AR29" s="3257"/>
      <c r="AS29" s="3257"/>
      <c r="AT29" s="3257"/>
      <c r="AU29" s="3257"/>
      <c r="AV29" s="3257"/>
      <c r="AW29" s="3257"/>
      <c r="AX29" s="3257"/>
      <c r="AY29" s="3257"/>
      <c r="AZ29" s="3257"/>
      <c r="BA29" s="3257"/>
      <c r="BB29" s="3257"/>
      <c r="BC29" s="3257"/>
      <c r="BD29" s="3257"/>
      <c r="BE29" s="3257"/>
      <c r="BF29" s="3257"/>
      <c r="BG29" s="3257"/>
      <c r="BH29" s="3819">
        <v>1</v>
      </c>
      <c r="BI29" s="3826">
        <v>17915000</v>
      </c>
      <c r="BJ29" s="3826">
        <v>3583000</v>
      </c>
      <c r="BK29" s="3816">
        <f>(BJ29/BI29)</f>
        <v>0.2</v>
      </c>
      <c r="BL29" s="3819" t="s">
        <v>863</v>
      </c>
      <c r="BM29" s="3256" t="s">
        <v>2488</v>
      </c>
      <c r="BN29" s="3766">
        <v>43467</v>
      </c>
      <c r="BO29" s="3766">
        <v>43502</v>
      </c>
      <c r="BP29" s="3766">
        <v>43830</v>
      </c>
      <c r="BQ29" s="3766"/>
      <c r="BR29" s="3827"/>
    </row>
    <row r="30" spans="1:70" s="367" customFormat="1" ht="27" customHeight="1" x14ac:dyDescent="0.2">
      <c r="A30" s="3864"/>
      <c r="B30" s="3864"/>
      <c r="C30" s="3369"/>
      <c r="D30" s="3840"/>
      <c r="E30" s="3840"/>
      <c r="F30" s="3374"/>
      <c r="G30" s="3318"/>
      <c r="H30" s="3318"/>
      <c r="I30" s="3318"/>
      <c r="J30" s="3320"/>
      <c r="K30" s="3822"/>
      <c r="L30" s="3822"/>
      <c r="M30" s="3318"/>
      <c r="N30" s="3823"/>
      <c r="O30" s="3177"/>
      <c r="P30" s="3318"/>
      <c r="Q30" s="3822"/>
      <c r="R30" s="3824"/>
      <c r="S30" s="3832"/>
      <c r="T30" s="3822"/>
      <c r="U30" s="3825"/>
      <c r="V30" s="3822"/>
      <c r="W30" s="3794"/>
      <c r="X30" s="3826"/>
      <c r="Y30" s="3826"/>
      <c r="Z30" s="3830"/>
      <c r="AA30" s="3318"/>
      <c r="AB30" s="3257"/>
      <c r="AC30" s="3257"/>
      <c r="AD30" s="3257"/>
      <c r="AE30" s="3257"/>
      <c r="AF30" s="3257"/>
      <c r="AG30" s="3257"/>
      <c r="AH30" s="3257"/>
      <c r="AI30" s="3257"/>
      <c r="AJ30" s="3257"/>
      <c r="AK30" s="3257"/>
      <c r="AL30" s="3257"/>
      <c r="AM30" s="3257"/>
      <c r="AN30" s="3257"/>
      <c r="AO30" s="3257"/>
      <c r="AP30" s="3257"/>
      <c r="AQ30" s="3257"/>
      <c r="AR30" s="3257"/>
      <c r="AS30" s="3257"/>
      <c r="AT30" s="3257"/>
      <c r="AU30" s="3257"/>
      <c r="AV30" s="3257"/>
      <c r="AW30" s="3257"/>
      <c r="AX30" s="3257"/>
      <c r="AY30" s="3257"/>
      <c r="AZ30" s="3257"/>
      <c r="BA30" s="3257"/>
      <c r="BB30" s="3257"/>
      <c r="BC30" s="3257"/>
      <c r="BD30" s="3257"/>
      <c r="BE30" s="3257"/>
      <c r="BF30" s="3257"/>
      <c r="BG30" s="3257"/>
      <c r="BH30" s="3820"/>
      <c r="BI30" s="3826"/>
      <c r="BJ30" s="3826"/>
      <c r="BK30" s="3817"/>
      <c r="BL30" s="3820"/>
      <c r="BM30" s="3257"/>
      <c r="BN30" s="3767"/>
      <c r="BO30" s="3767"/>
      <c r="BP30" s="3767"/>
      <c r="BQ30" s="3767"/>
      <c r="BR30" s="3827"/>
    </row>
    <row r="31" spans="1:70" s="367" customFormat="1" ht="43.5" customHeight="1" x14ac:dyDescent="0.2">
      <c r="A31" s="3864"/>
      <c r="B31" s="3864"/>
      <c r="C31" s="3369"/>
      <c r="D31" s="3840"/>
      <c r="E31" s="3840"/>
      <c r="F31" s="3374"/>
      <c r="G31" s="3318"/>
      <c r="H31" s="3318"/>
      <c r="I31" s="3318"/>
      <c r="J31" s="3320"/>
      <c r="K31" s="3822"/>
      <c r="L31" s="3822"/>
      <c r="M31" s="3318"/>
      <c r="N31" s="3823"/>
      <c r="O31" s="3178"/>
      <c r="P31" s="3318"/>
      <c r="Q31" s="3822"/>
      <c r="R31" s="3824"/>
      <c r="S31" s="3832"/>
      <c r="T31" s="3822"/>
      <c r="U31" s="3825"/>
      <c r="V31" s="3822"/>
      <c r="W31" s="3794"/>
      <c r="X31" s="3826"/>
      <c r="Y31" s="3826"/>
      <c r="Z31" s="3830"/>
      <c r="AA31" s="3318"/>
      <c r="AB31" s="3258"/>
      <c r="AC31" s="3258"/>
      <c r="AD31" s="3258"/>
      <c r="AE31" s="3258"/>
      <c r="AF31" s="3258"/>
      <c r="AG31" s="3258"/>
      <c r="AH31" s="3258"/>
      <c r="AI31" s="3258"/>
      <c r="AJ31" s="3258"/>
      <c r="AK31" s="3258"/>
      <c r="AL31" s="3258"/>
      <c r="AM31" s="3258"/>
      <c r="AN31" s="3258"/>
      <c r="AO31" s="3258"/>
      <c r="AP31" s="3258"/>
      <c r="AQ31" s="3258"/>
      <c r="AR31" s="3258"/>
      <c r="AS31" s="3258"/>
      <c r="AT31" s="3258"/>
      <c r="AU31" s="3258"/>
      <c r="AV31" s="3258"/>
      <c r="AW31" s="3258"/>
      <c r="AX31" s="3258"/>
      <c r="AY31" s="3258"/>
      <c r="AZ31" s="3258"/>
      <c r="BA31" s="3258"/>
      <c r="BB31" s="3258"/>
      <c r="BC31" s="3258"/>
      <c r="BD31" s="3258"/>
      <c r="BE31" s="3258"/>
      <c r="BF31" s="3258"/>
      <c r="BG31" s="3258"/>
      <c r="BH31" s="3821"/>
      <c r="BI31" s="3826"/>
      <c r="BJ31" s="3826"/>
      <c r="BK31" s="3818"/>
      <c r="BL31" s="3821"/>
      <c r="BM31" s="3258"/>
      <c r="BN31" s="3768"/>
      <c r="BO31" s="3768"/>
      <c r="BP31" s="3768"/>
      <c r="BQ31" s="3768"/>
      <c r="BR31" s="3827"/>
    </row>
    <row r="32" spans="1:70" ht="27" customHeight="1" x14ac:dyDescent="0.2">
      <c r="A32" s="3864"/>
      <c r="B32" s="3864"/>
      <c r="C32" s="3369"/>
      <c r="D32" s="3840"/>
      <c r="E32" s="3840"/>
      <c r="F32" s="3374"/>
      <c r="G32" s="2595">
        <v>9</v>
      </c>
      <c r="H32" s="1494" t="s">
        <v>2496</v>
      </c>
      <c r="I32" s="1458"/>
      <c r="J32" s="1458"/>
      <c r="K32" s="1458"/>
      <c r="L32" s="1458"/>
      <c r="M32" s="1458"/>
      <c r="N32" s="1458"/>
      <c r="O32" s="1458"/>
      <c r="P32" s="1458"/>
      <c r="Q32" s="1458"/>
      <c r="R32" s="1458"/>
      <c r="S32" s="1458"/>
      <c r="T32" s="1458"/>
      <c r="U32" s="1458"/>
      <c r="V32" s="1458"/>
      <c r="W32" s="1458"/>
      <c r="X32" s="1458"/>
      <c r="Y32" s="1458"/>
      <c r="Z32" s="1458"/>
      <c r="AA32" s="954"/>
      <c r="AB32" s="954"/>
      <c r="AC32" s="954"/>
      <c r="AD32" s="954"/>
      <c r="AE32" s="954"/>
      <c r="AF32" s="954"/>
      <c r="AG32" s="954"/>
      <c r="AH32" s="954"/>
      <c r="AI32" s="954"/>
      <c r="AJ32" s="954"/>
      <c r="AK32" s="954"/>
      <c r="AL32" s="954"/>
      <c r="AM32" s="954"/>
      <c r="AN32" s="954"/>
      <c r="AO32" s="954"/>
      <c r="AP32" s="954"/>
      <c r="AQ32" s="954"/>
      <c r="AR32" s="954"/>
      <c r="AS32" s="954"/>
      <c r="AT32" s="954"/>
      <c r="AU32" s="954"/>
      <c r="AV32" s="954"/>
      <c r="AW32" s="954"/>
      <c r="AX32" s="954"/>
      <c r="AY32" s="954"/>
      <c r="AZ32" s="954"/>
      <c r="BA32" s="954"/>
      <c r="BB32" s="954"/>
      <c r="BC32" s="954"/>
      <c r="BD32" s="954"/>
      <c r="BE32" s="954"/>
      <c r="BF32" s="954"/>
      <c r="BG32" s="954"/>
      <c r="BH32" s="1458"/>
      <c r="BI32" s="1458"/>
      <c r="BJ32" s="1458"/>
      <c r="BK32" s="1458"/>
      <c r="BL32" s="1458"/>
      <c r="BM32" s="1458"/>
      <c r="BN32" s="1458"/>
      <c r="BO32" s="1458"/>
      <c r="BP32" s="1458"/>
      <c r="BQ32" s="1458"/>
      <c r="BR32" s="2601"/>
    </row>
    <row r="33" spans="1:70" s="367" customFormat="1" ht="54.75" customHeight="1" x14ac:dyDescent="0.2">
      <c r="A33" s="3864"/>
      <c r="B33" s="3864"/>
      <c r="C33" s="3369"/>
      <c r="D33" s="3840"/>
      <c r="E33" s="3840"/>
      <c r="F33" s="3374"/>
      <c r="G33" s="3371"/>
      <c r="H33" s="3839"/>
      <c r="I33" s="3372"/>
      <c r="J33" s="3320">
        <v>44</v>
      </c>
      <c r="K33" s="3822" t="s">
        <v>2497</v>
      </c>
      <c r="L33" s="3822" t="s">
        <v>2498</v>
      </c>
      <c r="M33" s="3318">
        <v>1</v>
      </c>
      <c r="N33" s="3823">
        <v>0.57999999999999996</v>
      </c>
      <c r="O33" s="3176" t="s">
        <v>2499</v>
      </c>
      <c r="P33" s="3318" t="s">
        <v>2500</v>
      </c>
      <c r="Q33" s="3822" t="s">
        <v>2501</v>
      </c>
      <c r="R33" s="3824">
        <f>SUM(W33:W38)/S33</f>
        <v>0.20361860999425618</v>
      </c>
      <c r="S33" s="3832">
        <f>SUM(W33:W50)</f>
        <v>348200000</v>
      </c>
      <c r="T33" s="3822" t="s">
        <v>2502</v>
      </c>
      <c r="U33" s="3825" t="s">
        <v>2503</v>
      </c>
      <c r="V33" s="3822" t="s">
        <v>2504</v>
      </c>
      <c r="W33" s="992">
        <v>16910000</v>
      </c>
      <c r="X33" s="2602">
        <v>16910000</v>
      </c>
      <c r="Y33" s="2602">
        <v>5596000</v>
      </c>
      <c r="Z33" s="1418">
        <v>20</v>
      </c>
      <c r="AA33" s="1417" t="s">
        <v>863</v>
      </c>
      <c r="AB33" s="3819">
        <v>294321</v>
      </c>
      <c r="AC33" s="3819">
        <v>271</v>
      </c>
      <c r="AD33" s="3819">
        <v>283947</v>
      </c>
      <c r="AE33" s="3819">
        <v>134</v>
      </c>
      <c r="AF33" s="3819">
        <v>135754</v>
      </c>
      <c r="AG33" s="3819"/>
      <c r="AH33" s="3819">
        <v>44640</v>
      </c>
      <c r="AI33" s="3819"/>
      <c r="AJ33" s="3819">
        <v>308178</v>
      </c>
      <c r="AK33" s="3819">
        <v>388</v>
      </c>
      <c r="AL33" s="3819">
        <v>89696</v>
      </c>
      <c r="AM33" s="3819">
        <v>17</v>
      </c>
      <c r="AN33" s="3819"/>
      <c r="AO33" s="3819">
        <v>1</v>
      </c>
      <c r="AP33" s="3819"/>
      <c r="AQ33" s="3819"/>
      <c r="AR33" s="3819"/>
      <c r="AS33" s="3819"/>
      <c r="AT33" s="3819"/>
      <c r="AU33" s="3819"/>
      <c r="AV33" s="3819"/>
      <c r="AW33" s="3819"/>
      <c r="AX33" s="3819"/>
      <c r="AY33" s="3819"/>
      <c r="AZ33" s="3819"/>
      <c r="BA33" s="3819"/>
      <c r="BB33" s="3819"/>
      <c r="BC33" s="3819">
        <v>1</v>
      </c>
      <c r="BD33" s="3819"/>
      <c r="BE33" s="3819">
        <v>16</v>
      </c>
      <c r="BF33" s="3819"/>
      <c r="BG33" s="3819">
        <f>AC33+AE33</f>
        <v>405</v>
      </c>
      <c r="BH33" s="3819">
        <v>2</v>
      </c>
      <c r="BI33" s="3813">
        <v>22384000</v>
      </c>
      <c r="BJ33" s="3813">
        <v>5596000</v>
      </c>
      <c r="BK33" s="3816">
        <f>(BJ33/BI33)</f>
        <v>0.25</v>
      </c>
      <c r="BL33" s="3256" t="s">
        <v>2487</v>
      </c>
      <c r="BM33" s="3256" t="s">
        <v>2470</v>
      </c>
      <c r="BN33" s="3766">
        <v>43467</v>
      </c>
      <c r="BO33" s="3766">
        <v>43489</v>
      </c>
      <c r="BP33" s="3766">
        <v>43830</v>
      </c>
      <c r="BQ33" s="3766"/>
      <c r="BR33" s="3827" t="s">
        <v>2471</v>
      </c>
    </row>
    <row r="34" spans="1:70" s="367" customFormat="1" ht="39.75" customHeight="1" x14ac:dyDescent="0.2">
      <c r="A34" s="3864"/>
      <c r="B34" s="3864"/>
      <c r="C34" s="3369"/>
      <c r="D34" s="3840"/>
      <c r="E34" s="3840"/>
      <c r="F34" s="3374"/>
      <c r="G34" s="3373"/>
      <c r="H34" s="3840"/>
      <c r="I34" s="3374"/>
      <c r="J34" s="3320"/>
      <c r="K34" s="3822"/>
      <c r="L34" s="3822"/>
      <c r="M34" s="3318"/>
      <c r="N34" s="3823"/>
      <c r="O34" s="3177"/>
      <c r="P34" s="3318"/>
      <c r="Q34" s="3822"/>
      <c r="R34" s="3824"/>
      <c r="S34" s="3832"/>
      <c r="T34" s="3822"/>
      <c r="U34" s="3825"/>
      <c r="V34" s="3822"/>
      <c r="W34" s="3794">
        <f>0+39400000</f>
        <v>39400000</v>
      </c>
      <c r="X34" s="3828">
        <v>0</v>
      </c>
      <c r="Y34" s="3828">
        <v>0</v>
      </c>
      <c r="Z34" s="3830">
        <v>88</v>
      </c>
      <c r="AA34" s="3318" t="s">
        <v>2472</v>
      </c>
      <c r="AB34" s="3820"/>
      <c r="AC34" s="3820"/>
      <c r="AD34" s="3820"/>
      <c r="AE34" s="3820"/>
      <c r="AF34" s="3820"/>
      <c r="AG34" s="3820"/>
      <c r="AH34" s="3820"/>
      <c r="AI34" s="3820"/>
      <c r="AJ34" s="3820"/>
      <c r="AK34" s="3820"/>
      <c r="AL34" s="3820"/>
      <c r="AM34" s="3820"/>
      <c r="AN34" s="3820"/>
      <c r="AO34" s="3820"/>
      <c r="AP34" s="3820"/>
      <c r="AQ34" s="3820"/>
      <c r="AR34" s="3820"/>
      <c r="AS34" s="3820"/>
      <c r="AT34" s="3820"/>
      <c r="AU34" s="3820"/>
      <c r="AV34" s="3820"/>
      <c r="AW34" s="3820"/>
      <c r="AX34" s="3820"/>
      <c r="AY34" s="3820"/>
      <c r="AZ34" s="3820"/>
      <c r="BA34" s="3820"/>
      <c r="BB34" s="3820"/>
      <c r="BC34" s="3820"/>
      <c r="BD34" s="3820"/>
      <c r="BE34" s="3820"/>
      <c r="BF34" s="3820"/>
      <c r="BG34" s="3820"/>
      <c r="BH34" s="3820"/>
      <c r="BI34" s="3814"/>
      <c r="BJ34" s="3814"/>
      <c r="BK34" s="3817"/>
      <c r="BL34" s="3820"/>
      <c r="BM34" s="3257"/>
      <c r="BN34" s="3767"/>
      <c r="BO34" s="3767"/>
      <c r="BP34" s="3767"/>
      <c r="BQ34" s="3767"/>
      <c r="BR34" s="3827"/>
    </row>
    <row r="35" spans="1:70" s="367" customFormat="1" ht="43.5" customHeight="1" x14ac:dyDescent="0.2">
      <c r="A35" s="3864"/>
      <c r="B35" s="3864"/>
      <c r="C35" s="3369"/>
      <c r="D35" s="3840"/>
      <c r="E35" s="3840"/>
      <c r="F35" s="3374"/>
      <c r="G35" s="3373"/>
      <c r="H35" s="3840"/>
      <c r="I35" s="3374"/>
      <c r="J35" s="3320"/>
      <c r="K35" s="3822"/>
      <c r="L35" s="3822"/>
      <c r="M35" s="3318"/>
      <c r="N35" s="3823"/>
      <c r="O35" s="3177"/>
      <c r="P35" s="3318"/>
      <c r="Q35" s="3822"/>
      <c r="R35" s="3824"/>
      <c r="S35" s="3832"/>
      <c r="T35" s="3822"/>
      <c r="U35" s="3825"/>
      <c r="V35" s="3822"/>
      <c r="W35" s="3794"/>
      <c r="X35" s="3829"/>
      <c r="Y35" s="3829"/>
      <c r="Z35" s="3830"/>
      <c r="AA35" s="3318"/>
      <c r="AB35" s="3820"/>
      <c r="AC35" s="3820"/>
      <c r="AD35" s="3820"/>
      <c r="AE35" s="3820"/>
      <c r="AF35" s="3820"/>
      <c r="AG35" s="3820"/>
      <c r="AH35" s="3820"/>
      <c r="AI35" s="3820"/>
      <c r="AJ35" s="3820"/>
      <c r="AK35" s="3820"/>
      <c r="AL35" s="3820"/>
      <c r="AM35" s="3820"/>
      <c r="AN35" s="3820"/>
      <c r="AO35" s="3820"/>
      <c r="AP35" s="3820"/>
      <c r="AQ35" s="3820"/>
      <c r="AR35" s="3820"/>
      <c r="AS35" s="3820"/>
      <c r="AT35" s="3820"/>
      <c r="AU35" s="3820"/>
      <c r="AV35" s="3820"/>
      <c r="AW35" s="3820"/>
      <c r="AX35" s="3820"/>
      <c r="AY35" s="3820"/>
      <c r="AZ35" s="3820"/>
      <c r="BA35" s="3820"/>
      <c r="BB35" s="3820"/>
      <c r="BC35" s="3820"/>
      <c r="BD35" s="3820"/>
      <c r="BE35" s="3820"/>
      <c r="BF35" s="3820"/>
      <c r="BG35" s="3820"/>
      <c r="BH35" s="3820"/>
      <c r="BI35" s="3814"/>
      <c r="BJ35" s="3814"/>
      <c r="BK35" s="3817"/>
      <c r="BL35" s="3820"/>
      <c r="BM35" s="3257"/>
      <c r="BN35" s="3767"/>
      <c r="BO35" s="3767"/>
      <c r="BP35" s="3767"/>
      <c r="BQ35" s="3767"/>
      <c r="BR35" s="3827"/>
    </row>
    <row r="36" spans="1:70" s="367" customFormat="1" ht="39.75" customHeight="1" x14ac:dyDescent="0.2">
      <c r="A36" s="3864"/>
      <c r="B36" s="3864"/>
      <c r="C36" s="3369"/>
      <c r="D36" s="3840"/>
      <c r="E36" s="3840"/>
      <c r="F36" s="3374"/>
      <c r="G36" s="3373"/>
      <c r="H36" s="3840"/>
      <c r="I36" s="3374"/>
      <c r="J36" s="3320"/>
      <c r="K36" s="3822"/>
      <c r="L36" s="3822"/>
      <c r="M36" s="3318"/>
      <c r="N36" s="3823"/>
      <c r="O36" s="3177"/>
      <c r="P36" s="3318"/>
      <c r="Q36" s="3822"/>
      <c r="R36" s="3824"/>
      <c r="S36" s="3832"/>
      <c r="T36" s="3822"/>
      <c r="U36" s="3825"/>
      <c r="V36" s="3822" t="s">
        <v>2505</v>
      </c>
      <c r="W36" s="3794">
        <v>14590000</v>
      </c>
      <c r="X36" s="3826">
        <v>5474000</v>
      </c>
      <c r="Y36" s="3828">
        <v>0</v>
      </c>
      <c r="Z36" s="3830">
        <v>20</v>
      </c>
      <c r="AA36" s="3318" t="s">
        <v>863</v>
      </c>
      <c r="AB36" s="3820"/>
      <c r="AC36" s="3820"/>
      <c r="AD36" s="3820"/>
      <c r="AE36" s="3820"/>
      <c r="AF36" s="3820"/>
      <c r="AG36" s="3820"/>
      <c r="AH36" s="3820"/>
      <c r="AI36" s="3820"/>
      <c r="AJ36" s="3820"/>
      <c r="AK36" s="3820"/>
      <c r="AL36" s="3820"/>
      <c r="AM36" s="3820"/>
      <c r="AN36" s="3820"/>
      <c r="AO36" s="3820"/>
      <c r="AP36" s="3820"/>
      <c r="AQ36" s="3820"/>
      <c r="AR36" s="3820"/>
      <c r="AS36" s="3820"/>
      <c r="AT36" s="3820"/>
      <c r="AU36" s="3820"/>
      <c r="AV36" s="3820"/>
      <c r="AW36" s="3820"/>
      <c r="AX36" s="3820"/>
      <c r="AY36" s="3820"/>
      <c r="AZ36" s="3820"/>
      <c r="BA36" s="3820"/>
      <c r="BB36" s="3820"/>
      <c r="BC36" s="3820"/>
      <c r="BD36" s="3820"/>
      <c r="BE36" s="3820"/>
      <c r="BF36" s="3820"/>
      <c r="BG36" s="3820"/>
      <c r="BH36" s="3820"/>
      <c r="BI36" s="3814"/>
      <c r="BJ36" s="3814"/>
      <c r="BK36" s="3817"/>
      <c r="BL36" s="3820"/>
      <c r="BM36" s="3257"/>
      <c r="BN36" s="3767"/>
      <c r="BO36" s="3767"/>
      <c r="BP36" s="3767"/>
      <c r="BQ36" s="3767"/>
      <c r="BR36" s="3827"/>
    </row>
    <row r="37" spans="1:70" s="367" customFormat="1" ht="39.75" customHeight="1" x14ac:dyDescent="0.2">
      <c r="A37" s="3864"/>
      <c r="B37" s="3864"/>
      <c r="C37" s="3369"/>
      <c r="D37" s="3840"/>
      <c r="E37" s="3840"/>
      <c r="F37" s="3374"/>
      <c r="G37" s="3373"/>
      <c r="H37" s="3840"/>
      <c r="I37" s="3374"/>
      <c r="J37" s="3320"/>
      <c r="K37" s="3822"/>
      <c r="L37" s="3822"/>
      <c r="M37" s="3318"/>
      <c r="N37" s="3823"/>
      <c r="O37" s="3177"/>
      <c r="P37" s="3318"/>
      <c r="Q37" s="3822"/>
      <c r="R37" s="3824"/>
      <c r="S37" s="3832"/>
      <c r="T37" s="3822"/>
      <c r="U37" s="3825"/>
      <c r="V37" s="3822"/>
      <c r="W37" s="3794"/>
      <c r="X37" s="3826"/>
      <c r="Y37" s="3831"/>
      <c r="Z37" s="3830"/>
      <c r="AA37" s="3318"/>
      <c r="AB37" s="3820"/>
      <c r="AC37" s="3820"/>
      <c r="AD37" s="3820"/>
      <c r="AE37" s="3820"/>
      <c r="AF37" s="3820"/>
      <c r="AG37" s="3820"/>
      <c r="AH37" s="3820"/>
      <c r="AI37" s="3820"/>
      <c r="AJ37" s="3820"/>
      <c r="AK37" s="3820"/>
      <c r="AL37" s="3820"/>
      <c r="AM37" s="3820"/>
      <c r="AN37" s="3820"/>
      <c r="AO37" s="3820"/>
      <c r="AP37" s="3820"/>
      <c r="AQ37" s="3820"/>
      <c r="AR37" s="3820"/>
      <c r="AS37" s="3820"/>
      <c r="AT37" s="3820"/>
      <c r="AU37" s="3820"/>
      <c r="AV37" s="3820"/>
      <c r="AW37" s="3820"/>
      <c r="AX37" s="3820"/>
      <c r="AY37" s="3820"/>
      <c r="AZ37" s="3820"/>
      <c r="BA37" s="3820"/>
      <c r="BB37" s="3820"/>
      <c r="BC37" s="3820"/>
      <c r="BD37" s="3820"/>
      <c r="BE37" s="3820"/>
      <c r="BF37" s="3820"/>
      <c r="BG37" s="3820"/>
      <c r="BH37" s="3820"/>
      <c r="BI37" s="3814"/>
      <c r="BJ37" s="3814"/>
      <c r="BK37" s="3817"/>
      <c r="BL37" s="3820"/>
      <c r="BM37" s="3257"/>
      <c r="BN37" s="3767"/>
      <c r="BO37" s="3767"/>
      <c r="BP37" s="3767"/>
      <c r="BQ37" s="3767"/>
      <c r="BR37" s="3827"/>
    </row>
    <row r="38" spans="1:70" s="367" customFormat="1" ht="39.75" customHeight="1" x14ac:dyDescent="0.2">
      <c r="A38" s="3864"/>
      <c r="B38" s="3864"/>
      <c r="C38" s="3369"/>
      <c r="D38" s="3840"/>
      <c r="E38" s="3840"/>
      <c r="F38" s="3374"/>
      <c r="G38" s="3373"/>
      <c r="H38" s="3840"/>
      <c r="I38" s="3374"/>
      <c r="J38" s="3320"/>
      <c r="K38" s="3822"/>
      <c r="L38" s="3822"/>
      <c r="M38" s="3318"/>
      <c r="N38" s="3823"/>
      <c r="O38" s="3177"/>
      <c r="P38" s="3318"/>
      <c r="Q38" s="3822"/>
      <c r="R38" s="3824"/>
      <c r="S38" s="3832"/>
      <c r="T38" s="3822"/>
      <c r="U38" s="3825"/>
      <c r="V38" s="3822"/>
      <c r="W38" s="3794"/>
      <c r="X38" s="3826"/>
      <c r="Y38" s="3829"/>
      <c r="Z38" s="3830"/>
      <c r="AA38" s="3318"/>
      <c r="AB38" s="3820"/>
      <c r="AC38" s="3820"/>
      <c r="AD38" s="3820"/>
      <c r="AE38" s="3820"/>
      <c r="AF38" s="3820"/>
      <c r="AG38" s="3820"/>
      <c r="AH38" s="3820"/>
      <c r="AI38" s="3820"/>
      <c r="AJ38" s="3820"/>
      <c r="AK38" s="3820"/>
      <c r="AL38" s="3820"/>
      <c r="AM38" s="3820"/>
      <c r="AN38" s="3820"/>
      <c r="AO38" s="3820"/>
      <c r="AP38" s="3820"/>
      <c r="AQ38" s="3820"/>
      <c r="AR38" s="3820"/>
      <c r="AS38" s="3820"/>
      <c r="AT38" s="3820"/>
      <c r="AU38" s="3820"/>
      <c r="AV38" s="3820"/>
      <c r="AW38" s="3820"/>
      <c r="AX38" s="3820"/>
      <c r="AY38" s="3820"/>
      <c r="AZ38" s="3820"/>
      <c r="BA38" s="3820"/>
      <c r="BB38" s="3820"/>
      <c r="BC38" s="3820"/>
      <c r="BD38" s="3820"/>
      <c r="BE38" s="3820"/>
      <c r="BF38" s="3820"/>
      <c r="BG38" s="3820"/>
      <c r="BH38" s="3821"/>
      <c r="BI38" s="3815"/>
      <c r="BJ38" s="3815"/>
      <c r="BK38" s="3818"/>
      <c r="BL38" s="3821"/>
      <c r="BM38" s="3258"/>
      <c r="BN38" s="3768"/>
      <c r="BO38" s="3768"/>
      <c r="BP38" s="3768"/>
      <c r="BQ38" s="3768"/>
      <c r="BR38" s="3827"/>
    </row>
    <row r="39" spans="1:70" s="367" customFormat="1" ht="27" customHeight="1" x14ac:dyDescent="0.2">
      <c r="A39" s="3864"/>
      <c r="B39" s="3864"/>
      <c r="C39" s="3369"/>
      <c r="D39" s="3840"/>
      <c r="E39" s="3840"/>
      <c r="F39" s="3374"/>
      <c r="G39" s="3373"/>
      <c r="H39" s="3840"/>
      <c r="I39" s="3374"/>
      <c r="J39" s="3320">
        <v>43</v>
      </c>
      <c r="K39" s="3822" t="s">
        <v>2506</v>
      </c>
      <c r="L39" s="3822" t="s">
        <v>2507</v>
      </c>
      <c r="M39" s="3318">
        <v>3</v>
      </c>
      <c r="N39" s="3823">
        <v>1</v>
      </c>
      <c r="O39" s="3177"/>
      <c r="P39" s="3318"/>
      <c r="Q39" s="3822"/>
      <c r="R39" s="3824">
        <f>(W39)/S33</f>
        <v>8.2711085582998278E-2</v>
      </c>
      <c r="S39" s="3832"/>
      <c r="T39" s="3822"/>
      <c r="U39" s="3825" t="s">
        <v>2508</v>
      </c>
      <c r="V39" s="3822" t="s">
        <v>2509</v>
      </c>
      <c r="W39" s="3794">
        <v>28800000</v>
      </c>
      <c r="X39" s="3826">
        <v>17915000</v>
      </c>
      <c r="Y39" s="3826">
        <v>3583000</v>
      </c>
      <c r="Z39" s="3830">
        <v>20</v>
      </c>
      <c r="AA39" s="3318" t="s">
        <v>863</v>
      </c>
      <c r="AB39" s="3820"/>
      <c r="AC39" s="3820"/>
      <c r="AD39" s="3820"/>
      <c r="AE39" s="3820"/>
      <c r="AF39" s="3820"/>
      <c r="AG39" s="3820"/>
      <c r="AH39" s="3820"/>
      <c r="AI39" s="3820"/>
      <c r="AJ39" s="3820"/>
      <c r="AK39" s="3820"/>
      <c r="AL39" s="3820"/>
      <c r="AM39" s="3820"/>
      <c r="AN39" s="3820"/>
      <c r="AO39" s="3820"/>
      <c r="AP39" s="3820"/>
      <c r="AQ39" s="3820"/>
      <c r="AR39" s="3820"/>
      <c r="AS39" s="3820"/>
      <c r="AT39" s="3820"/>
      <c r="AU39" s="3820"/>
      <c r="AV39" s="3820"/>
      <c r="AW39" s="3820"/>
      <c r="AX39" s="3820"/>
      <c r="AY39" s="3820"/>
      <c r="AZ39" s="3820"/>
      <c r="BA39" s="3820"/>
      <c r="BB39" s="3820"/>
      <c r="BC39" s="3820"/>
      <c r="BD39" s="3820"/>
      <c r="BE39" s="3820"/>
      <c r="BF39" s="3820"/>
      <c r="BG39" s="3820"/>
      <c r="BH39" s="3819">
        <v>1</v>
      </c>
      <c r="BI39" s="3826">
        <v>17915000</v>
      </c>
      <c r="BJ39" s="3826">
        <v>3583000</v>
      </c>
      <c r="BK39" s="3816">
        <f>BJ39/BI39</f>
        <v>0.2</v>
      </c>
      <c r="BL39" s="3819" t="s">
        <v>863</v>
      </c>
      <c r="BM39" s="3256" t="s">
        <v>2478</v>
      </c>
      <c r="BN39" s="3766">
        <v>43467</v>
      </c>
      <c r="BO39" s="3766">
        <v>43501</v>
      </c>
      <c r="BP39" s="3766">
        <v>43830</v>
      </c>
      <c r="BQ39" s="3766"/>
      <c r="BR39" s="3827"/>
    </row>
    <row r="40" spans="1:70" s="367" customFormat="1" ht="27" customHeight="1" x14ac:dyDescent="0.2">
      <c r="A40" s="3864"/>
      <c r="B40" s="3864"/>
      <c r="C40" s="3369"/>
      <c r="D40" s="3840"/>
      <c r="E40" s="3840"/>
      <c r="F40" s="3374"/>
      <c r="G40" s="3373"/>
      <c r="H40" s="3840"/>
      <c r="I40" s="3374"/>
      <c r="J40" s="3320"/>
      <c r="K40" s="3822"/>
      <c r="L40" s="3822"/>
      <c r="M40" s="3318"/>
      <c r="N40" s="3823"/>
      <c r="O40" s="3177"/>
      <c r="P40" s="3318"/>
      <c r="Q40" s="3822"/>
      <c r="R40" s="3824"/>
      <c r="S40" s="3832"/>
      <c r="T40" s="3822"/>
      <c r="U40" s="3825"/>
      <c r="V40" s="3822"/>
      <c r="W40" s="3794"/>
      <c r="X40" s="3826"/>
      <c r="Y40" s="3826"/>
      <c r="Z40" s="3830"/>
      <c r="AA40" s="3318"/>
      <c r="AB40" s="3820"/>
      <c r="AC40" s="3820"/>
      <c r="AD40" s="3820"/>
      <c r="AE40" s="3820"/>
      <c r="AF40" s="3820"/>
      <c r="AG40" s="3820"/>
      <c r="AH40" s="3820"/>
      <c r="AI40" s="3820"/>
      <c r="AJ40" s="3820"/>
      <c r="AK40" s="3820"/>
      <c r="AL40" s="3820"/>
      <c r="AM40" s="3820"/>
      <c r="AN40" s="3820"/>
      <c r="AO40" s="3820"/>
      <c r="AP40" s="3820"/>
      <c r="AQ40" s="3820"/>
      <c r="AR40" s="3820"/>
      <c r="AS40" s="3820"/>
      <c r="AT40" s="3820"/>
      <c r="AU40" s="3820"/>
      <c r="AV40" s="3820"/>
      <c r="AW40" s="3820"/>
      <c r="AX40" s="3820"/>
      <c r="AY40" s="3820"/>
      <c r="AZ40" s="3820"/>
      <c r="BA40" s="3820"/>
      <c r="BB40" s="3820"/>
      <c r="BC40" s="3820"/>
      <c r="BD40" s="3820"/>
      <c r="BE40" s="3820"/>
      <c r="BF40" s="3820"/>
      <c r="BG40" s="3820"/>
      <c r="BH40" s="3820"/>
      <c r="BI40" s="3826"/>
      <c r="BJ40" s="3826"/>
      <c r="BK40" s="3817"/>
      <c r="BL40" s="3820"/>
      <c r="BM40" s="3257"/>
      <c r="BN40" s="3767"/>
      <c r="BO40" s="3767"/>
      <c r="BP40" s="3767"/>
      <c r="BQ40" s="3767"/>
      <c r="BR40" s="3827"/>
    </row>
    <row r="41" spans="1:70" s="367" customFormat="1" ht="27" customHeight="1" x14ac:dyDescent="0.2">
      <c r="A41" s="3864"/>
      <c r="B41" s="3864"/>
      <c r="C41" s="3369"/>
      <c r="D41" s="3840"/>
      <c r="E41" s="3840"/>
      <c r="F41" s="3374"/>
      <c r="G41" s="3373"/>
      <c r="H41" s="3840"/>
      <c r="I41" s="3374"/>
      <c r="J41" s="3320"/>
      <c r="K41" s="3822"/>
      <c r="L41" s="3822"/>
      <c r="M41" s="3318"/>
      <c r="N41" s="3823"/>
      <c r="O41" s="3177"/>
      <c r="P41" s="3318"/>
      <c r="Q41" s="3822"/>
      <c r="R41" s="3824"/>
      <c r="S41" s="3832"/>
      <c r="T41" s="3822"/>
      <c r="U41" s="3825"/>
      <c r="V41" s="3822"/>
      <c r="W41" s="3794"/>
      <c r="X41" s="3826"/>
      <c r="Y41" s="3826"/>
      <c r="Z41" s="3830"/>
      <c r="AA41" s="3318"/>
      <c r="AB41" s="3820"/>
      <c r="AC41" s="3820"/>
      <c r="AD41" s="3820"/>
      <c r="AE41" s="3820"/>
      <c r="AF41" s="3820"/>
      <c r="AG41" s="3820"/>
      <c r="AH41" s="3820"/>
      <c r="AI41" s="3820"/>
      <c r="AJ41" s="3820"/>
      <c r="AK41" s="3820"/>
      <c r="AL41" s="3820"/>
      <c r="AM41" s="3820"/>
      <c r="AN41" s="3820"/>
      <c r="AO41" s="3820"/>
      <c r="AP41" s="3820"/>
      <c r="AQ41" s="3820"/>
      <c r="AR41" s="3820"/>
      <c r="AS41" s="3820"/>
      <c r="AT41" s="3820"/>
      <c r="AU41" s="3820"/>
      <c r="AV41" s="3820"/>
      <c r="AW41" s="3820"/>
      <c r="AX41" s="3820"/>
      <c r="AY41" s="3820"/>
      <c r="AZ41" s="3820"/>
      <c r="BA41" s="3820"/>
      <c r="BB41" s="3820"/>
      <c r="BC41" s="3820"/>
      <c r="BD41" s="3820"/>
      <c r="BE41" s="3820"/>
      <c r="BF41" s="3820"/>
      <c r="BG41" s="3820"/>
      <c r="BH41" s="3820"/>
      <c r="BI41" s="3826"/>
      <c r="BJ41" s="3826"/>
      <c r="BK41" s="3817"/>
      <c r="BL41" s="3820"/>
      <c r="BM41" s="3257"/>
      <c r="BN41" s="3767"/>
      <c r="BO41" s="3767"/>
      <c r="BP41" s="3767"/>
      <c r="BQ41" s="3767"/>
      <c r="BR41" s="3827"/>
    </row>
    <row r="42" spans="1:70" s="367" customFormat="1" ht="27" customHeight="1" x14ac:dyDescent="0.2">
      <c r="A42" s="3864"/>
      <c r="B42" s="3864"/>
      <c r="C42" s="3369"/>
      <c r="D42" s="3840"/>
      <c r="E42" s="3840"/>
      <c r="F42" s="3374"/>
      <c r="G42" s="3373"/>
      <c r="H42" s="3840"/>
      <c r="I42" s="3374"/>
      <c r="J42" s="3320"/>
      <c r="K42" s="3822"/>
      <c r="L42" s="3822"/>
      <c r="M42" s="3318"/>
      <c r="N42" s="3823"/>
      <c r="O42" s="3177"/>
      <c r="P42" s="3318"/>
      <c r="Q42" s="3822"/>
      <c r="R42" s="3824"/>
      <c r="S42" s="3832"/>
      <c r="T42" s="3822"/>
      <c r="U42" s="3825"/>
      <c r="V42" s="3822"/>
      <c r="W42" s="3794"/>
      <c r="X42" s="3826"/>
      <c r="Y42" s="3826"/>
      <c r="Z42" s="3830"/>
      <c r="AA42" s="3318"/>
      <c r="AB42" s="3820"/>
      <c r="AC42" s="3820"/>
      <c r="AD42" s="3820"/>
      <c r="AE42" s="3820"/>
      <c r="AF42" s="3820"/>
      <c r="AG42" s="3820"/>
      <c r="AH42" s="3820"/>
      <c r="AI42" s="3820"/>
      <c r="AJ42" s="3820"/>
      <c r="AK42" s="3820"/>
      <c r="AL42" s="3820"/>
      <c r="AM42" s="3820"/>
      <c r="AN42" s="3820"/>
      <c r="AO42" s="3820"/>
      <c r="AP42" s="3820"/>
      <c r="AQ42" s="3820"/>
      <c r="AR42" s="3820"/>
      <c r="AS42" s="3820"/>
      <c r="AT42" s="3820"/>
      <c r="AU42" s="3820"/>
      <c r="AV42" s="3820"/>
      <c r="AW42" s="3820"/>
      <c r="AX42" s="3820"/>
      <c r="AY42" s="3820"/>
      <c r="AZ42" s="3820"/>
      <c r="BA42" s="3820"/>
      <c r="BB42" s="3820"/>
      <c r="BC42" s="3820"/>
      <c r="BD42" s="3820"/>
      <c r="BE42" s="3820"/>
      <c r="BF42" s="3820"/>
      <c r="BG42" s="3820"/>
      <c r="BH42" s="3821"/>
      <c r="BI42" s="3826"/>
      <c r="BJ42" s="3826"/>
      <c r="BK42" s="3818"/>
      <c r="BL42" s="3821"/>
      <c r="BM42" s="3258"/>
      <c r="BN42" s="3768"/>
      <c r="BO42" s="3768"/>
      <c r="BP42" s="3768"/>
      <c r="BQ42" s="3768"/>
      <c r="BR42" s="3827"/>
    </row>
    <row r="43" spans="1:70" s="367" customFormat="1" ht="27" customHeight="1" x14ac:dyDescent="0.2">
      <c r="A43" s="3864"/>
      <c r="B43" s="3864"/>
      <c r="C43" s="3369"/>
      <c r="D43" s="3840"/>
      <c r="E43" s="3840"/>
      <c r="F43" s="3374"/>
      <c r="G43" s="3373"/>
      <c r="H43" s="3840"/>
      <c r="I43" s="3374"/>
      <c r="J43" s="3320">
        <v>45</v>
      </c>
      <c r="K43" s="3822" t="s">
        <v>2510</v>
      </c>
      <c r="L43" s="3822" t="s">
        <v>2507</v>
      </c>
      <c r="M43" s="3318">
        <v>4</v>
      </c>
      <c r="N43" s="3823">
        <v>1</v>
      </c>
      <c r="O43" s="3177"/>
      <c r="P43" s="3318"/>
      <c r="Q43" s="3822"/>
      <c r="R43" s="3824">
        <f>(W43)/S33</f>
        <v>0.2828834003446295</v>
      </c>
      <c r="S43" s="3832"/>
      <c r="T43" s="3822"/>
      <c r="U43" s="3825"/>
      <c r="V43" s="3825" t="s">
        <v>2511</v>
      </c>
      <c r="W43" s="3794">
        <v>98500000</v>
      </c>
      <c r="X43" s="3826">
        <v>46456000</v>
      </c>
      <c r="Y43" s="3826">
        <v>13768000</v>
      </c>
      <c r="Z43" s="3830">
        <v>20</v>
      </c>
      <c r="AA43" s="3318" t="s">
        <v>863</v>
      </c>
      <c r="AB43" s="3820"/>
      <c r="AC43" s="3820"/>
      <c r="AD43" s="3820"/>
      <c r="AE43" s="3820"/>
      <c r="AF43" s="3820"/>
      <c r="AG43" s="3820"/>
      <c r="AH43" s="3820"/>
      <c r="AI43" s="3820"/>
      <c r="AJ43" s="3820"/>
      <c r="AK43" s="3820"/>
      <c r="AL43" s="3820"/>
      <c r="AM43" s="3820"/>
      <c r="AN43" s="3820"/>
      <c r="AO43" s="3820"/>
      <c r="AP43" s="3820"/>
      <c r="AQ43" s="3820"/>
      <c r="AR43" s="3820"/>
      <c r="AS43" s="3820"/>
      <c r="AT43" s="3820"/>
      <c r="AU43" s="3820"/>
      <c r="AV43" s="3820"/>
      <c r="AW43" s="3820"/>
      <c r="AX43" s="3820"/>
      <c r="AY43" s="3820"/>
      <c r="AZ43" s="3820"/>
      <c r="BA43" s="3820"/>
      <c r="BB43" s="3820"/>
      <c r="BC43" s="3820"/>
      <c r="BD43" s="3820"/>
      <c r="BE43" s="3820"/>
      <c r="BF43" s="3820"/>
      <c r="BG43" s="3820"/>
      <c r="BH43" s="3819">
        <v>3</v>
      </c>
      <c r="BI43" s="3826">
        <v>46456000</v>
      </c>
      <c r="BJ43" s="3826">
        <v>13768000</v>
      </c>
      <c r="BK43" s="3816">
        <f>BJ43/BI43</f>
        <v>0.29636645427931807</v>
      </c>
      <c r="BL43" s="3819" t="s">
        <v>863</v>
      </c>
      <c r="BM43" s="3256" t="s">
        <v>2470</v>
      </c>
      <c r="BN43" s="3766">
        <v>43467</v>
      </c>
      <c r="BO43" s="3766">
        <v>43488</v>
      </c>
      <c r="BP43" s="3766">
        <v>43830</v>
      </c>
      <c r="BQ43" s="3766"/>
      <c r="BR43" s="3827"/>
    </row>
    <row r="44" spans="1:70" s="367" customFormat="1" ht="27" customHeight="1" x14ac:dyDescent="0.2">
      <c r="A44" s="3864"/>
      <c r="B44" s="3864"/>
      <c r="C44" s="3369"/>
      <c r="D44" s="3840"/>
      <c r="E44" s="3840"/>
      <c r="F44" s="3374"/>
      <c r="G44" s="3373"/>
      <c r="H44" s="3840"/>
      <c r="I44" s="3374"/>
      <c r="J44" s="3320"/>
      <c r="K44" s="3822"/>
      <c r="L44" s="3822"/>
      <c r="M44" s="3318"/>
      <c r="N44" s="3823"/>
      <c r="O44" s="3177"/>
      <c r="P44" s="3318"/>
      <c r="Q44" s="3822"/>
      <c r="R44" s="3824"/>
      <c r="S44" s="3832"/>
      <c r="T44" s="3822"/>
      <c r="U44" s="3825"/>
      <c r="V44" s="3825"/>
      <c r="W44" s="3794"/>
      <c r="X44" s="3826"/>
      <c r="Y44" s="3826"/>
      <c r="Z44" s="3830"/>
      <c r="AA44" s="3318"/>
      <c r="AB44" s="3820"/>
      <c r="AC44" s="3820"/>
      <c r="AD44" s="3820"/>
      <c r="AE44" s="3820"/>
      <c r="AF44" s="3820"/>
      <c r="AG44" s="3820"/>
      <c r="AH44" s="3820"/>
      <c r="AI44" s="3820"/>
      <c r="AJ44" s="3820"/>
      <c r="AK44" s="3820"/>
      <c r="AL44" s="3820"/>
      <c r="AM44" s="3820"/>
      <c r="AN44" s="3820"/>
      <c r="AO44" s="3820"/>
      <c r="AP44" s="3820"/>
      <c r="AQ44" s="3820"/>
      <c r="AR44" s="3820"/>
      <c r="AS44" s="3820"/>
      <c r="AT44" s="3820"/>
      <c r="AU44" s="3820"/>
      <c r="AV44" s="3820"/>
      <c r="AW44" s="3820"/>
      <c r="AX44" s="3820"/>
      <c r="AY44" s="3820"/>
      <c r="AZ44" s="3820"/>
      <c r="BA44" s="3820"/>
      <c r="BB44" s="3820"/>
      <c r="BC44" s="3820"/>
      <c r="BD44" s="3820"/>
      <c r="BE44" s="3820"/>
      <c r="BF44" s="3820"/>
      <c r="BG44" s="3820"/>
      <c r="BH44" s="3820"/>
      <c r="BI44" s="3826"/>
      <c r="BJ44" s="3826"/>
      <c r="BK44" s="3817"/>
      <c r="BL44" s="3820"/>
      <c r="BM44" s="3257"/>
      <c r="BN44" s="3767"/>
      <c r="BO44" s="3767"/>
      <c r="BP44" s="3767"/>
      <c r="BQ44" s="3767"/>
      <c r="BR44" s="3827"/>
    </row>
    <row r="45" spans="1:70" s="367" customFormat="1" ht="27" customHeight="1" x14ac:dyDescent="0.2">
      <c r="A45" s="3864"/>
      <c r="B45" s="3864"/>
      <c r="C45" s="3369"/>
      <c r="D45" s="3840"/>
      <c r="E45" s="3840"/>
      <c r="F45" s="3374"/>
      <c r="G45" s="3373"/>
      <c r="H45" s="3840"/>
      <c r="I45" s="3374"/>
      <c r="J45" s="3320"/>
      <c r="K45" s="3822"/>
      <c r="L45" s="3822"/>
      <c r="M45" s="3318"/>
      <c r="N45" s="3823"/>
      <c r="O45" s="3177"/>
      <c r="P45" s="3318"/>
      <c r="Q45" s="3822"/>
      <c r="R45" s="3824"/>
      <c r="S45" s="3832"/>
      <c r="T45" s="3822"/>
      <c r="U45" s="3825"/>
      <c r="V45" s="3825"/>
      <c r="W45" s="3794"/>
      <c r="X45" s="3826"/>
      <c r="Y45" s="3826"/>
      <c r="Z45" s="3830"/>
      <c r="AA45" s="3318"/>
      <c r="AB45" s="3820"/>
      <c r="AC45" s="3820"/>
      <c r="AD45" s="3820"/>
      <c r="AE45" s="3820"/>
      <c r="AF45" s="3820"/>
      <c r="AG45" s="3820"/>
      <c r="AH45" s="3820"/>
      <c r="AI45" s="3820"/>
      <c r="AJ45" s="3820"/>
      <c r="AK45" s="3820"/>
      <c r="AL45" s="3820"/>
      <c r="AM45" s="3820"/>
      <c r="AN45" s="3820"/>
      <c r="AO45" s="3820"/>
      <c r="AP45" s="3820"/>
      <c r="AQ45" s="3820"/>
      <c r="AR45" s="3820"/>
      <c r="AS45" s="3820"/>
      <c r="AT45" s="3820"/>
      <c r="AU45" s="3820"/>
      <c r="AV45" s="3820"/>
      <c r="AW45" s="3820"/>
      <c r="AX45" s="3820"/>
      <c r="AY45" s="3820"/>
      <c r="AZ45" s="3820"/>
      <c r="BA45" s="3820"/>
      <c r="BB45" s="3820"/>
      <c r="BC45" s="3820"/>
      <c r="BD45" s="3820"/>
      <c r="BE45" s="3820"/>
      <c r="BF45" s="3820"/>
      <c r="BG45" s="3820"/>
      <c r="BH45" s="3820"/>
      <c r="BI45" s="3826"/>
      <c r="BJ45" s="3826"/>
      <c r="BK45" s="3817"/>
      <c r="BL45" s="3820"/>
      <c r="BM45" s="3257"/>
      <c r="BN45" s="3767"/>
      <c r="BO45" s="3767"/>
      <c r="BP45" s="3767"/>
      <c r="BQ45" s="3767"/>
      <c r="BR45" s="3827"/>
    </row>
    <row r="46" spans="1:70" s="367" customFormat="1" ht="27" customHeight="1" x14ac:dyDescent="0.2">
      <c r="A46" s="3864"/>
      <c r="B46" s="3864"/>
      <c r="C46" s="3369"/>
      <c r="D46" s="3840"/>
      <c r="E46" s="3840"/>
      <c r="F46" s="3374"/>
      <c r="G46" s="3373"/>
      <c r="H46" s="3840"/>
      <c r="I46" s="3374"/>
      <c r="J46" s="3320"/>
      <c r="K46" s="3822"/>
      <c r="L46" s="3822"/>
      <c r="M46" s="3318"/>
      <c r="N46" s="3823"/>
      <c r="O46" s="3177"/>
      <c r="P46" s="3318"/>
      <c r="Q46" s="3822"/>
      <c r="R46" s="3824"/>
      <c r="S46" s="3832"/>
      <c r="T46" s="3822"/>
      <c r="U46" s="3825"/>
      <c r="V46" s="3825"/>
      <c r="W46" s="3794"/>
      <c r="X46" s="3826"/>
      <c r="Y46" s="3826"/>
      <c r="Z46" s="3830"/>
      <c r="AA46" s="3318"/>
      <c r="AB46" s="3820"/>
      <c r="AC46" s="3820"/>
      <c r="AD46" s="3820"/>
      <c r="AE46" s="3820"/>
      <c r="AF46" s="3820"/>
      <c r="AG46" s="3820"/>
      <c r="AH46" s="3820"/>
      <c r="AI46" s="3820"/>
      <c r="AJ46" s="3820"/>
      <c r="AK46" s="3820"/>
      <c r="AL46" s="3820"/>
      <c r="AM46" s="3820"/>
      <c r="AN46" s="3820"/>
      <c r="AO46" s="3820"/>
      <c r="AP46" s="3820"/>
      <c r="AQ46" s="3820"/>
      <c r="AR46" s="3820"/>
      <c r="AS46" s="3820"/>
      <c r="AT46" s="3820"/>
      <c r="AU46" s="3820"/>
      <c r="AV46" s="3820"/>
      <c r="AW46" s="3820"/>
      <c r="AX46" s="3820"/>
      <c r="AY46" s="3820"/>
      <c r="AZ46" s="3820"/>
      <c r="BA46" s="3820"/>
      <c r="BB46" s="3820"/>
      <c r="BC46" s="3820"/>
      <c r="BD46" s="3820"/>
      <c r="BE46" s="3820"/>
      <c r="BF46" s="3820"/>
      <c r="BG46" s="3820"/>
      <c r="BH46" s="3821"/>
      <c r="BI46" s="3826"/>
      <c r="BJ46" s="3826"/>
      <c r="BK46" s="3818"/>
      <c r="BL46" s="3821"/>
      <c r="BM46" s="3258"/>
      <c r="BN46" s="3768"/>
      <c r="BO46" s="3768"/>
      <c r="BP46" s="3768"/>
      <c r="BQ46" s="3768"/>
      <c r="BR46" s="3827"/>
    </row>
    <row r="47" spans="1:70" s="367" customFormat="1" ht="51.75" customHeight="1" x14ac:dyDescent="0.2">
      <c r="A47" s="3864"/>
      <c r="B47" s="3864"/>
      <c r="C47" s="3369"/>
      <c r="D47" s="3840"/>
      <c r="E47" s="3840"/>
      <c r="F47" s="3374"/>
      <c r="G47" s="3373"/>
      <c r="H47" s="3840"/>
      <c r="I47" s="3374"/>
      <c r="J47" s="3320">
        <v>46</v>
      </c>
      <c r="K47" s="3822" t="s">
        <v>2512</v>
      </c>
      <c r="L47" s="3822" t="s">
        <v>2513</v>
      </c>
      <c r="M47" s="3318">
        <v>1</v>
      </c>
      <c r="N47" s="3823">
        <v>0.25</v>
      </c>
      <c r="O47" s="3177"/>
      <c r="P47" s="3318"/>
      <c r="Q47" s="3822"/>
      <c r="R47" s="3824">
        <f>SUM(W47:W50)/S33</f>
        <v>0.43078690407811604</v>
      </c>
      <c r="S47" s="3832"/>
      <c r="T47" s="3822"/>
      <c r="U47" s="3825"/>
      <c r="V47" s="3822" t="s">
        <v>2514</v>
      </c>
      <c r="W47" s="2600">
        <v>99400000</v>
      </c>
      <c r="X47" s="1621">
        <v>0</v>
      </c>
      <c r="Y47" s="1621">
        <v>0</v>
      </c>
      <c r="Z47" s="1418">
        <v>20</v>
      </c>
      <c r="AA47" s="1417" t="s">
        <v>863</v>
      </c>
      <c r="AB47" s="3820"/>
      <c r="AC47" s="3820"/>
      <c r="AD47" s="3820"/>
      <c r="AE47" s="3820"/>
      <c r="AF47" s="3820"/>
      <c r="AG47" s="3820"/>
      <c r="AH47" s="3820"/>
      <c r="AI47" s="3820"/>
      <c r="AJ47" s="3820"/>
      <c r="AK47" s="3820"/>
      <c r="AL47" s="3820"/>
      <c r="AM47" s="3820"/>
      <c r="AN47" s="3820"/>
      <c r="AO47" s="3820"/>
      <c r="AP47" s="3820"/>
      <c r="AQ47" s="3820"/>
      <c r="AR47" s="3820"/>
      <c r="AS47" s="3820"/>
      <c r="AT47" s="3820"/>
      <c r="AU47" s="3820"/>
      <c r="AV47" s="3820"/>
      <c r="AW47" s="3820"/>
      <c r="AX47" s="3820"/>
      <c r="AY47" s="3820"/>
      <c r="AZ47" s="3820"/>
      <c r="BA47" s="3820"/>
      <c r="BB47" s="3820"/>
      <c r="BC47" s="3820"/>
      <c r="BD47" s="3820"/>
      <c r="BE47" s="3820"/>
      <c r="BF47" s="3820"/>
      <c r="BG47" s="3820"/>
      <c r="BH47" s="3819"/>
      <c r="BI47" s="3813"/>
      <c r="BJ47" s="3813"/>
      <c r="BK47" s="3816" t="e">
        <f>BJ47/BI47</f>
        <v>#DIV/0!</v>
      </c>
      <c r="BL47" s="3256" t="s">
        <v>2487</v>
      </c>
      <c r="BM47" s="3256" t="s">
        <v>2470</v>
      </c>
      <c r="BN47" s="3766">
        <v>43467</v>
      </c>
      <c r="BO47" s="3766"/>
      <c r="BP47" s="3766">
        <v>43830</v>
      </c>
      <c r="BQ47" s="3766"/>
      <c r="BR47" s="3827"/>
    </row>
    <row r="48" spans="1:70" s="367" customFormat="1" ht="27" customHeight="1" x14ac:dyDescent="0.2">
      <c r="A48" s="3864"/>
      <c r="B48" s="3864"/>
      <c r="C48" s="3369"/>
      <c r="D48" s="3840"/>
      <c r="E48" s="3840"/>
      <c r="F48" s="3374"/>
      <c r="G48" s="3373"/>
      <c r="H48" s="3840"/>
      <c r="I48" s="3374"/>
      <c r="J48" s="3320"/>
      <c r="K48" s="3822"/>
      <c r="L48" s="3822"/>
      <c r="M48" s="3318"/>
      <c r="N48" s="3823"/>
      <c r="O48" s="3177"/>
      <c r="P48" s="3318"/>
      <c r="Q48" s="3822"/>
      <c r="R48" s="3824"/>
      <c r="S48" s="3832"/>
      <c r="T48" s="3822"/>
      <c r="U48" s="3825"/>
      <c r="V48" s="3822"/>
      <c r="W48" s="3794">
        <f>0+50600000</f>
        <v>50600000</v>
      </c>
      <c r="X48" s="3828">
        <v>0</v>
      </c>
      <c r="Y48" s="3828">
        <v>0</v>
      </c>
      <c r="Z48" s="3830">
        <v>88</v>
      </c>
      <c r="AA48" s="3318" t="s">
        <v>2472</v>
      </c>
      <c r="AB48" s="3820"/>
      <c r="AC48" s="3820"/>
      <c r="AD48" s="3820"/>
      <c r="AE48" s="3820"/>
      <c r="AF48" s="3820"/>
      <c r="AG48" s="3820"/>
      <c r="AH48" s="3820"/>
      <c r="AI48" s="3820"/>
      <c r="AJ48" s="3820"/>
      <c r="AK48" s="3820"/>
      <c r="AL48" s="3820"/>
      <c r="AM48" s="3820"/>
      <c r="AN48" s="3820"/>
      <c r="AO48" s="3820"/>
      <c r="AP48" s="3820"/>
      <c r="AQ48" s="3820"/>
      <c r="AR48" s="3820"/>
      <c r="AS48" s="3820"/>
      <c r="AT48" s="3820"/>
      <c r="AU48" s="3820"/>
      <c r="AV48" s="3820"/>
      <c r="AW48" s="3820"/>
      <c r="AX48" s="3820"/>
      <c r="AY48" s="3820"/>
      <c r="AZ48" s="3820"/>
      <c r="BA48" s="3820"/>
      <c r="BB48" s="3820"/>
      <c r="BC48" s="3820"/>
      <c r="BD48" s="3820"/>
      <c r="BE48" s="3820"/>
      <c r="BF48" s="3820"/>
      <c r="BG48" s="3820"/>
      <c r="BH48" s="3820"/>
      <c r="BI48" s="3814"/>
      <c r="BJ48" s="3814"/>
      <c r="BK48" s="3817"/>
      <c r="BL48" s="3820"/>
      <c r="BM48" s="3257"/>
      <c r="BN48" s="3767"/>
      <c r="BO48" s="3767"/>
      <c r="BP48" s="3767"/>
      <c r="BQ48" s="3767"/>
      <c r="BR48" s="3827"/>
    </row>
    <row r="49" spans="1:70" s="367" customFormat="1" ht="27" customHeight="1" x14ac:dyDescent="0.2">
      <c r="A49" s="3864"/>
      <c r="B49" s="3864"/>
      <c r="C49" s="3369"/>
      <c r="D49" s="3840"/>
      <c r="E49" s="3840"/>
      <c r="F49" s="3374"/>
      <c r="G49" s="3373"/>
      <c r="H49" s="3840"/>
      <c r="I49" s="3374"/>
      <c r="J49" s="3320"/>
      <c r="K49" s="3822"/>
      <c r="L49" s="3822"/>
      <c r="M49" s="3318"/>
      <c r="N49" s="3823"/>
      <c r="O49" s="3177"/>
      <c r="P49" s="3318"/>
      <c r="Q49" s="3822"/>
      <c r="R49" s="3824"/>
      <c r="S49" s="3832"/>
      <c r="T49" s="3822"/>
      <c r="U49" s="3825"/>
      <c r="V49" s="3822"/>
      <c r="W49" s="3794"/>
      <c r="X49" s="3831"/>
      <c r="Y49" s="3831"/>
      <c r="Z49" s="3830"/>
      <c r="AA49" s="3318"/>
      <c r="AB49" s="3820"/>
      <c r="AC49" s="3820"/>
      <c r="AD49" s="3820"/>
      <c r="AE49" s="3820"/>
      <c r="AF49" s="3820"/>
      <c r="AG49" s="3820"/>
      <c r="AH49" s="3820"/>
      <c r="AI49" s="3820"/>
      <c r="AJ49" s="3820"/>
      <c r="AK49" s="3820"/>
      <c r="AL49" s="3820"/>
      <c r="AM49" s="3820"/>
      <c r="AN49" s="3820"/>
      <c r="AO49" s="3820"/>
      <c r="AP49" s="3820"/>
      <c r="AQ49" s="3820"/>
      <c r="AR49" s="3820"/>
      <c r="AS49" s="3820"/>
      <c r="AT49" s="3820"/>
      <c r="AU49" s="3820"/>
      <c r="AV49" s="3820"/>
      <c r="AW49" s="3820"/>
      <c r="AX49" s="3820"/>
      <c r="AY49" s="3820"/>
      <c r="AZ49" s="3820"/>
      <c r="BA49" s="3820"/>
      <c r="BB49" s="3820"/>
      <c r="BC49" s="3820"/>
      <c r="BD49" s="3820"/>
      <c r="BE49" s="3820"/>
      <c r="BF49" s="3820"/>
      <c r="BG49" s="3820"/>
      <c r="BH49" s="3820"/>
      <c r="BI49" s="3814"/>
      <c r="BJ49" s="3814"/>
      <c r="BK49" s="3817"/>
      <c r="BL49" s="3820"/>
      <c r="BM49" s="3257"/>
      <c r="BN49" s="3767"/>
      <c r="BO49" s="3767"/>
      <c r="BP49" s="3767"/>
      <c r="BQ49" s="3767"/>
      <c r="BR49" s="3827"/>
    </row>
    <row r="50" spans="1:70" s="367" customFormat="1" ht="55.5" customHeight="1" x14ac:dyDescent="0.2">
      <c r="A50" s="3864"/>
      <c r="B50" s="3864"/>
      <c r="C50" s="3369"/>
      <c r="D50" s="3840"/>
      <c r="E50" s="3840"/>
      <c r="F50" s="3374"/>
      <c r="G50" s="3375"/>
      <c r="H50" s="3841"/>
      <c r="I50" s="3376"/>
      <c r="J50" s="3320"/>
      <c r="K50" s="3822"/>
      <c r="L50" s="3822"/>
      <c r="M50" s="3318"/>
      <c r="N50" s="3823"/>
      <c r="O50" s="3178"/>
      <c r="P50" s="3318"/>
      <c r="Q50" s="3822"/>
      <c r="R50" s="3824"/>
      <c r="S50" s="3832"/>
      <c r="T50" s="3822"/>
      <c r="U50" s="3825"/>
      <c r="V50" s="3822"/>
      <c r="W50" s="3794"/>
      <c r="X50" s="3829"/>
      <c r="Y50" s="3829"/>
      <c r="Z50" s="3830"/>
      <c r="AA50" s="3318"/>
      <c r="AB50" s="3821"/>
      <c r="AC50" s="3821"/>
      <c r="AD50" s="3821"/>
      <c r="AE50" s="3821"/>
      <c r="AF50" s="3821"/>
      <c r="AG50" s="3821"/>
      <c r="AH50" s="3821"/>
      <c r="AI50" s="3821"/>
      <c r="AJ50" s="3821"/>
      <c r="AK50" s="3821"/>
      <c r="AL50" s="3821"/>
      <c r="AM50" s="3821"/>
      <c r="AN50" s="3821"/>
      <c r="AO50" s="3821"/>
      <c r="AP50" s="3821"/>
      <c r="AQ50" s="3821"/>
      <c r="AR50" s="3821"/>
      <c r="AS50" s="3821"/>
      <c r="AT50" s="3821"/>
      <c r="AU50" s="3821"/>
      <c r="AV50" s="3821"/>
      <c r="AW50" s="3821"/>
      <c r="AX50" s="3821"/>
      <c r="AY50" s="3821"/>
      <c r="AZ50" s="3821"/>
      <c r="BA50" s="3821"/>
      <c r="BB50" s="3821"/>
      <c r="BC50" s="3821"/>
      <c r="BD50" s="3821"/>
      <c r="BE50" s="3821"/>
      <c r="BF50" s="3821"/>
      <c r="BG50" s="3821"/>
      <c r="BH50" s="3821"/>
      <c r="BI50" s="3815"/>
      <c r="BJ50" s="3815"/>
      <c r="BK50" s="3818"/>
      <c r="BL50" s="3821"/>
      <c r="BM50" s="3258"/>
      <c r="BN50" s="3768"/>
      <c r="BO50" s="3768"/>
      <c r="BP50" s="3768"/>
      <c r="BQ50" s="3768"/>
      <c r="BR50" s="3827"/>
    </row>
    <row r="51" spans="1:70" ht="27" customHeight="1" x14ac:dyDescent="0.2">
      <c r="A51" s="3864"/>
      <c r="B51" s="3864"/>
      <c r="C51" s="3369"/>
      <c r="D51" s="3840"/>
      <c r="E51" s="3840"/>
      <c r="F51" s="3374"/>
      <c r="G51" s="2595">
        <v>10</v>
      </c>
      <c r="H51" s="1494" t="s">
        <v>2515</v>
      </c>
      <c r="I51" s="1458"/>
      <c r="J51" s="1458"/>
      <c r="K51" s="1458"/>
      <c r="L51" s="1458"/>
      <c r="M51" s="1458"/>
      <c r="N51" s="1458"/>
      <c r="O51" s="1458"/>
      <c r="P51" s="1458"/>
      <c r="Q51" s="1458"/>
      <c r="R51" s="1458"/>
      <c r="S51" s="1458"/>
      <c r="T51" s="1458"/>
      <c r="U51" s="1458"/>
      <c r="V51" s="1458"/>
      <c r="W51" s="1458"/>
      <c r="X51" s="1458"/>
      <c r="Y51" s="1458"/>
      <c r="Z51" s="1458"/>
      <c r="AA51" s="954"/>
      <c r="AB51" s="954"/>
      <c r="AC51" s="954"/>
      <c r="AD51" s="954"/>
      <c r="AE51" s="954"/>
      <c r="AF51" s="954"/>
      <c r="AG51" s="954"/>
      <c r="AH51" s="954"/>
      <c r="AI51" s="954"/>
      <c r="AJ51" s="954"/>
      <c r="AK51" s="954"/>
      <c r="AL51" s="954"/>
      <c r="AM51" s="954"/>
      <c r="AN51" s="954"/>
      <c r="AO51" s="954"/>
      <c r="AP51" s="954"/>
      <c r="AQ51" s="954"/>
      <c r="AR51" s="954"/>
      <c r="AS51" s="954"/>
      <c r="AT51" s="954"/>
      <c r="AU51" s="954"/>
      <c r="AV51" s="954"/>
      <c r="AW51" s="954"/>
      <c r="AX51" s="954"/>
      <c r="AY51" s="954"/>
      <c r="AZ51" s="954"/>
      <c r="BA51" s="954"/>
      <c r="BB51" s="954"/>
      <c r="BC51" s="954"/>
      <c r="BD51" s="954"/>
      <c r="BE51" s="954"/>
      <c r="BF51" s="954"/>
      <c r="BG51" s="954"/>
      <c r="BH51" s="1458"/>
      <c r="BI51" s="2603"/>
      <c r="BJ51" s="2603"/>
      <c r="BK51" s="1458"/>
      <c r="BL51" s="1458"/>
      <c r="BM51" s="1458"/>
      <c r="BN51" s="1458"/>
      <c r="BO51" s="1458"/>
      <c r="BP51" s="1458"/>
      <c r="BQ51" s="1458"/>
      <c r="BR51" s="2601"/>
    </row>
    <row r="52" spans="1:70" s="367" customFormat="1" ht="43.5" customHeight="1" x14ac:dyDescent="0.2">
      <c r="A52" s="3864"/>
      <c r="B52" s="3864"/>
      <c r="C52" s="3369"/>
      <c r="D52" s="3840"/>
      <c r="E52" s="3840"/>
      <c r="F52" s="3374"/>
      <c r="G52" s="3833"/>
      <c r="H52" s="3834"/>
      <c r="I52" s="3835"/>
      <c r="J52" s="3320">
        <v>47</v>
      </c>
      <c r="K52" s="3822" t="s">
        <v>2516</v>
      </c>
      <c r="L52" s="3822" t="s">
        <v>2517</v>
      </c>
      <c r="M52" s="3318">
        <v>48</v>
      </c>
      <c r="N52" s="3823">
        <v>36</v>
      </c>
      <c r="O52" s="3176" t="s">
        <v>2518</v>
      </c>
      <c r="P52" s="3318" t="s">
        <v>2519</v>
      </c>
      <c r="Q52" s="3822" t="s">
        <v>2520</v>
      </c>
      <c r="R52" s="3824">
        <f>(W52+W53)/S52</f>
        <v>0.43158041567861627</v>
      </c>
      <c r="S52" s="3832">
        <f>SUM(W52:W60)</f>
        <v>358450000</v>
      </c>
      <c r="T52" s="3822" t="s">
        <v>2521</v>
      </c>
      <c r="U52" s="3825" t="s">
        <v>2522</v>
      </c>
      <c r="V52" s="3822" t="s">
        <v>2523</v>
      </c>
      <c r="W52" s="2600">
        <v>54700000</v>
      </c>
      <c r="X52" s="1621">
        <v>0</v>
      </c>
      <c r="Y52" s="1621">
        <v>0</v>
      </c>
      <c r="Z52" s="1418">
        <v>20</v>
      </c>
      <c r="AA52" s="1417" t="s">
        <v>863</v>
      </c>
      <c r="AB52" s="3819">
        <v>294321</v>
      </c>
      <c r="AC52" s="3819">
        <v>46</v>
      </c>
      <c r="AD52" s="3819">
        <v>283947</v>
      </c>
      <c r="AE52" s="3819">
        <v>30</v>
      </c>
      <c r="AF52" s="3819">
        <v>135754</v>
      </c>
      <c r="AG52" s="3819"/>
      <c r="AH52" s="3819">
        <v>44640</v>
      </c>
      <c r="AI52" s="3819"/>
      <c r="AJ52" s="3819">
        <v>308178</v>
      </c>
      <c r="AK52" s="3819">
        <v>76</v>
      </c>
      <c r="AL52" s="3819">
        <v>89696</v>
      </c>
      <c r="AM52" s="3819"/>
      <c r="AN52" s="3819"/>
      <c r="AO52" s="3819"/>
      <c r="AP52" s="3819"/>
      <c r="AQ52" s="3819"/>
      <c r="AR52" s="3819"/>
      <c r="AS52" s="3819"/>
      <c r="AT52" s="3819"/>
      <c r="AU52" s="3819"/>
      <c r="AV52" s="3819"/>
      <c r="AW52" s="3819"/>
      <c r="AX52" s="3819"/>
      <c r="AY52" s="3819"/>
      <c r="AZ52" s="3819"/>
      <c r="BA52" s="3819"/>
      <c r="BB52" s="3819"/>
      <c r="BC52" s="3819"/>
      <c r="BD52" s="3819"/>
      <c r="BE52" s="3819"/>
      <c r="BF52" s="3819"/>
      <c r="BG52" s="3819">
        <f>AC52+AE52</f>
        <v>76</v>
      </c>
      <c r="BH52" s="3819"/>
      <c r="BI52" s="3813"/>
      <c r="BJ52" s="3813"/>
      <c r="BK52" s="3816" t="e">
        <f>BJ52/BI52</f>
        <v>#DIV/0!</v>
      </c>
      <c r="BL52" s="3256" t="s">
        <v>2487</v>
      </c>
      <c r="BM52" s="3256" t="s">
        <v>2470</v>
      </c>
      <c r="BN52" s="3766">
        <v>43467</v>
      </c>
      <c r="BO52" s="3766"/>
      <c r="BP52" s="3766">
        <v>43830</v>
      </c>
      <c r="BQ52" s="3766"/>
      <c r="BR52" s="3827" t="s">
        <v>2471</v>
      </c>
    </row>
    <row r="53" spans="1:70" s="367" customFormat="1" ht="37.5" customHeight="1" x14ac:dyDescent="0.2">
      <c r="A53" s="3864"/>
      <c r="B53" s="3864"/>
      <c r="C53" s="3369"/>
      <c r="D53" s="3840"/>
      <c r="E53" s="3840"/>
      <c r="F53" s="3374"/>
      <c r="G53" s="3836"/>
      <c r="H53" s="3837"/>
      <c r="I53" s="3838"/>
      <c r="J53" s="3320"/>
      <c r="K53" s="3822"/>
      <c r="L53" s="3822"/>
      <c r="M53" s="3318"/>
      <c r="N53" s="3823"/>
      <c r="O53" s="3177"/>
      <c r="P53" s="3318"/>
      <c r="Q53" s="3822"/>
      <c r="R53" s="3824"/>
      <c r="S53" s="3832"/>
      <c r="T53" s="3822"/>
      <c r="U53" s="3825"/>
      <c r="V53" s="3822"/>
      <c r="W53" s="3794">
        <f>0+100000000</f>
        <v>100000000</v>
      </c>
      <c r="X53" s="3828">
        <v>0</v>
      </c>
      <c r="Y53" s="3828">
        <v>0</v>
      </c>
      <c r="Z53" s="3830">
        <v>88</v>
      </c>
      <c r="AA53" s="3318" t="s">
        <v>2472</v>
      </c>
      <c r="AB53" s="3820"/>
      <c r="AC53" s="3820"/>
      <c r="AD53" s="3820"/>
      <c r="AE53" s="3820"/>
      <c r="AF53" s="3820"/>
      <c r="AG53" s="3820"/>
      <c r="AH53" s="3820"/>
      <c r="AI53" s="3820"/>
      <c r="AJ53" s="3820"/>
      <c r="AK53" s="3820"/>
      <c r="AL53" s="3820"/>
      <c r="AM53" s="3820"/>
      <c r="AN53" s="3820"/>
      <c r="AO53" s="3820"/>
      <c r="AP53" s="3820"/>
      <c r="AQ53" s="3820"/>
      <c r="AR53" s="3820"/>
      <c r="AS53" s="3820"/>
      <c r="AT53" s="3820"/>
      <c r="AU53" s="3820"/>
      <c r="AV53" s="3820"/>
      <c r="AW53" s="3820"/>
      <c r="AX53" s="3820"/>
      <c r="AY53" s="3820"/>
      <c r="AZ53" s="3820"/>
      <c r="BA53" s="3820"/>
      <c r="BB53" s="3820"/>
      <c r="BC53" s="3820"/>
      <c r="BD53" s="3820"/>
      <c r="BE53" s="3820"/>
      <c r="BF53" s="3820"/>
      <c r="BG53" s="3820"/>
      <c r="BH53" s="3820"/>
      <c r="BI53" s="3814"/>
      <c r="BJ53" s="3814"/>
      <c r="BK53" s="3817"/>
      <c r="BL53" s="3257"/>
      <c r="BM53" s="3257"/>
      <c r="BN53" s="3767"/>
      <c r="BO53" s="3767"/>
      <c r="BP53" s="3767"/>
      <c r="BQ53" s="3767"/>
      <c r="BR53" s="3827"/>
    </row>
    <row r="54" spans="1:70" s="367" customFormat="1" ht="37.5" customHeight="1" x14ac:dyDescent="0.2">
      <c r="A54" s="3864"/>
      <c r="B54" s="3864"/>
      <c r="C54" s="3369"/>
      <c r="D54" s="3840"/>
      <c r="E54" s="3840"/>
      <c r="F54" s="3374"/>
      <c r="G54" s="3836"/>
      <c r="H54" s="3837"/>
      <c r="I54" s="3838"/>
      <c r="J54" s="3320"/>
      <c r="K54" s="3822"/>
      <c r="L54" s="3822"/>
      <c r="M54" s="3318"/>
      <c r="N54" s="3823"/>
      <c r="O54" s="3177"/>
      <c r="P54" s="3318"/>
      <c r="Q54" s="3822"/>
      <c r="R54" s="3824"/>
      <c r="S54" s="3832"/>
      <c r="T54" s="3822"/>
      <c r="U54" s="3825"/>
      <c r="V54" s="3822"/>
      <c r="W54" s="3794"/>
      <c r="X54" s="3829"/>
      <c r="Y54" s="3829"/>
      <c r="Z54" s="3830"/>
      <c r="AA54" s="3318"/>
      <c r="AB54" s="3820"/>
      <c r="AC54" s="3820"/>
      <c r="AD54" s="3820"/>
      <c r="AE54" s="3820"/>
      <c r="AF54" s="3820"/>
      <c r="AG54" s="3820"/>
      <c r="AH54" s="3820"/>
      <c r="AI54" s="3820"/>
      <c r="AJ54" s="3820"/>
      <c r="AK54" s="3820"/>
      <c r="AL54" s="3820"/>
      <c r="AM54" s="3820"/>
      <c r="AN54" s="3820"/>
      <c r="AO54" s="3820"/>
      <c r="AP54" s="3820"/>
      <c r="AQ54" s="3820"/>
      <c r="AR54" s="3820"/>
      <c r="AS54" s="3820"/>
      <c r="AT54" s="3820"/>
      <c r="AU54" s="3820"/>
      <c r="AV54" s="3820"/>
      <c r="AW54" s="3820"/>
      <c r="AX54" s="3820"/>
      <c r="AY54" s="3820"/>
      <c r="AZ54" s="3820"/>
      <c r="BA54" s="3820"/>
      <c r="BB54" s="3820"/>
      <c r="BC54" s="3820"/>
      <c r="BD54" s="3820"/>
      <c r="BE54" s="3820"/>
      <c r="BF54" s="3820"/>
      <c r="BG54" s="3820"/>
      <c r="BH54" s="3821"/>
      <c r="BI54" s="3815"/>
      <c r="BJ54" s="3815"/>
      <c r="BK54" s="3818"/>
      <c r="BL54" s="3258"/>
      <c r="BM54" s="3258"/>
      <c r="BN54" s="3768"/>
      <c r="BO54" s="3768"/>
      <c r="BP54" s="3768"/>
      <c r="BQ54" s="3768"/>
      <c r="BR54" s="3827"/>
    </row>
    <row r="55" spans="1:70" s="367" customFormat="1" ht="27" customHeight="1" x14ac:dyDescent="0.2">
      <c r="A55" s="3864"/>
      <c r="B55" s="3864"/>
      <c r="C55" s="3369"/>
      <c r="D55" s="3840"/>
      <c r="E55" s="3840"/>
      <c r="F55" s="3374"/>
      <c r="G55" s="3836"/>
      <c r="H55" s="3837"/>
      <c r="I55" s="3838"/>
      <c r="J55" s="3320">
        <v>48</v>
      </c>
      <c r="K55" s="3822" t="s">
        <v>2524</v>
      </c>
      <c r="L55" s="3822" t="s">
        <v>2525</v>
      </c>
      <c r="M55" s="3318">
        <v>1</v>
      </c>
      <c r="N55" s="3823">
        <v>0.625</v>
      </c>
      <c r="O55" s="3177"/>
      <c r="P55" s="3318"/>
      <c r="Q55" s="3822"/>
      <c r="R55" s="3824">
        <f>(W55)/S52</f>
        <v>0.55795787418049936</v>
      </c>
      <c r="S55" s="3832"/>
      <c r="T55" s="3822"/>
      <c r="U55" s="3825" t="s">
        <v>2526</v>
      </c>
      <c r="V55" s="3822" t="s">
        <v>2527</v>
      </c>
      <c r="W55" s="3794">
        <f>198750000+1250000</f>
        <v>200000000</v>
      </c>
      <c r="X55" s="3826">
        <v>200000000</v>
      </c>
      <c r="Y55" s="3826">
        <v>200000000</v>
      </c>
      <c r="Z55" s="3830">
        <v>20</v>
      </c>
      <c r="AA55" s="3318" t="s">
        <v>863</v>
      </c>
      <c r="AB55" s="3820"/>
      <c r="AC55" s="3820"/>
      <c r="AD55" s="3820"/>
      <c r="AE55" s="3820"/>
      <c r="AF55" s="3820"/>
      <c r="AG55" s="3820"/>
      <c r="AH55" s="3820"/>
      <c r="AI55" s="3820"/>
      <c r="AJ55" s="3820"/>
      <c r="AK55" s="3820"/>
      <c r="AL55" s="3820"/>
      <c r="AM55" s="3820"/>
      <c r="AN55" s="3820"/>
      <c r="AO55" s="3820"/>
      <c r="AP55" s="3820"/>
      <c r="AQ55" s="3820"/>
      <c r="AR55" s="3820"/>
      <c r="AS55" s="3820"/>
      <c r="AT55" s="3820"/>
      <c r="AU55" s="3820"/>
      <c r="AV55" s="3820"/>
      <c r="AW55" s="3820"/>
      <c r="AX55" s="3820"/>
      <c r="AY55" s="3820"/>
      <c r="AZ55" s="3820"/>
      <c r="BA55" s="3820"/>
      <c r="BB55" s="3820"/>
      <c r="BC55" s="3820"/>
      <c r="BD55" s="3820"/>
      <c r="BE55" s="3820"/>
      <c r="BF55" s="3820"/>
      <c r="BG55" s="3820"/>
      <c r="BH55" s="3819">
        <v>1</v>
      </c>
      <c r="BI55" s="3813">
        <v>200000000</v>
      </c>
      <c r="BJ55" s="3813">
        <v>200000000</v>
      </c>
      <c r="BK55" s="3816">
        <f t="shared" ref="BK55" si="0">BJ55/BI55</f>
        <v>1</v>
      </c>
      <c r="BL55" s="3819" t="s">
        <v>863</v>
      </c>
      <c r="BM55" s="3256" t="s">
        <v>2488</v>
      </c>
      <c r="BN55" s="3766">
        <v>43467</v>
      </c>
      <c r="BO55" s="3766"/>
      <c r="BP55" s="3766">
        <v>43830</v>
      </c>
      <c r="BQ55" s="3766" t="s">
        <v>2528</v>
      </c>
      <c r="BR55" s="3827"/>
    </row>
    <row r="56" spans="1:70" s="367" customFormat="1" ht="27" customHeight="1" x14ac:dyDescent="0.2">
      <c r="A56" s="3864"/>
      <c r="B56" s="3864"/>
      <c r="C56" s="3369"/>
      <c r="D56" s="3840"/>
      <c r="E56" s="3840"/>
      <c r="F56" s="3374"/>
      <c r="G56" s="3836"/>
      <c r="H56" s="3837"/>
      <c r="I56" s="3838"/>
      <c r="J56" s="3320"/>
      <c r="K56" s="3822"/>
      <c r="L56" s="3822"/>
      <c r="M56" s="3318"/>
      <c r="N56" s="3823"/>
      <c r="O56" s="3177"/>
      <c r="P56" s="3318"/>
      <c r="Q56" s="3822"/>
      <c r="R56" s="3824"/>
      <c r="S56" s="3832"/>
      <c r="T56" s="3822"/>
      <c r="U56" s="3825"/>
      <c r="V56" s="3822"/>
      <c r="W56" s="3794"/>
      <c r="X56" s="3826"/>
      <c r="Y56" s="3826"/>
      <c r="Z56" s="3830"/>
      <c r="AA56" s="3318"/>
      <c r="AB56" s="3820"/>
      <c r="AC56" s="3820"/>
      <c r="AD56" s="3820"/>
      <c r="AE56" s="3820"/>
      <c r="AF56" s="3820"/>
      <c r="AG56" s="3820"/>
      <c r="AH56" s="3820"/>
      <c r="AI56" s="3820"/>
      <c r="AJ56" s="3820"/>
      <c r="AK56" s="3820"/>
      <c r="AL56" s="3820"/>
      <c r="AM56" s="3820"/>
      <c r="AN56" s="3820"/>
      <c r="AO56" s="3820"/>
      <c r="AP56" s="3820"/>
      <c r="AQ56" s="3820"/>
      <c r="AR56" s="3820"/>
      <c r="AS56" s="3820"/>
      <c r="AT56" s="3820"/>
      <c r="AU56" s="3820"/>
      <c r="AV56" s="3820"/>
      <c r="AW56" s="3820"/>
      <c r="AX56" s="3820"/>
      <c r="AY56" s="3820"/>
      <c r="AZ56" s="3820"/>
      <c r="BA56" s="3820"/>
      <c r="BB56" s="3820"/>
      <c r="BC56" s="3820"/>
      <c r="BD56" s="3820"/>
      <c r="BE56" s="3820"/>
      <c r="BF56" s="3820"/>
      <c r="BG56" s="3820"/>
      <c r="BH56" s="3820"/>
      <c r="BI56" s="3814"/>
      <c r="BJ56" s="3814"/>
      <c r="BK56" s="3817"/>
      <c r="BL56" s="3820"/>
      <c r="BM56" s="3257"/>
      <c r="BN56" s="3767"/>
      <c r="BO56" s="3767"/>
      <c r="BP56" s="3767"/>
      <c r="BQ56" s="3767"/>
      <c r="BR56" s="3827"/>
    </row>
    <row r="57" spans="1:70" s="367" customFormat="1" ht="27" customHeight="1" x14ac:dyDescent="0.2">
      <c r="A57" s="3864"/>
      <c r="B57" s="3864"/>
      <c r="C57" s="3369"/>
      <c r="D57" s="3840"/>
      <c r="E57" s="3840"/>
      <c r="F57" s="3374"/>
      <c r="G57" s="3836"/>
      <c r="H57" s="3837"/>
      <c r="I57" s="3838"/>
      <c r="J57" s="3320"/>
      <c r="K57" s="3822"/>
      <c r="L57" s="3822"/>
      <c r="M57" s="3318"/>
      <c r="N57" s="3823"/>
      <c r="O57" s="3177"/>
      <c r="P57" s="3318"/>
      <c r="Q57" s="3822"/>
      <c r="R57" s="3824"/>
      <c r="S57" s="3832"/>
      <c r="T57" s="3822"/>
      <c r="U57" s="3825"/>
      <c r="V57" s="3822"/>
      <c r="W57" s="3794"/>
      <c r="X57" s="3826"/>
      <c r="Y57" s="3826"/>
      <c r="Z57" s="3830"/>
      <c r="AA57" s="3318"/>
      <c r="AB57" s="3820"/>
      <c r="AC57" s="3820"/>
      <c r="AD57" s="3820"/>
      <c r="AE57" s="3820"/>
      <c r="AF57" s="3820"/>
      <c r="AG57" s="3820"/>
      <c r="AH57" s="3820"/>
      <c r="AI57" s="3820"/>
      <c r="AJ57" s="3820"/>
      <c r="AK57" s="3820"/>
      <c r="AL57" s="3820"/>
      <c r="AM57" s="3820"/>
      <c r="AN57" s="3820"/>
      <c r="AO57" s="3820"/>
      <c r="AP57" s="3820"/>
      <c r="AQ57" s="3820"/>
      <c r="AR57" s="3820"/>
      <c r="AS57" s="3820"/>
      <c r="AT57" s="3820"/>
      <c r="AU57" s="3820"/>
      <c r="AV57" s="3820"/>
      <c r="AW57" s="3820"/>
      <c r="AX57" s="3820"/>
      <c r="AY57" s="3820"/>
      <c r="AZ57" s="3820"/>
      <c r="BA57" s="3820"/>
      <c r="BB57" s="3820"/>
      <c r="BC57" s="3820"/>
      <c r="BD57" s="3820"/>
      <c r="BE57" s="3820"/>
      <c r="BF57" s="3820"/>
      <c r="BG57" s="3820"/>
      <c r="BH57" s="3821"/>
      <c r="BI57" s="3815"/>
      <c r="BJ57" s="3815"/>
      <c r="BK57" s="3818"/>
      <c r="BL57" s="3821"/>
      <c r="BM57" s="3258"/>
      <c r="BN57" s="3768"/>
      <c r="BO57" s="3768"/>
      <c r="BP57" s="3768"/>
      <c r="BQ57" s="3768"/>
      <c r="BR57" s="3827"/>
    </row>
    <row r="58" spans="1:70" s="367" customFormat="1" ht="33.75" customHeight="1" x14ac:dyDescent="0.2">
      <c r="A58" s="3864"/>
      <c r="B58" s="3864"/>
      <c r="C58" s="3369"/>
      <c r="D58" s="3840"/>
      <c r="E58" s="3840"/>
      <c r="F58" s="3374"/>
      <c r="G58" s="3836"/>
      <c r="H58" s="3837"/>
      <c r="I58" s="3838"/>
      <c r="J58" s="3320">
        <v>49</v>
      </c>
      <c r="K58" s="3822" t="s">
        <v>2529</v>
      </c>
      <c r="L58" s="3822" t="s">
        <v>2530</v>
      </c>
      <c r="M58" s="3318">
        <v>1</v>
      </c>
      <c r="N58" s="3823">
        <v>0.5</v>
      </c>
      <c r="O58" s="3177"/>
      <c r="P58" s="3318"/>
      <c r="Q58" s="3822"/>
      <c r="R58" s="3824">
        <f>(W58)/S52</f>
        <v>1.0461710140884364E-2</v>
      </c>
      <c r="S58" s="3832"/>
      <c r="T58" s="3822"/>
      <c r="U58" s="3825"/>
      <c r="V58" s="3822" t="s">
        <v>2531</v>
      </c>
      <c r="W58" s="3794">
        <f>5000000-1250000</f>
        <v>3750000</v>
      </c>
      <c r="X58" s="3826">
        <v>3750000</v>
      </c>
      <c r="Y58" s="3828">
        <v>0</v>
      </c>
      <c r="Z58" s="3830">
        <v>20</v>
      </c>
      <c r="AA58" s="3318" t="s">
        <v>863</v>
      </c>
      <c r="AB58" s="3820"/>
      <c r="AC58" s="3820"/>
      <c r="AD58" s="3820"/>
      <c r="AE58" s="3820"/>
      <c r="AF58" s="3820"/>
      <c r="AG58" s="3820"/>
      <c r="AH58" s="3820"/>
      <c r="AI58" s="3820"/>
      <c r="AJ58" s="3820"/>
      <c r="AK58" s="3820"/>
      <c r="AL58" s="3820"/>
      <c r="AM58" s="3820"/>
      <c r="AN58" s="3820"/>
      <c r="AO58" s="3820"/>
      <c r="AP58" s="3820"/>
      <c r="AQ58" s="3820"/>
      <c r="AR58" s="3820"/>
      <c r="AS58" s="3820"/>
      <c r="AT58" s="3820"/>
      <c r="AU58" s="3820"/>
      <c r="AV58" s="3820"/>
      <c r="AW58" s="3820"/>
      <c r="AX58" s="3820"/>
      <c r="AY58" s="3820"/>
      <c r="AZ58" s="3820"/>
      <c r="BA58" s="3820"/>
      <c r="BB58" s="3820"/>
      <c r="BC58" s="3820"/>
      <c r="BD58" s="3820"/>
      <c r="BE58" s="3820"/>
      <c r="BF58" s="3820"/>
      <c r="BG58" s="3820"/>
      <c r="BH58" s="3819">
        <v>1</v>
      </c>
      <c r="BI58" s="3813">
        <v>3750000</v>
      </c>
      <c r="BJ58" s="3813"/>
      <c r="BK58" s="3816">
        <f t="shared" ref="BK58" si="1">BJ58/BI58</f>
        <v>0</v>
      </c>
      <c r="BL58" s="3819" t="s">
        <v>863</v>
      </c>
      <c r="BM58" s="3256" t="s">
        <v>2478</v>
      </c>
      <c r="BN58" s="3766">
        <v>43467</v>
      </c>
      <c r="BO58" s="3766">
        <v>43566</v>
      </c>
      <c r="BP58" s="3766">
        <v>43830</v>
      </c>
      <c r="BQ58" s="3766" t="s">
        <v>2528</v>
      </c>
      <c r="BR58" s="3827"/>
    </row>
    <row r="59" spans="1:70" s="367" customFormat="1" ht="35.25" customHeight="1" x14ac:dyDescent="0.2">
      <c r="A59" s="3864"/>
      <c r="B59" s="3864"/>
      <c r="C59" s="3369"/>
      <c r="D59" s="3840"/>
      <c r="E59" s="3840"/>
      <c r="F59" s="3374"/>
      <c r="G59" s="3836"/>
      <c r="H59" s="3837"/>
      <c r="I59" s="3838"/>
      <c r="J59" s="3320"/>
      <c r="K59" s="3822"/>
      <c r="L59" s="3822"/>
      <c r="M59" s="3318"/>
      <c r="N59" s="3823"/>
      <c r="O59" s="3177"/>
      <c r="P59" s="3318"/>
      <c r="Q59" s="3822"/>
      <c r="R59" s="3824"/>
      <c r="S59" s="3832"/>
      <c r="T59" s="3822"/>
      <c r="U59" s="3825"/>
      <c r="V59" s="3822"/>
      <c r="W59" s="3794"/>
      <c r="X59" s="3826"/>
      <c r="Y59" s="3831"/>
      <c r="Z59" s="3830"/>
      <c r="AA59" s="3318"/>
      <c r="AB59" s="3820"/>
      <c r="AC59" s="3820"/>
      <c r="AD59" s="3820"/>
      <c r="AE59" s="3820"/>
      <c r="AF59" s="3820"/>
      <c r="AG59" s="3820"/>
      <c r="AH59" s="3820"/>
      <c r="AI59" s="3820"/>
      <c r="AJ59" s="3820"/>
      <c r="AK59" s="3820"/>
      <c r="AL59" s="3820"/>
      <c r="AM59" s="3820"/>
      <c r="AN59" s="3820"/>
      <c r="AO59" s="3820"/>
      <c r="AP59" s="3820"/>
      <c r="AQ59" s="3820"/>
      <c r="AR59" s="3820"/>
      <c r="AS59" s="3820"/>
      <c r="AT59" s="3820"/>
      <c r="AU59" s="3820"/>
      <c r="AV59" s="3820"/>
      <c r="AW59" s="3820"/>
      <c r="AX59" s="3820"/>
      <c r="AY59" s="3820"/>
      <c r="AZ59" s="3820"/>
      <c r="BA59" s="3820"/>
      <c r="BB59" s="3820"/>
      <c r="BC59" s="3820"/>
      <c r="BD59" s="3820"/>
      <c r="BE59" s="3820"/>
      <c r="BF59" s="3820"/>
      <c r="BG59" s="3820"/>
      <c r="BH59" s="3820"/>
      <c r="BI59" s="3814"/>
      <c r="BJ59" s="3814"/>
      <c r="BK59" s="3817"/>
      <c r="BL59" s="3820"/>
      <c r="BM59" s="3257"/>
      <c r="BN59" s="3767"/>
      <c r="BO59" s="3767"/>
      <c r="BP59" s="3767"/>
      <c r="BQ59" s="3767"/>
      <c r="BR59" s="3827"/>
    </row>
    <row r="60" spans="1:70" s="367" customFormat="1" ht="26.25" customHeight="1" x14ac:dyDescent="0.2">
      <c r="A60" s="3864"/>
      <c r="B60" s="3864"/>
      <c r="C60" s="3369"/>
      <c r="D60" s="3840"/>
      <c r="E60" s="3840"/>
      <c r="F60" s="3374"/>
      <c r="G60" s="3836"/>
      <c r="H60" s="3837"/>
      <c r="I60" s="3838"/>
      <c r="J60" s="3320"/>
      <c r="K60" s="3822"/>
      <c r="L60" s="3822"/>
      <c r="M60" s="3318"/>
      <c r="N60" s="3823"/>
      <c r="O60" s="3178"/>
      <c r="P60" s="3318"/>
      <c r="Q60" s="3822"/>
      <c r="R60" s="3824"/>
      <c r="S60" s="3832"/>
      <c r="T60" s="3822"/>
      <c r="U60" s="3825"/>
      <c r="V60" s="3822"/>
      <c r="W60" s="3794"/>
      <c r="X60" s="3826"/>
      <c r="Y60" s="3829"/>
      <c r="Z60" s="3830"/>
      <c r="AA60" s="3318"/>
      <c r="AB60" s="3821"/>
      <c r="AC60" s="3821"/>
      <c r="AD60" s="3821"/>
      <c r="AE60" s="3821"/>
      <c r="AF60" s="3821"/>
      <c r="AG60" s="3821"/>
      <c r="AH60" s="3821"/>
      <c r="AI60" s="3821"/>
      <c r="AJ60" s="3821"/>
      <c r="AK60" s="3821"/>
      <c r="AL60" s="3821"/>
      <c r="AM60" s="3821"/>
      <c r="AN60" s="3821"/>
      <c r="AO60" s="3821"/>
      <c r="AP60" s="3821"/>
      <c r="AQ60" s="3821"/>
      <c r="AR60" s="3821"/>
      <c r="AS60" s="3821"/>
      <c r="AT60" s="3821"/>
      <c r="AU60" s="3821"/>
      <c r="AV60" s="3821"/>
      <c r="AW60" s="3821"/>
      <c r="AX60" s="3821"/>
      <c r="AY60" s="3821"/>
      <c r="AZ60" s="3821"/>
      <c r="BA60" s="3821"/>
      <c r="BB60" s="3821"/>
      <c r="BC60" s="3821"/>
      <c r="BD60" s="3821"/>
      <c r="BE60" s="3821"/>
      <c r="BF60" s="3821"/>
      <c r="BG60" s="3821"/>
      <c r="BH60" s="3821"/>
      <c r="BI60" s="3815"/>
      <c r="BJ60" s="3815"/>
      <c r="BK60" s="3818"/>
      <c r="BL60" s="3821"/>
      <c r="BM60" s="3258"/>
      <c r="BN60" s="3768"/>
      <c r="BO60" s="3768"/>
      <c r="BP60" s="3768"/>
      <c r="BQ60" s="3768"/>
      <c r="BR60" s="3827"/>
    </row>
    <row r="61" spans="1:70" ht="27" customHeight="1" x14ac:dyDescent="0.2">
      <c r="A61" s="3864"/>
      <c r="B61" s="3864"/>
      <c r="C61" s="3369"/>
      <c r="D61" s="2590">
        <v>3</v>
      </c>
      <c r="E61" s="942" t="s">
        <v>2532</v>
      </c>
      <c r="F61" s="1446"/>
      <c r="G61" s="1446"/>
      <c r="H61" s="1446"/>
      <c r="I61" s="1446"/>
      <c r="J61" s="1446"/>
      <c r="K61" s="1446"/>
      <c r="L61" s="1446"/>
      <c r="M61" s="1446"/>
      <c r="N61" s="1446"/>
      <c r="O61" s="1446"/>
      <c r="P61" s="1446"/>
      <c r="Q61" s="1446"/>
      <c r="R61" s="1446"/>
      <c r="S61" s="1446"/>
      <c r="T61" s="1446"/>
      <c r="U61" s="1446"/>
      <c r="V61" s="1446"/>
      <c r="W61" s="1446"/>
      <c r="X61" s="1446"/>
      <c r="Y61" s="1446"/>
      <c r="Z61" s="1446"/>
      <c r="AA61" s="966"/>
      <c r="AB61" s="966"/>
      <c r="AC61" s="966"/>
      <c r="AD61" s="966"/>
      <c r="AE61" s="966"/>
      <c r="AF61" s="966"/>
      <c r="AG61" s="966"/>
      <c r="AH61" s="966"/>
      <c r="AI61" s="966"/>
      <c r="AJ61" s="966"/>
      <c r="AK61" s="966"/>
      <c r="AL61" s="966"/>
      <c r="AM61" s="966"/>
      <c r="AN61" s="966"/>
      <c r="AO61" s="966"/>
      <c r="AP61" s="966"/>
      <c r="AQ61" s="966"/>
      <c r="AR61" s="966"/>
      <c r="AS61" s="966"/>
      <c r="AT61" s="966"/>
      <c r="AU61" s="966"/>
      <c r="AV61" s="966"/>
      <c r="AW61" s="966"/>
      <c r="AX61" s="966"/>
      <c r="AY61" s="966"/>
      <c r="AZ61" s="966"/>
      <c r="BA61" s="966"/>
      <c r="BB61" s="966"/>
      <c r="BC61" s="966"/>
      <c r="BD61" s="966"/>
      <c r="BE61" s="966"/>
      <c r="BF61" s="966"/>
      <c r="BG61" s="966"/>
      <c r="BH61" s="1446"/>
      <c r="BI61" s="1446"/>
      <c r="BJ61" s="1446"/>
      <c r="BK61" s="1446"/>
      <c r="BL61" s="1446"/>
      <c r="BM61" s="1446"/>
      <c r="BN61" s="1446"/>
      <c r="BO61" s="1446"/>
      <c r="BP61" s="1446"/>
      <c r="BQ61" s="1446"/>
      <c r="BR61" s="2604"/>
    </row>
    <row r="62" spans="1:70" ht="27" customHeight="1" x14ac:dyDescent="0.2">
      <c r="A62" s="3864"/>
      <c r="B62" s="3864"/>
      <c r="C62" s="3369"/>
      <c r="D62" s="3783"/>
      <c r="E62" s="3784"/>
      <c r="F62" s="3785"/>
      <c r="G62" s="2595">
        <v>11</v>
      </c>
      <c r="H62" s="1494" t="s">
        <v>2533</v>
      </c>
      <c r="I62" s="1458"/>
      <c r="J62" s="1458"/>
      <c r="K62" s="1458"/>
      <c r="L62" s="1458"/>
      <c r="M62" s="1458"/>
      <c r="N62" s="1458"/>
      <c r="O62" s="1458"/>
      <c r="P62" s="1458"/>
      <c r="Q62" s="1458"/>
      <c r="R62" s="1458"/>
      <c r="S62" s="1458"/>
      <c r="T62" s="1458"/>
      <c r="U62" s="1458"/>
      <c r="V62" s="1458"/>
      <c r="W62" s="1458"/>
      <c r="X62" s="1458"/>
      <c r="Y62" s="1458"/>
      <c r="Z62" s="1458"/>
      <c r="AA62" s="954"/>
      <c r="AB62" s="954"/>
      <c r="AC62" s="954"/>
      <c r="AD62" s="954"/>
      <c r="AE62" s="954"/>
      <c r="AF62" s="954"/>
      <c r="AG62" s="954"/>
      <c r="AH62" s="954"/>
      <c r="AI62" s="954"/>
      <c r="AJ62" s="954"/>
      <c r="AK62" s="954"/>
      <c r="AL62" s="954"/>
      <c r="AM62" s="954"/>
      <c r="AN62" s="954"/>
      <c r="AO62" s="954"/>
      <c r="AP62" s="954"/>
      <c r="AQ62" s="954"/>
      <c r="AR62" s="954"/>
      <c r="AS62" s="954"/>
      <c r="AT62" s="954"/>
      <c r="AU62" s="954"/>
      <c r="AV62" s="954"/>
      <c r="AW62" s="954"/>
      <c r="AX62" s="954"/>
      <c r="AY62" s="954"/>
      <c r="AZ62" s="954"/>
      <c r="BA62" s="954"/>
      <c r="BB62" s="954"/>
      <c r="BC62" s="954"/>
      <c r="BD62" s="954"/>
      <c r="BE62" s="954"/>
      <c r="BF62" s="954"/>
      <c r="BG62" s="954"/>
      <c r="BH62" s="1458"/>
      <c r="BI62" s="1458"/>
      <c r="BJ62" s="1458"/>
      <c r="BK62" s="1458"/>
      <c r="BL62" s="1458"/>
      <c r="BM62" s="1458"/>
      <c r="BN62" s="1458"/>
      <c r="BO62" s="1458"/>
      <c r="BP62" s="1458"/>
      <c r="BQ62" s="1458"/>
      <c r="BR62" s="2601"/>
    </row>
    <row r="63" spans="1:70" ht="27" customHeight="1" x14ac:dyDescent="0.2">
      <c r="A63" s="3864"/>
      <c r="B63" s="3864"/>
      <c r="C63" s="3369"/>
      <c r="D63" s="3786"/>
      <c r="E63" s="3787"/>
      <c r="F63" s="3788"/>
      <c r="G63" s="3812"/>
      <c r="H63" s="3812"/>
      <c r="I63" s="3812"/>
      <c r="J63" s="3177">
        <v>50</v>
      </c>
      <c r="K63" s="3180" t="s">
        <v>2534</v>
      </c>
      <c r="L63" s="3180" t="s">
        <v>2535</v>
      </c>
      <c r="M63" s="3177">
        <v>3</v>
      </c>
      <c r="N63" s="3216">
        <v>1</v>
      </c>
      <c r="O63" s="3176" t="s">
        <v>2536</v>
      </c>
      <c r="P63" s="3176" t="s">
        <v>2537</v>
      </c>
      <c r="Q63" s="3179" t="s">
        <v>2538</v>
      </c>
      <c r="R63" s="3776">
        <f>SUM(W63)/S63</f>
        <v>0.80006709158000666</v>
      </c>
      <c r="S63" s="3185">
        <f>SUM(W63:W67)</f>
        <v>149050000</v>
      </c>
      <c r="T63" s="3179" t="s">
        <v>2539</v>
      </c>
      <c r="U63" s="3214" t="s">
        <v>2540</v>
      </c>
      <c r="V63" s="3792" t="s">
        <v>2541</v>
      </c>
      <c r="W63" s="3806">
        <f>+'[2]Metas y Proyectos'!O33</f>
        <v>119250000</v>
      </c>
      <c r="X63" s="3781">
        <f>+'[2]Metas y Proyectos'!P33</f>
        <v>103530000</v>
      </c>
      <c r="Y63" s="3781">
        <f>+'[2]Metas y Proyectos'!Q33</f>
        <v>15157000</v>
      </c>
      <c r="Z63" s="3216">
        <v>20</v>
      </c>
      <c r="AA63" s="3176" t="s">
        <v>653</v>
      </c>
      <c r="AB63" s="3809">
        <v>294321</v>
      </c>
      <c r="AC63" s="3216">
        <f>+AB63*30%</f>
        <v>88296.3</v>
      </c>
      <c r="AD63" s="3769">
        <v>283947</v>
      </c>
      <c r="AE63" s="3216">
        <f>+AD63*30%</f>
        <v>85184.099999999991</v>
      </c>
      <c r="AF63" s="3216">
        <v>135754</v>
      </c>
      <c r="AG63" s="1420"/>
      <c r="AH63" s="3216">
        <v>44640</v>
      </c>
      <c r="AI63" s="1420"/>
      <c r="AJ63" s="3188">
        <v>308178</v>
      </c>
      <c r="AK63" s="3188">
        <f>+AJ63*30%</f>
        <v>92453.4</v>
      </c>
      <c r="AL63" s="3216">
        <v>89696</v>
      </c>
      <c r="AM63" s="1543"/>
      <c r="AN63" s="3802"/>
      <c r="AO63" s="1543"/>
      <c r="AP63" s="1543"/>
      <c r="AQ63" s="3802"/>
      <c r="AR63" s="1543"/>
      <c r="AS63" s="3802"/>
      <c r="AT63" s="1543"/>
      <c r="AU63" s="3802"/>
      <c r="AV63" s="1543"/>
      <c r="AW63" s="3802"/>
      <c r="AX63" s="1543"/>
      <c r="AY63" s="3802"/>
      <c r="AZ63" s="1543"/>
      <c r="BA63" s="3802"/>
      <c r="BB63" s="1543"/>
      <c r="BC63" s="3802"/>
      <c r="BD63" s="1543"/>
      <c r="BE63" s="3802"/>
      <c r="BF63" s="3769">
        <f>+AB63+AD63</f>
        <v>578268</v>
      </c>
      <c r="BG63" s="3216">
        <f>+BF63*30%</f>
        <v>173480.4</v>
      </c>
      <c r="BH63" s="3216">
        <v>7</v>
      </c>
      <c r="BI63" s="3185">
        <f>+X63+X66</f>
        <v>116780000</v>
      </c>
      <c r="BJ63" s="3185">
        <f>+Y63+Y66</f>
        <v>17807000</v>
      </c>
      <c r="BK63" s="3182">
        <f>BJ63/BI63</f>
        <v>0.15248330193526288</v>
      </c>
      <c r="BL63" s="3216" t="s">
        <v>2542</v>
      </c>
      <c r="BM63" s="3216" t="s">
        <v>2543</v>
      </c>
      <c r="BN63" s="3766">
        <v>43467</v>
      </c>
      <c r="BO63" s="2605"/>
      <c r="BP63" s="2605"/>
      <c r="BQ63" s="3766">
        <v>43656</v>
      </c>
      <c r="BR63" s="3799" t="s">
        <v>2471</v>
      </c>
    </row>
    <row r="64" spans="1:70" ht="27" customHeight="1" x14ac:dyDescent="0.2">
      <c r="A64" s="3864"/>
      <c r="B64" s="3864"/>
      <c r="C64" s="3369"/>
      <c r="D64" s="3786"/>
      <c r="E64" s="3787"/>
      <c r="F64" s="3788"/>
      <c r="G64" s="3812"/>
      <c r="H64" s="3812"/>
      <c r="I64" s="3812"/>
      <c r="J64" s="3177"/>
      <c r="K64" s="3180"/>
      <c r="L64" s="3180"/>
      <c r="M64" s="3177"/>
      <c r="N64" s="3237"/>
      <c r="O64" s="3177"/>
      <c r="P64" s="3177"/>
      <c r="Q64" s="3180"/>
      <c r="R64" s="3776"/>
      <c r="S64" s="3186"/>
      <c r="T64" s="3180"/>
      <c r="U64" s="3798"/>
      <c r="V64" s="3805"/>
      <c r="W64" s="3806"/>
      <c r="X64" s="3807"/>
      <c r="Y64" s="3807"/>
      <c r="Z64" s="3237"/>
      <c r="AA64" s="3177"/>
      <c r="AB64" s="3810"/>
      <c r="AC64" s="3237"/>
      <c r="AD64" s="3770"/>
      <c r="AE64" s="3237"/>
      <c r="AF64" s="3237"/>
      <c r="AG64" s="1477"/>
      <c r="AH64" s="3237"/>
      <c r="AI64" s="1477"/>
      <c r="AJ64" s="3242"/>
      <c r="AK64" s="3242"/>
      <c r="AL64" s="3237"/>
      <c r="AM64" s="1526"/>
      <c r="AN64" s="3803"/>
      <c r="AO64" s="1526"/>
      <c r="AP64" s="1526"/>
      <c r="AQ64" s="3803"/>
      <c r="AR64" s="1526"/>
      <c r="AS64" s="3803"/>
      <c r="AT64" s="1526"/>
      <c r="AU64" s="3803"/>
      <c r="AV64" s="1526"/>
      <c r="AW64" s="3803"/>
      <c r="AX64" s="1526"/>
      <c r="AY64" s="3803"/>
      <c r="AZ64" s="1526"/>
      <c r="BA64" s="3803"/>
      <c r="BB64" s="1526"/>
      <c r="BC64" s="3803"/>
      <c r="BD64" s="1526"/>
      <c r="BE64" s="3803"/>
      <c r="BF64" s="3770"/>
      <c r="BG64" s="3237"/>
      <c r="BH64" s="3237"/>
      <c r="BI64" s="3186"/>
      <c r="BJ64" s="3186"/>
      <c r="BK64" s="3183"/>
      <c r="BL64" s="3237"/>
      <c r="BM64" s="3237"/>
      <c r="BN64" s="3767"/>
      <c r="BO64" s="2606"/>
      <c r="BP64" s="2606"/>
      <c r="BQ64" s="3767"/>
      <c r="BR64" s="3800"/>
    </row>
    <row r="65" spans="1:70" ht="27" customHeight="1" x14ac:dyDescent="0.2">
      <c r="A65" s="3864"/>
      <c r="B65" s="3864"/>
      <c r="C65" s="3369"/>
      <c r="D65" s="3786"/>
      <c r="E65" s="3787"/>
      <c r="F65" s="3788"/>
      <c r="G65" s="3812"/>
      <c r="H65" s="3812"/>
      <c r="I65" s="3812"/>
      <c r="J65" s="3177"/>
      <c r="K65" s="3180"/>
      <c r="L65" s="3180"/>
      <c r="M65" s="3177"/>
      <c r="N65" s="3217"/>
      <c r="O65" s="3177"/>
      <c r="P65" s="3177"/>
      <c r="Q65" s="3180"/>
      <c r="R65" s="3776"/>
      <c r="S65" s="3186"/>
      <c r="T65" s="3180"/>
      <c r="U65" s="3798"/>
      <c r="V65" s="3805"/>
      <c r="W65" s="3806"/>
      <c r="X65" s="3782"/>
      <c r="Y65" s="3782"/>
      <c r="Z65" s="3217"/>
      <c r="AA65" s="3177"/>
      <c r="AB65" s="3810"/>
      <c r="AC65" s="3237"/>
      <c r="AD65" s="3770"/>
      <c r="AE65" s="3237"/>
      <c r="AF65" s="3237"/>
      <c r="AG65" s="1477">
        <f>+AF63*30%</f>
        <v>40726.199999999997</v>
      </c>
      <c r="AH65" s="3237"/>
      <c r="AI65" s="1477">
        <f>+AH63*30%</f>
        <v>13392</v>
      </c>
      <c r="AJ65" s="3242"/>
      <c r="AK65" s="3242"/>
      <c r="AL65" s="3237"/>
      <c r="AM65" s="1477">
        <f>+AL63*30%</f>
        <v>26908.799999999999</v>
      </c>
      <c r="AN65" s="3803"/>
      <c r="AO65" s="1526"/>
      <c r="AP65" s="1526"/>
      <c r="AQ65" s="3803"/>
      <c r="AR65" s="1526"/>
      <c r="AS65" s="3803"/>
      <c r="AT65" s="1526"/>
      <c r="AU65" s="3803"/>
      <c r="AV65" s="1526"/>
      <c r="AW65" s="3803"/>
      <c r="AX65" s="1526"/>
      <c r="AY65" s="3803"/>
      <c r="AZ65" s="1526"/>
      <c r="BA65" s="3803"/>
      <c r="BB65" s="1526"/>
      <c r="BC65" s="3803"/>
      <c r="BD65" s="1526"/>
      <c r="BE65" s="3803"/>
      <c r="BF65" s="3770"/>
      <c r="BG65" s="3237"/>
      <c r="BH65" s="3237"/>
      <c r="BI65" s="3186"/>
      <c r="BJ65" s="3186"/>
      <c r="BK65" s="3183"/>
      <c r="BL65" s="3237"/>
      <c r="BM65" s="3237"/>
      <c r="BN65" s="3767"/>
      <c r="BO65" s="2606">
        <v>43488</v>
      </c>
      <c r="BP65" s="2606">
        <v>43830</v>
      </c>
      <c r="BQ65" s="3767"/>
      <c r="BR65" s="3800"/>
    </row>
    <row r="66" spans="1:70" ht="29.25" customHeight="1" x14ac:dyDescent="0.2">
      <c r="A66" s="3864"/>
      <c r="B66" s="3864"/>
      <c r="C66" s="3369"/>
      <c r="D66" s="3786"/>
      <c r="E66" s="3787"/>
      <c r="F66" s="3788"/>
      <c r="G66" s="3812"/>
      <c r="H66" s="3812"/>
      <c r="I66" s="3812"/>
      <c r="J66" s="3176">
        <v>51</v>
      </c>
      <c r="K66" s="3179" t="s">
        <v>2544</v>
      </c>
      <c r="L66" s="3179" t="s">
        <v>2545</v>
      </c>
      <c r="M66" s="3176">
        <v>1</v>
      </c>
      <c r="N66" s="3185">
        <v>0.35</v>
      </c>
      <c r="O66" s="3177"/>
      <c r="P66" s="3177"/>
      <c r="Q66" s="3180"/>
      <c r="R66" s="3775">
        <f>SUM(W66)/S63</f>
        <v>0.19993290841999328</v>
      </c>
      <c r="S66" s="3186"/>
      <c r="T66" s="3180"/>
      <c r="U66" s="3798"/>
      <c r="V66" s="3792" t="s">
        <v>2546</v>
      </c>
      <c r="W66" s="3806">
        <f>+'[2]Metas y Proyectos'!O34</f>
        <v>29800000</v>
      </c>
      <c r="X66" s="3781">
        <f>+'[2]Metas y Proyectos'!P34</f>
        <v>13250000</v>
      </c>
      <c r="Y66" s="3185">
        <v>2650000</v>
      </c>
      <c r="Z66" s="3216">
        <v>20</v>
      </c>
      <c r="AA66" s="3177"/>
      <c r="AB66" s="3810"/>
      <c r="AC66" s="3237"/>
      <c r="AD66" s="3770"/>
      <c r="AE66" s="3237"/>
      <c r="AF66" s="3237"/>
      <c r="AG66" s="1477"/>
      <c r="AH66" s="3237"/>
      <c r="AI66" s="1477"/>
      <c r="AJ66" s="3242"/>
      <c r="AK66" s="3242"/>
      <c r="AL66" s="3237"/>
      <c r="AM66" s="1526"/>
      <c r="AN66" s="3803"/>
      <c r="AO66" s="1526"/>
      <c r="AP66" s="1526"/>
      <c r="AQ66" s="3803"/>
      <c r="AR66" s="1526"/>
      <c r="AS66" s="3803"/>
      <c r="AT66" s="1526"/>
      <c r="AU66" s="3803"/>
      <c r="AV66" s="1526"/>
      <c r="AW66" s="3803"/>
      <c r="AX66" s="1526"/>
      <c r="AY66" s="3803"/>
      <c r="AZ66" s="1526"/>
      <c r="BA66" s="3803"/>
      <c r="BB66" s="1526"/>
      <c r="BC66" s="3803"/>
      <c r="BD66" s="1526"/>
      <c r="BE66" s="3803"/>
      <c r="BF66" s="3770"/>
      <c r="BG66" s="3237"/>
      <c r="BH66" s="3237"/>
      <c r="BI66" s="3186"/>
      <c r="BJ66" s="3186"/>
      <c r="BK66" s="3183"/>
      <c r="BL66" s="3237"/>
      <c r="BM66" s="3237"/>
      <c r="BN66" s="3767"/>
      <c r="BO66" s="2606"/>
      <c r="BP66" s="2606"/>
      <c r="BQ66" s="3767"/>
      <c r="BR66" s="3800"/>
    </row>
    <row r="67" spans="1:70" ht="30.75" customHeight="1" x14ac:dyDescent="0.2">
      <c r="A67" s="3864"/>
      <c r="B67" s="3864"/>
      <c r="C67" s="3369"/>
      <c r="D67" s="3786"/>
      <c r="E67" s="3787"/>
      <c r="F67" s="3788"/>
      <c r="G67" s="3812"/>
      <c r="H67" s="3812"/>
      <c r="I67" s="3812"/>
      <c r="J67" s="3177"/>
      <c r="K67" s="3180"/>
      <c r="L67" s="3180"/>
      <c r="M67" s="3177"/>
      <c r="N67" s="3187"/>
      <c r="O67" s="3178"/>
      <c r="P67" s="3178"/>
      <c r="Q67" s="3181"/>
      <c r="R67" s="3776"/>
      <c r="S67" s="3186"/>
      <c r="T67" s="3180"/>
      <c r="U67" s="3798"/>
      <c r="V67" s="3793"/>
      <c r="W67" s="3806"/>
      <c r="X67" s="3782"/>
      <c r="Y67" s="3187"/>
      <c r="Z67" s="3217"/>
      <c r="AA67" s="3178"/>
      <c r="AB67" s="3811"/>
      <c r="AC67" s="3217"/>
      <c r="AD67" s="3771"/>
      <c r="AE67" s="3217"/>
      <c r="AF67" s="3217"/>
      <c r="AG67" s="2181"/>
      <c r="AH67" s="3217"/>
      <c r="AI67" s="2181"/>
      <c r="AJ67" s="3189"/>
      <c r="AK67" s="3189"/>
      <c r="AL67" s="3217"/>
      <c r="AM67" s="1528"/>
      <c r="AN67" s="3804"/>
      <c r="AO67" s="1528"/>
      <c r="AP67" s="1528"/>
      <c r="AQ67" s="3804"/>
      <c r="AR67" s="1528"/>
      <c r="AS67" s="3804"/>
      <c r="AT67" s="1528"/>
      <c r="AU67" s="3804"/>
      <c r="AV67" s="1528"/>
      <c r="AW67" s="3804"/>
      <c r="AX67" s="1528"/>
      <c r="AY67" s="3804"/>
      <c r="AZ67" s="1528"/>
      <c r="BA67" s="3804"/>
      <c r="BB67" s="1528"/>
      <c r="BC67" s="3804"/>
      <c r="BD67" s="1528"/>
      <c r="BE67" s="3804"/>
      <c r="BF67" s="3771"/>
      <c r="BG67" s="3217"/>
      <c r="BH67" s="3237"/>
      <c r="BI67" s="3187"/>
      <c r="BJ67" s="3187"/>
      <c r="BK67" s="3184"/>
      <c r="BL67" s="3217"/>
      <c r="BM67" s="3217"/>
      <c r="BN67" s="3768"/>
      <c r="BO67" s="2607"/>
      <c r="BP67" s="2607"/>
      <c r="BQ67" s="3768"/>
      <c r="BR67" s="3801"/>
    </row>
    <row r="68" spans="1:70" ht="27" customHeight="1" x14ac:dyDescent="0.2">
      <c r="A68" s="3864"/>
      <c r="B68" s="3864"/>
      <c r="C68" s="3369"/>
      <c r="D68" s="3786"/>
      <c r="E68" s="3787"/>
      <c r="F68" s="3788"/>
      <c r="G68" s="2595">
        <v>12</v>
      </c>
      <c r="H68" s="1494" t="s">
        <v>2547</v>
      </c>
      <c r="I68" s="1458"/>
      <c r="J68" s="1458"/>
      <c r="K68" s="953"/>
      <c r="L68" s="953"/>
      <c r="M68" s="1458"/>
      <c r="N68" s="2608"/>
      <c r="O68" s="1459"/>
      <c r="P68" s="2609"/>
      <c r="Q68" s="953"/>
      <c r="R68" s="2610"/>
      <c r="S68" s="2611"/>
      <c r="T68" s="953"/>
      <c r="U68" s="953"/>
      <c r="V68" s="953"/>
      <c r="W68" s="1003"/>
      <c r="X68" s="2612"/>
      <c r="Y68" s="1003"/>
      <c r="Z68" s="2613"/>
      <c r="AA68" s="954"/>
      <c r="AB68" s="2614"/>
      <c r="AC68" s="1458"/>
      <c r="AD68" s="2614"/>
      <c r="AE68" s="1458"/>
      <c r="AF68" s="1466"/>
      <c r="AG68" s="1466"/>
      <c r="AH68" s="1466"/>
      <c r="AI68" s="1466"/>
      <c r="AJ68" s="1466"/>
      <c r="AK68" s="1466"/>
      <c r="AL68" s="1466"/>
      <c r="AM68" s="1458"/>
      <c r="AN68" s="1458"/>
      <c r="AO68" s="1458"/>
      <c r="AP68" s="1458"/>
      <c r="AQ68" s="1458"/>
      <c r="AR68" s="1458"/>
      <c r="AS68" s="1458"/>
      <c r="AT68" s="1458"/>
      <c r="AU68" s="1458"/>
      <c r="AV68" s="1458"/>
      <c r="AW68" s="1458"/>
      <c r="AX68" s="1458"/>
      <c r="AY68" s="1458"/>
      <c r="AZ68" s="1458"/>
      <c r="BA68" s="1458"/>
      <c r="BB68" s="1458"/>
      <c r="BC68" s="1458"/>
      <c r="BD68" s="1458"/>
      <c r="BE68" s="1458"/>
      <c r="BF68" s="2614"/>
      <c r="BG68" s="1458"/>
      <c r="BH68" s="2615"/>
      <c r="BI68" s="2611"/>
      <c r="BJ68" s="2611"/>
      <c r="BK68" s="2616"/>
      <c r="BL68" s="1466"/>
      <c r="BM68" s="1466"/>
      <c r="BN68" s="2617"/>
      <c r="BO68" s="2617"/>
      <c r="BP68" s="2617"/>
      <c r="BQ68" s="1464"/>
      <c r="BR68" s="2618"/>
    </row>
    <row r="69" spans="1:70" ht="56.25" customHeight="1" x14ac:dyDescent="0.2">
      <c r="A69" s="3864"/>
      <c r="B69" s="3864"/>
      <c r="C69" s="3369"/>
      <c r="D69" s="3786"/>
      <c r="E69" s="3787"/>
      <c r="F69" s="3788"/>
      <c r="G69" s="3808"/>
      <c r="H69" s="3808"/>
      <c r="I69" s="3808"/>
      <c r="J69" s="3176">
        <v>52</v>
      </c>
      <c r="K69" s="3179" t="s">
        <v>2548</v>
      </c>
      <c r="L69" s="3179" t="s">
        <v>2549</v>
      </c>
      <c r="M69" s="3222">
        <v>3</v>
      </c>
      <c r="N69" s="3176">
        <v>1</v>
      </c>
      <c r="O69" s="3176" t="s">
        <v>2550</v>
      </c>
      <c r="P69" s="3223" t="s">
        <v>2551</v>
      </c>
      <c r="Q69" s="3179" t="s">
        <v>2552</v>
      </c>
      <c r="R69" s="3775">
        <f>SUM(W69:W80)/S69</f>
        <v>1</v>
      </c>
      <c r="S69" s="3795">
        <f>SUM(W69:W80)</f>
        <v>119240000</v>
      </c>
      <c r="T69" s="3179" t="s">
        <v>2553</v>
      </c>
      <c r="U69" s="3214" t="s">
        <v>2554</v>
      </c>
      <c r="V69" s="3792" t="s">
        <v>2555</v>
      </c>
      <c r="W69" s="3794">
        <v>25000000</v>
      </c>
      <c r="X69" s="3781">
        <v>25000000</v>
      </c>
      <c r="Y69" s="3185"/>
      <c r="Z69" s="3216">
        <v>20</v>
      </c>
      <c r="AA69" s="3176" t="s">
        <v>2556</v>
      </c>
      <c r="AB69" s="3772">
        <v>294321</v>
      </c>
      <c r="AC69" s="3216">
        <v>88296</v>
      </c>
      <c r="AD69" s="3769">
        <v>283947</v>
      </c>
      <c r="AE69" s="3216">
        <v>85184</v>
      </c>
      <c r="AF69" s="3216">
        <v>135754</v>
      </c>
      <c r="AG69" s="3216">
        <v>40726</v>
      </c>
      <c r="AH69" s="3216">
        <v>44640</v>
      </c>
      <c r="AI69" s="3216">
        <v>13392</v>
      </c>
      <c r="AJ69" s="3188">
        <v>308178</v>
      </c>
      <c r="AK69" s="3188">
        <v>92453</v>
      </c>
      <c r="AL69" s="3216">
        <v>89696</v>
      </c>
      <c r="AM69" s="3216">
        <v>26909</v>
      </c>
      <c r="AN69" s="3216"/>
      <c r="AO69" s="1420"/>
      <c r="AP69" s="1420"/>
      <c r="AQ69" s="3216"/>
      <c r="AR69" s="1420"/>
      <c r="AS69" s="3216"/>
      <c r="AT69" s="1420"/>
      <c r="AU69" s="3216"/>
      <c r="AV69" s="1420"/>
      <c r="AW69" s="3216"/>
      <c r="AX69" s="1420"/>
      <c r="AY69" s="3216"/>
      <c r="AZ69" s="1420"/>
      <c r="BA69" s="3216"/>
      <c r="BB69" s="1420"/>
      <c r="BC69" s="3216"/>
      <c r="BD69" s="1420"/>
      <c r="BE69" s="3802"/>
      <c r="BF69" s="3769">
        <f>+AB69+AD69</f>
        <v>578268</v>
      </c>
      <c r="BG69" s="3216">
        <v>173480</v>
      </c>
      <c r="BH69" s="3216">
        <v>4</v>
      </c>
      <c r="BI69" s="3185">
        <f>+X69+X71+X73+X75+X77+X79</f>
        <v>89510000</v>
      </c>
      <c r="BJ69" s="3185">
        <f>+Y69+Y71+Y73+Y75+Y77+Y79</f>
        <v>6381000</v>
      </c>
      <c r="BK69" s="3182">
        <f>BJ69/BI69</f>
        <v>7.1288124231929387E-2</v>
      </c>
      <c r="BL69" s="3216" t="s">
        <v>2557</v>
      </c>
      <c r="BM69" s="3216" t="s">
        <v>2558</v>
      </c>
      <c r="BN69" s="3766">
        <v>43467</v>
      </c>
      <c r="BO69" s="3766">
        <v>43488</v>
      </c>
      <c r="BP69" s="3766">
        <v>43830</v>
      </c>
      <c r="BQ69" s="3758">
        <v>43652</v>
      </c>
      <c r="BR69" s="3799" t="s">
        <v>2471</v>
      </c>
    </row>
    <row r="70" spans="1:70" ht="33.75" customHeight="1" x14ac:dyDescent="0.2">
      <c r="A70" s="3864"/>
      <c r="B70" s="3864"/>
      <c r="C70" s="3369"/>
      <c r="D70" s="3786"/>
      <c r="E70" s="3787"/>
      <c r="F70" s="3788"/>
      <c r="G70" s="3808"/>
      <c r="H70" s="3808"/>
      <c r="I70" s="3808"/>
      <c r="J70" s="3177"/>
      <c r="K70" s="3180"/>
      <c r="L70" s="3180"/>
      <c r="M70" s="3224"/>
      <c r="N70" s="3177"/>
      <c r="O70" s="3177"/>
      <c r="P70" s="3225"/>
      <c r="Q70" s="3180"/>
      <c r="R70" s="3776"/>
      <c r="S70" s="3796"/>
      <c r="T70" s="3180"/>
      <c r="U70" s="3798"/>
      <c r="V70" s="3793"/>
      <c r="W70" s="3794"/>
      <c r="X70" s="3782"/>
      <c r="Y70" s="3187"/>
      <c r="Z70" s="3217"/>
      <c r="AA70" s="3177"/>
      <c r="AB70" s="3773"/>
      <c r="AC70" s="3237"/>
      <c r="AD70" s="3770"/>
      <c r="AE70" s="3237"/>
      <c r="AF70" s="3237"/>
      <c r="AG70" s="3237"/>
      <c r="AH70" s="3237"/>
      <c r="AI70" s="3237"/>
      <c r="AJ70" s="3242"/>
      <c r="AK70" s="3242"/>
      <c r="AL70" s="3237"/>
      <c r="AM70" s="3237"/>
      <c r="AN70" s="3237"/>
      <c r="AO70" s="1477"/>
      <c r="AP70" s="1477"/>
      <c r="AQ70" s="3237"/>
      <c r="AR70" s="1477"/>
      <c r="AS70" s="3237"/>
      <c r="AT70" s="1477"/>
      <c r="AU70" s="3237"/>
      <c r="AV70" s="1477"/>
      <c r="AW70" s="3237"/>
      <c r="AX70" s="1477"/>
      <c r="AY70" s="3237"/>
      <c r="AZ70" s="1477"/>
      <c r="BA70" s="3237"/>
      <c r="BB70" s="1477"/>
      <c r="BC70" s="3237"/>
      <c r="BD70" s="1477"/>
      <c r="BE70" s="3803"/>
      <c r="BF70" s="3770"/>
      <c r="BG70" s="3237"/>
      <c r="BH70" s="3237"/>
      <c r="BI70" s="3186"/>
      <c r="BJ70" s="3186"/>
      <c r="BK70" s="3183"/>
      <c r="BL70" s="3237"/>
      <c r="BM70" s="3237"/>
      <c r="BN70" s="3767"/>
      <c r="BO70" s="3767"/>
      <c r="BP70" s="3767"/>
      <c r="BQ70" s="3759"/>
      <c r="BR70" s="3800"/>
    </row>
    <row r="71" spans="1:70" ht="33.75" customHeight="1" x14ac:dyDescent="0.2">
      <c r="A71" s="3864"/>
      <c r="B71" s="3864"/>
      <c r="C71" s="3369"/>
      <c r="D71" s="3786"/>
      <c r="E71" s="3787"/>
      <c r="F71" s="3788"/>
      <c r="G71" s="3808"/>
      <c r="H71" s="3808"/>
      <c r="I71" s="3808"/>
      <c r="J71" s="3177"/>
      <c r="K71" s="3180"/>
      <c r="L71" s="3180"/>
      <c r="M71" s="3224"/>
      <c r="N71" s="3177"/>
      <c r="O71" s="3177"/>
      <c r="P71" s="3225"/>
      <c r="Q71" s="3180"/>
      <c r="R71" s="3776"/>
      <c r="S71" s="3796"/>
      <c r="T71" s="3180"/>
      <c r="U71" s="3798"/>
      <c r="V71" s="3792" t="s">
        <v>2559</v>
      </c>
      <c r="W71" s="3794">
        <v>25000000</v>
      </c>
      <c r="X71" s="3781">
        <f>11250000+605000</f>
        <v>11855000</v>
      </c>
      <c r="Y71" s="3185">
        <v>2798000</v>
      </c>
      <c r="Z71" s="3216">
        <v>20</v>
      </c>
      <c r="AA71" s="3177"/>
      <c r="AB71" s="3773"/>
      <c r="AC71" s="3237"/>
      <c r="AD71" s="3770"/>
      <c r="AE71" s="3237"/>
      <c r="AF71" s="3237"/>
      <c r="AG71" s="3237"/>
      <c r="AH71" s="3237"/>
      <c r="AI71" s="3237"/>
      <c r="AJ71" s="3242"/>
      <c r="AK71" s="3242"/>
      <c r="AL71" s="3237"/>
      <c r="AM71" s="3237"/>
      <c r="AN71" s="3237"/>
      <c r="AO71" s="1477"/>
      <c r="AP71" s="1477"/>
      <c r="AQ71" s="3237"/>
      <c r="AR71" s="1477"/>
      <c r="AS71" s="3237"/>
      <c r="AT71" s="1477"/>
      <c r="AU71" s="3237"/>
      <c r="AV71" s="1477"/>
      <c r="AW71" s="3237"/>
      <c r="AX71" s="1477"/>
      <c r="AY71" s="3237"/>
      <c r="AZ71" s="1477"/>
      <c r="BA71" s="3237"/>
      <c r="BB71" s="1477"/>
      <c r="BC71" s="3237"/>
      <c r="BD71" s="1477"/>
      <c r="BE71" s="3803"/>
      <c r="BF71" s="3770"/>
      <c r="BG71" s="3237"/>
      <c r="BH71" s="3237"/>
      <c r="BI71" s="3186"/>
      <c r="BJ71" s="3186"/>
      <c r="BK71" s="3183"/>
      <c r="BL71" s="3237"/>
      <c r="BM71" s="3237"/>
      <c r="BN71" s="3767"/>
      <c r="BO71" s="3767"/>
      <c r="BP71" s="3767"/>
      <c r="BQ71" s="3759"/>
      <c r="BR71" s="3800"/>
    </row>
    <row r="72" spans="1:70" ht="33.75" customHeight="1" x14ac:dyDescent="0.2">
      <c r="A72" s="3864"/>
      <c r="B72" s="3864"/>
      <c r="C72" s="3369"/>
      <c r="D72" s="3786"/>
      <c r="E72" s="3787"/>
      <c r="F72" s="3788"/>
      <c r="G72" s="3808"/>
      <c r="H72" s="3808"/>
      <c r="I72" s="3808"/>
      <c r="J72" s="3177"/>
      <c r="K72" s="3180"/>
      <c r="L72" s="3180"/>
      <c r="M72" s="3224"/>
      <c r="N72" s="3177"/>
      <c r="O72" s="3177"/>
      <c r="P72" s="3225"/>
      <c r="Q72" s="3180"/>
      <c r="R72" s="3776"/>
      <c r="S72" s="3796"/>
      <c r="T72" s="3180"/>
      <c r="U72" s="3798"/>
      <c r="V72" s="3793"/>
      <c r="W72" s="3794"/>
      <c r="X72" s="3782"/>
      <c r="Y72" s="3187"/>
      <c r="Z72" s="3217"/>
      <c r="AA72" s="3177"/>
      <c r="AB72" s="3773"/>
      <c r="AC72" s="3237"/>
      <c r="AD72" s="3770"/>
      <c r="AE72" s="3237"/>
      <c r="AF72" s="3237"/>
      <c r="AG72" s="3237"/>
      <c r="AH72" s="3237"/>
      <c r="AI72" s="3237"/>
      <c r="AJ72" s="3242"/>
      <c r="AK72" s="3242"/>
      <c r="AL72" s="3237"/>
      <c r="AM72" s="3237"/>
      <c r="AN72" s="3237"/>
      <c r="AO72" s="1477"/>
      <c r="AP72" s="1477"/>
      <c r="AQ72" s="3237"/>
      <c r="AR72" s="1477"/>
      <c r="AS72" s="3237"/>
      <c r="AT72" s="1477"/>
      <c r="AU72" s="3237"/>
      <c r="AV72" s="1477"/>
      <c r="AW72" s="3237"/>
      <c r="AX72" s="1477"/>
      <c r="AY72" s="3237"/>
      <c r="AZ72" s="1477"/>
      <c r="BA72" s="3237"/>
      <c r="BB72" s="1477"/>
      <c r="BC72" s="3237"/>
      <c r="BD72" s="1477"/>
      <c r="BE72" s="3803"/>
      <c r="BF72" s="3770"/>
      <c r="BG72" s="3237"/>
      <c r="BH72" s="3237"/>
      <c r="BI72" s="3186"/>
      <c r="BJ72" s="3186"/>
      <c r="BK72" s="3183"/>
      <c r="BL72" s="3237"/>
      <c r="BM72" s="3237"/>
      <c r="BN72" s="3767"/>
      <c r="BO72" s="3767"/>
      <c r="BP72" s="3767"/>
      <c r="BQ72" s="3759"/>
      <c r="BR72" s="3800"/>
    </row>
    <row r="73" spans="1:70" ht="33.75" customHeight="1" x14ac:dyDescent="0.2">
      <c r="A73" s="3864"/>
      <c r="B73" s="3864"/>
      <c r="C73" s="3369"/>
      <c r="D73" s="3786"/>
      <c r="E73" s="3787"/>
      <c r="F73" s="3788"/>
      <c r="G73" s="3808"/>
      <c r="H73" s="3808"/>
      <c r="I73" s="3808"/>
      <c r="J73" s="3177"/>
      <c r="K73" s="3180"/>
      <c r="L73" s="3180"/>
      <c r="M73" s="3224"/>
      <c r="N73" s="3177"/>
      <c r="O73" s="3177"/>
      <c r="P73" s="3225"/>
      <c r="Q73" s="3180"/>
      <c r="R73" s="3776"/>
      <c r="S73" s="3796"/>
      <c r="T73" s="3180"/>
      <c r="U73" s="3798"/>
      <c r="V73" s="3792" t="s">
        <v>2560</v>
      </c>
      <c r="W73" s="3794">
        <v>30000000</v>
      </c>
      <c r="X73" s="3781">
        <v>30000000</v>
      </c>
      <c r="Y73" s="3185"/>
      <c r="Z73" s="3216">
        <v>20</v>
      </c>
      <c r="AA73" s="3177"/>
      <c r="AB73" s="3773"/>
      <c r="AC73" s="3237"/>
      <c r="AD73" s="3770"/>
      <c r="AE73" s="3237"/>
      <c r="AF73" s="3237"/>
      <c r="AG73" s="3237"/>
      <c r="AH73" s="3237"/>
      <c r="AI73" s="3237"/>
      <c r="AJ73" s="3242"/>
      <c r="AK73" s="3242"/>
      <c r="AL73" s="3237"/>
      <c r="AM73" s="3237"/>
      <c r="AN73" s="3237"/>
      <c r="AO73" s="1477"/>
      <c r="AP73" s="1477"/>
      <c r="AQ73" s="3237"/>
      <c r="AR73" s="1477"/>
      <c r="AS73" s="3237"/>
      <c r="AT73" s="1477"/>
      <c r="AU73" s="3237"/>
      <c r="AV73" s="1477"/>
      <c r="AW73" s="3237"/>
      <c r="AX73" s="1477"/>
      <c r="AY73" s="3237"/>
      <c r="AZ73" s="1477"/>
      <c r="BA73" s="3237"/>
      <c r="BB73" s="1477"/>
      <c r="BC73" s="3237"/>
      <c r="BD73" s="1477"/>
      <c r="BE73" s="3803"/>
      <c r="BF73" s="3770"/>
      <c r="BG73" s="3237"/>
      <c r="BH73" s="3237"/>
      <c r="BI73" s="3186"/>
      <c r="BJ73" s="3186"/>
      <c r="BK73" s="3183"/>
      <c r="BL73" s="3237"/>
      <c r="BM73" s="3237"/>
      <c r="BN73" s="3767"/>
      <c r="BO73" s="3767"/>
      <c r="BP73" s="3767"/>
      <c r="BQ73" s="3759"/>
      <c r="BR73" s="3800"/>
    </row>
    <row r="74" spans="1:70" ht="33.75" customHeight="1" x14ac:dyDescent="0.2">
      <c r="A74" s="3864"/>
      <c r="B74" s="3864"/>
      <c r="C74" s="3369"/>
      <c r="D74" s="3786"/>
      <c r="E74" s="3787"/>
      <c r="F74" s="3788"/>
      <c r="G74" s="3808"/>
      <c r="H74" s="3808"/>
      <c r="I74" s="3808"/>
      <c r="J74" s="3177"/>
      <c r="K74" s="3180"/>
      <c r="L74" s="3180"/>
      <c r="M74" s="3224"/>
      <c r="N74" s="3177"/>
      <c r="O74" s="3177"/>
      <c r="P74" s="3225"/>
      <c r="Q74" s="3180"/>
      <c r="R74" s="3776"/>
      <c r="S74" s="3796"/>
      <c r="T74" s="3180"/>
      <c r="U74" s="3798"/>
      <c r="V74" s="3793"/>
      <c r="W74" s="3794"/>
      <c r="X74" s="3782"/>
      <c r="Y74" s="3187"/>
      <c r="Z74" s="3217"/>
      <c r="AA74" s="3177"/>
      <c r="AB74" s="3773"/>
      <c r="AC74" s="3237"/>
      <c r="AD74" s="3770"/>
      <c r="AE74" s="3237"/>
      <c r="AF74" s="3237"/>
      <c r="AG74" s="3237"/>
      <c r="AH74" s="3237"/>
      <c r="AI74" s="3237"/>
      <c r="AJ74" s="3242"/>
      <c r="AK74" s="3242"/>
      <c r="AL74" s="3237"/>
      <c r="AM74" s="3237"/>
      <c r="AN74" s="3237"/>
      <c r="AO74" s="1477"/>
      <c r="AP74" s="1477"/>
      <c r="AQ74" s="3237"/>
      <c r="AR74" s="1477"/>
      <c r="AS74" s="3237"/>
      <c r="AT74" s="1477"/>
      <c r="AU74" s="3237"/>
      <c r="AV74" s="1477"/>
      <c r="AW74" s="3237"/>
      <c r="AX74" s="1477"/>
      <c r="AY74" s="3237"/>
      <c r="AZ74" s="1477"/>
      <c r="BA74" s="3237"/>
      <c r="BB74" s="1477"/>
      <c r="BC74" s="3237"/>
      <c r="BD74" s="1477"/>
      <c r="BE74" s="3803"/>
      <c r="BF74" s="3770"/>
      <c r="BG74" s="3237"/>
      <c r="BH74" s="3237"/>
      <c r="BI74" s="3186"/>
      <c r="BJ74" s="3186"/>
      <c r="BK74" s="3183"/>
      <c r="BL74" s="3237"/>
      <c r="BM74" s="3237"/>
      <c r="BN74" s="3767"/>
      <c r="BO74" s="3767"/>
      <c r="BP74" s="3767"/>
      <c r="BQ74" s="3759"/>
      <c r="BR74" s="3800"/>
    </row>
    <row r="75" spans="1:70" ht="33.75" customHeight="1" x14ac:dyDescent="0.2">
      <c r="A75" s="3864"/>
      <c r="B75" s="3864"/>
      <c r="C75" s="3369"/>
      <c r="D75" s="3786"/>
      <c r="E75" s="3787"/>
      <c r="F75" s="3788"/>
      <c r="G75" s="3808"/>
      <c r="H75" s="3808"/>
      <c r="I75" s="3808"/>
      <c r="J75" s="3177"/>
      <c r="K75" s="3180"/>
      <c r="L75" s="3180"/>
      <c r="M75" s="3224"/>
      <c r="N75" s="3177"/>
      <c r="O75" s="3177"/>
      <c r="P75" s="3225"/>
      <c r="Q75" s="3180"/>
      <c r="R75" s="3776"/>
      <c r="S75" s="3796"/>
      <c r="T75" s="3180"/>
      <c r="U75" s="3798"/>
      <c r="V75" s="3792" t="s">
        <v>2561</v>
      </c>
      <c r="W75" s="3794">
        <v>12000000</v>
      </c>
      <c r="X75" s="3781"/>
      <c r="Y75" s="3185"/>
      <c r="Z75" s="3216">
        <v>20</v>
      </c>
      <c r="AA75" s="3177"/>
      <c r="AB75" s="3773"/>
      <c r="AC75" s="3237"/>
      <c r="AD75" s="3770"/>
      <c r="AE75" s="3237"/>
      <c r="AF75" s="3237"/>
      <c r="AG75" s="3237"/>
      <c r="AH75" s="3237"/>
      <c r="AI75" s="3237"/>
      <c r="AJ75" s="3242"/>
      <c r="AK75" s="3242"/>
      <c r="AL75" s="3237"/>
      <c r="AM75" s="3237"/>
      <c r="AN75" s="3237"/>
      <c r="AO75" s="1477"/>
      <c r="AP75" s="1477"/>
      <c r="AQ75" s="3237"/>
      <c r="AR75" s="1477"/>
      <c r="AS75" s="3237"/>
      <c r="AT75" s="1477"/>
      <c r="AU75" s="3237"/>
      <c r="AV75" s="1477"/>
      <c r="AW75" s="3237"/>
      <c r="AX75" s="1477"/>
      <c r="AY75" s="3237"/>
      <c r="AZ75" s="1477"/>
      <c r="BA75" s="3237"/>
      <c r="BB75" s="1477"/>
      <c r="BC75" s="3237"/>
      <c r="BD75" s="1477"/>
      <c r="BE75" s="3803"/>
      <c r="BF75" s="3770"/>
      <c r="BG75" s="3237"/>
      <c r="BH75" s="3237"/>
      <c r="BI75" s="3186"/>
      <c r="BJ75" s="3186"/>
      <c r="BK75" s="3183"/>
      <c r="BL75" s="3237"/>
      <c r="BM75" s="3237"/>
      <c r="BN75" s="3767"/>
      <c r="BO75" s="3767"/>
      <c r="BP75" s="3767"/>
      <c r="BQ75" s="3759"/>
      <c r="BR75" s="3800"/>
    </row>
    <row r="76" spans="1:70" ht="57.75" customHeight="1" x14ac:dyDescent="0.2">
      <c r="A76" s="3864"/>
      <c r="B76" s="3864"/>
      <c r="C76" s="3369"/>
      <c r="D76" s="3786"/>
      <c r="E76" s="3787"/>
      <c r="F76" s="3788"/>
      <c r="G76" s="3808"/>
      <c r="H76" s="3808"/>
      <c r="I76" s="3808"/>
      <c r="J76" s="3177"/>
      <c r="K76" s="3180"/>
      <c r="L76" s="3180"/>
      <c r="M76" s="3224"/>
      <c r="N76" s="3177"/>
      <c r="O76" s="3177"/>
      <c r="P76" s="3225"/>
      <c r="Q76" s="3180"/>
      <c r="R76" s="3776"/>
      <c r="S76" s="3796"/>
      <c r="T76" s="3180"/>
      <c r="U76" s="3798"/>
      <c r="V76" s="3793"/>
      <c r="W76" s="3794"/>
      <c r="X76" s="3782"/>
      <c r="Y76" s="3187"/>
      <c r="Z76" s="3217"/>
      <c r="AA76" s="3177"/>
      <c r="AB76" s="3773"/>
      <c r="AC76" s="3237"/>
      <c r="AD76" s="3770"/>
      <c r="AE76" s="3237"/>
      <c r="AF76" s="3237"/>
      <c r="AG76" s="3237"/>
      <c r="AH76" s="3237"/>
      <c r="AI76" s="3237"/>
      <c r="AJ76" s="3242"/>
      <c r="AK76" s="3242"/>
      <c r="AL76" s="3237"/>
      <c r="AM76" s="3237"/>
      <c r="AN76" s="3237"/>
      <c r="AO76" s="1477"/>
      <c r="AP76" s="1477"/>
      <c r="AQ76" s="3237"/>
      <c r="AR76" s="1477"/>
      <c r="AS76" s="3237"/>
      <c r="AT76" s="1477"/>
      <c r="AU76" s="3237"/>
      <c r="AV76" s="1477"/>
      <c r="AW76" s="3237"/>
      <c r="AX76" s="1477"/>
      <c r="AY76" s="3237"/>
      <c r="AZ76" s="1477"/>
      <c r="BA76" s="3237"/>
      <c r="BB76" s="1477"/>
      <c r="BC76" s="3237"/>
      <c r="BD76" s="1477"/>
      <c r="BE76" s="3803"/>
      <c r="BF76" s="3770"/>
      <c r="BG76" s="3237"/>
      <c r="BH76" s="3237"/>
      <c r="BI76" s="3186"/>
      <c r="BJ76" s="3186"/>
      <c r="BK76" s="3183"/>
      <c r="BL76" s="3237"/>
      <c r="BM76" s="3237"/>
      <c r="BN76" s="3767"/>
      <c r="BO76" s="3767"/>
      <c r="BP76" s="3767"/>
      <c r="BQ76" s="3759"/>
      <c r="BR76" s="3800"/>
    </row>
    <row r="77" spans="1:70" ht="54" customHeight="1" x14ac:dyDescent="0.2">
      <c r="A77" s="3864"/>
      <c r="B77" s="3864"/>
      <c r="C77" s="3369"/>
      <c r="D77" s="3786"/>
      <c r="E77" s="3787"/>
      <c r="F77" s="3788"/>
      <c r="G77" s="3808"/>
      <c r="H77" s="3808"/>
      <c r="I77" s="3808"/>
      <c r="J77" s="3177"/>
      <c r="K77" s="3180"/>
      <c r="L77" s="3180"/>
      <c r="M77" s="3224"/>
      <c r="N77" s="3177"/>
      <c r="O77" s="3177"/>
      <c r="P77" s="3225"/>
      <c r="Q77" s="3180"/>
      <c r="R77" s="3776"/>
      <c r="S77" s="3796"/>
      <c r="T77" s="3180"/>
      <c r="U77" s="3798"/>
      <c r="V77" s="3792" t="s">
        <v>2562</v>
      </c>
      <c r="W77" s="3794">
        <v>4740000</v>
      </c>
      <c r="X77" s="3781">
        <v>4740000</v>
      </c>
      <c r="Y77" s="3185"/>
      <c r="Z77" s="3216">
        <v>20</v>
      </c>
      <c r="AA77" s="3177"/>
      <c r="AB77" s="3773"/>
      <c r="AC77" s="3237"/>
      <c r="AD77" s="3770"/>
      <c r="AE77" s="3237"/>
      <c r="AF77" s="3237"/>
      <c r="AG77" s="3237"/>
      <c r="AH77" s="3237"/>
      <c r="AI77" s="3237"/>
      <c r="AJ77" s="3242"/>
      <c r="AK77" s="3242"/>
      <c r="AL77" s="3237"/>
      <c r="AM77" s="3237"/>
      <c r="AN77" s="3237"/>
      <c r="AO77" s="1477"/>
      <c r="AP77" s="1477"/>
      <c r="AQ77" s="3237"/>
      <c r="AR77" s="1477"/>
      <c r="AS77" s="3237"/>
      <c r="AT77" s="1477"/>
      <c r="AU77" s="3237"/>
      <c r="AV77" s="1477"/>
      <c r="AW77" s="3237"/>
      <c r="AX77" s="1477"/>
      <c r="AY77" s="3237"/>
      <c r="AZ77" s="1477"/>
      <c r="BA77" s="3237"/>
      <c r="BB77" s="1477"/>
      <c r="BC77" s="3237"/>
      <c r="BD77" s="1477"/>
      <c r="BE77" s="3803"/>
      <c r="BF77" s="3770"/>
      <c r="BG77" s="3237"/>
      <c r="BH77" s="3237"/>
      <c r="BI77" s="3186"/>
      <c r="BJ77" s="3186"/>
      <c r="BK77" s="3183"/>
      <c r="BL77" s="3237"/>
      <c r="BM77" s="3237"/>
      <c r="BN77" s="3767"/>
      <c r="BO77" s="3767"/>
      <c r="BP77" s="3767"/>
      <c r="BQ77" s="3759"/>
      <c r="BR77" s="3800"/>
    </row>
    <row r="78" spans="1:70" ht="33.75" customHeight="1" x14ac:dyDescent="0.2">
      <c r="A78" s="3864"/>
      <c r="B78" s="3864"/>
      <c r="C78" s="3369"/>
      <c r="D78" s="3786"/>
      <c r="E78" s="3787"/>
      <c r="F78" s="3788"/>
      <c r="G78" s="3808"/>
      <c r="H78" s="3808"/>
      <c r="I78" s="3808"/>
      <c r="J78" s="3177"/>
      <c r="K78" s="3180"/>
      <c r="L78" s="3180"/>
      <c r="M78" s="3224"/>
      <c r="N78" s="3177"/>
      <c r="O78" s="3177"/>
      <c r="P78" s="3225"/>
      <c r="Q78" s="3180"/>
      <c r="R78" s="3776"/>
      <c r="S78" s="3796"/>
      <c r="T78" s="3180"/>
      <c r="U78" s="3798"/>
      <c r="V78" s="3793"/>
      <c r="W78" s="3794"/>
      <c r="X78" s="3782"/>
      <c r="Y78" s="3187"/>
      <c r="Z78" s="3217"/>
      <c r="AA78" s="3177"/>
      <c r="AB78" s="3773"/>
      <c r="AC78" s="3237"/>
      <c r="AD78" s="3770"/>
      <c r="AE78" s="3237"/>
      <c r="AF78" s="3237"/>
      <c r="AG78" s="3237"/>
      <c r="AH78" s="3237"/>
      <c r="AI78" s="3237"/>
      <c r="AJ78" s="3242"/>
      <c r="AK78" s="3242"/>
      <c r="AL78" s="3237"/>
      <c r="AM78" s="3237"/>
      <c r="AN78" s="3237"/>
      <c r="AO78" s="1477"/>
      <c r="AP78" s="1477"/>
      <c r="AQ78" s="3237"/>
      <c r="AR78" s="1477"/>
      <c r="AS78" s="3237"/>
      <c r="AT78" s="1477"/>
      <c r="AU78" s="3237"/>
      <c r="AV78" s="1477"/>
      <c r="AW78" s="3237"/>
      <c r="AX78" s="1477"/>
      <c r="AY78" s="3237"/>
      <c r="AZ78" s="1477"/>
      <c r="BA78" s="3237"/>
      <c r="BB78" s="1477"/>
      <c r="BC78" s="3237"/>
      <c r="BD78" s="1477"/>
      <c r="BE78" s="3803"/>
      <c r="BF78" s="3770"/>
      <c r="BG78" s="3237"/>
      <c r="BH78" s="3237"/>
      <c r="BI78" s="3186"/>
      <c r="BJ78" s="3186"/>
      <c r="BK78" s="3183"/>
      <c r="BL78" s="3237"/>
      <c r="BM78" s="3237"/>
      <c r="BN78" s="3767"/>
      <c r="BO78" s="3767"/>
      <c r="BP78" s="3767"/>
      <c r="BQ78" s="3759"/>
      <c r="BR78" s="3800"/>
    </row>
    <row r="79" spans="1:70" ht="33.75" customHeight="1" x14ac:dyDescent="0.2">
      <c r="A79" s="3864"/>
      <c r="B79" s="3864"/>
      <c r="C79" s="3369"/>
      <c r="D79" s="3786"/>
      <c r="E79" s="3787"/>
      <c r="F79" s="3788"/>
      <c r="G79" s="3808"/>
      <c r="H79" s="3808"/>
      <c r="I79" s="3808"/>
      <c r="J79" s="3177"/>
      <c r="K79" s="3180"/>
      <c r="L79" s="3180"/>
      <c r="M79" s="3224"/>
      <c r="N79" s="3177"/>
      <c r="O79" s="3177"/>
      <c r="P79" s="3225"/>
      <c r="Q79" s="3180"/>
      <c r="R79" s="3776"/>
      <c r="S79" s="3796"/>
      <c r="T79" s="3180"/>
      <c r="U79" s="3798"/>
      <c r="V79" s="3792" t="s">
        <v>2563</v>
      </c>
      <c r="W79" s="3794">
        <v>22500000</v>
      </c>
      <c r="X79" s="3781">
        <v>17915000</v>
      </c>
      <c r="Y79" s="3185">
        <v>3583000</v>
      </c>
      <c r="Z79" s="3216">
        <v>20</v>
      </c>
      <c r="AA79" s="3177"/>
      <c r="AB79" s="3773"/>
      <c r="AC79" s="3237"/>
      <c r="AD79" s="3770"/>
      <c r="AE79" s="3237"/>
      <c r="AF79" s="3237"/>
      <c r="AG79" s="3237"/>
      <c r="AH79" s="3237"/>
      <c r="AI79" s="3237"/>
      <c r="AJ79" s="3242"/>
      <c r="AK79" s="3242"/>
      <c r="AL79" s="3237"/>
      <c r="AM79" s="3237"/>
      <c r="AN79" s="3237"/>
      <c r="AO79" s="1477"/>
      <c r="AP79" s="1477"/>
      <c r="AQ79" s="3237"/>
      <c r="AR79" s="1477"/>
      <c r="AS79" s="3237"/>
      <c r="AT79" s="1477"/>
      <c r="AU79" s="3237"/>
      <c r="AV79" s="1477"/>
      <c r="AW79" s="3237"/>
      <c r="AX79" s="1477"/>
      <c r="AY79" s="3237"/>
      <c r="AZ79" s="1477"/>
      <c r="BA79" s="3237"/>
      <c r="BB79" s="1477"/>
      <c r="BC79" s="3237"/>
      <c r="BD79" s="1477"/>
      <c r="BE79" s="3803"/>
      <c r="BF79" s="3770"/>
      <c r="BG79" s="3237"/>
      <c r="BH79" s="3237"/>
      <c r="BI79" s="3186"/>
      <c r="BJ79" s="3186"/>
      <c r="BK79" s="3183"/>
      <c r="BL79" s="3237"/>
      <c r="BM79" s="3237"/>
      <c r="BN79" s="3767"/>
      <c r="BO79" s="3767"/>
      <c r="BP79" s="3767"/>
      <c r="BQ79" s="3759"/>
      <c r="BR79" s="3800"/>
    </row>
    <row r="80" spans="1:70" ht="33.75" customHeight="1" x14ac:dyDescent="0.2">
      <c r="A80" s="3864"/>
      <c r="B80" s="3864"/>
      <c r="C80" s="3369"/>
      <c r="D80" s="3786"/>
      <c r="E80" s="3787"/>
      <c r="F80" s="3788"/>
      <c r="G80" s="3808"/>
      <c r="H80" s="3808"/>
      <c r="I80" s="3808"/>
      <c r="J80" s="3178"/>
      <c r="K80" s="3181"/>
      <c r="L80" s="3181"/>
      <c r="M80" s="3226"/>
      <c r="N80" s="3178"/>
      <c r="O80" s="3178"/>
      <c r="P80" s="3227"/>
      <c r="Q80" s="3181"/>
      <c r="R80" s="3777"/>
      <c r="S80" s="3797"/>
      <c r="T80" s="3181"/>
      <c r="U80" s="3215"/>
      <c r="V80" s="3793"/>
      <c r="W80" s="3794"/>
      <c r="X80" s="3782"/>
      <c r="Y80" s="3187"/>
      <c r="Z80" s="3217"/>
      <c r="AA80" s="3178"/>
      <c r="AB80" s="3774"/>
      <c r="AC80" s="3217"/>
      <c r="AD80" s="3771"/>
      <c r="AE80" s="3217"/>
      <c r="AF80" s="3217"/>
      <c r="AG80" s="3217"/>
      <c r="AH80" s="3217"/>
      <c r="AI80" s="3217"/>
      <c r="AJ80" s="3189"/>
      <c r="AK80" s="3189"/>
      <c r="AL80" s="3217"/>
      <c r="AM80" s="3217"/>
      <c r="AN80" s="3217"/>
      <c r="AO80" s="2181"/>
      <c r="AP80" s="2181"/>
      <c r="AQ80" s="3217"/>
      <c r="AR80" s="2181"/>
      <c r="AS80" s="3217"/>
      <c r="AT80" s="2181"/>
      <c r="AU80" s="3217"/>
      <c r="AV80" s="2181"/>
      <c r="AW80" s="3217"/>
      <c r="AX80" s="2181"/>
      <c r="AY80" s="3217"/>
      <c r="AZ80" s="2181"/>
      <c r="BA80" s="3217"/>
      <c r="BB80" s="2181"/>
      <c r="BC80" s="3217"/>
      <c r="BD80" s="2181"/>
      <c r="BE80" s="3804"/>
      <c r="BF80" s="3771"/>
      <c r="BG80" s="3217"/>
      <c r="BH80" s="3237"/>
      <c r="BI80" s="3187"/>
      <c r="BJ80" s="3187"/>
      <c r="BK80" s="3184"/>
      <c r="BL80" s="3217"/>
      <c r="BM80" s="3217"/>
      <c r="BN80" s="3768"/>
      <c r="BO80" s="3768"/>
      <c r="BP80" s="3768"/>
      <c r="BQ80" s="3760"/>
      <c r="BR80" s="3801"/>
    </row>
    <row r="81" spans="1:70" ht="27" customHeight="1" x14ac:dyDescent="0.2">
      <c r="A81" s="3864"/>
      <c r="B81" s="3864"/>
      <c r="C81" s="3369"/>
      <c r="D81" s="3786"/>
      <c r="E81" s="3787"/>
      <c r="F81" s="3788"/>
      <c r="G81" s="2595">
        <v>13</v>
      </c>
      <c r="H81" s="1494" t="s">
        <v>2564</v>
      </c>
      <c r="I81" s="1458"/>
      <c r="J81" s="1458"/>
      <c r="K81" s="1458"/>
      <c r="L81" s="1458"/>
      <c r="M81" s="1458"/>
      <c r="N81" s="1458"/>
      <c r="O81" s="1458"/>
      <c r="P81" s="1458"/>
      <c r="Q81" s="1458"/>
      <c r="R81" s="1458"/>
      <c r="S81" s="1458"/>
      <c r="T81" s="1458"/>
      <c r="U81" s="1458"/>
      <c r="V81" s="1458"/>
      <c r="W81" s="1458"/>
      <c r="X81" s="1458"/>
      <c r="Y81" s="1458"/>
      <c r="Z81" s="1458"/>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4"/>
      <c r="BA81" s="954"/>
      <c r="BB81" s="954"/>
      <c r="BC81" s="954"/>
      <c r="BD81" s="954"/>
      <c r="BE81" s="954"/>
      <c r="BF81" s="954"/>
      <c r="BG81" s="954"/>
      <c r="BH81" s="1458"/>
      <c r="BI81" s="1458"/>
      <c r="BJ81" s="1458"/>
      <c r="BK81" s="1458"/>
      <c r="BL81" s="1458"/>
      <c r="BM81" s="1458"/>
      <c r="BN81" s="1458"/>
      <c r="BO81" s="1458"/>
      <c r="BP81" s="1458"/>
      <c r="BQ81" s="1458"/>
      <c r="BR81" s="2601"/>
    </row>
    <row r="82" spans="1:70" ht="49.5" customHeight="1" x14ac:dyDescent="0.2">
      <c r="A82" s="3864"/>
      <c r="B82" s="3864"/>
      <c r="C82" s="3369"/>
      <c r="D82" s="3786"/>
      <c r="E82" s="3787"/>
      <c r="F82" s="3788"/>
      <c r="G82" s="3783"/>
      <c r="H82" s="3784"/>
      <c r="I82" s="3785"/>
      <c r="J82" s="3256">
        <v>53</v>
      </c>
      <c r="K82" s="3176" t="s">
        <v>2565</v>
      </c>
      <c r="L82" s="3176" t="s">
        <v>2566</v>
      </c>
      <c r="M82" s="3176">
        <v>1</v>
      </c>
      <c r="N82" s="3594">
        <v>0.4</v>
      </c>
      <c r="O82" s="3176" t="s">
        <v>2567</v>
      </c>
      <c r="P82" s="3176" t="s">
        <v>2568</v>
      </c>
      <c r="Q82" s="3176" t="s">
        <v>2569</v>
      </c>
      <c r="R82" s="3775">
        <f>SUM(W82:W85)/S82</f>
        <v>1</v>
      </c>
      <c r="S82" s="3778">
        <f>SUM(W82:W85)</f>
        <v>1263965511</v>
      </c>
      <c r="T82" s="3176" t="s">
        <v>2570</v>
      </c>
      <c r="U82" s="3188" t="s">
        <v>2571</v>
      </c>
      <c r="V82" s="3179" t="s">
        <v>2572</v>
      </c>
      <c r="W82" s="2526">
        <f>+'[2]Metas y Proyectos'!O36</f>
        <v>248604326</v>
      </c>
      <c r="X82" s="2526">
        <f>+'[2]Metas y Proyectos'!P36</f>
        <v>172628611</v>
      </c>
      <c r="Y82" s="2526">
        <f>+'[2]Metas y Proyectos'!Q36</f>
        <v>117394000</v>
      </c>
      <c r="Z82" s="1418">
        <v>20</v>
      </c>
      <c r="AA82" s="1417" t="s">
        <v>71</v>
      </c>
      <c r="AB82" s="3772">
        <v>294321</v>
      </c>
      <c r="AC82" s="3216">
        <v>88296</v>
      </c>
      <c r="AD82" s="3769">
        <v>283947</v>
      </c>
      <c r="AE82" s="3216">
        <v>85184</v>
      </c>
      <c r="AF82" s="3216">
        <v>135754</v>
      </c>
      <c r="AG82" s="3216">
        <v>40726</v>
      </c>
      <c r="AH82" s="3216">
        <v>44640</v>
      </c>
      <c r="AI82" s="3216">
        <v>13392</v>
      </c>
      <c r="AJ82" s="3188">
        <v>308178</v>
      </c>
      <c r="AK82" s="3188">
        <v>92453</v>
      </c>
      <c r="AL82" s="3216">
        <v>89696</v>
      </c>
      <c r="AM82" s="3216">
        <v>26909</v>
      </c>
      <c r="AN82" s="3594"/>
      <c r="AO82" s="3594"/>
      <c r="AP82" s="3594"/>
      <c r="AQ82" s="3594"/>
      <c r="AR82" s="3594"/>
      <c r="AS82" s="3594"/>
      <c r="AT82" s="3594"/>
      <c r="AU82" s="3594"/>
      <c r="AV82" s="3594"/>
      <c r="AW82" s="3594"/>
      <c r="AX82" s="3594"/>
      <c r="AY82" s="3594"/>
      <c r="AZ82" s="3594"/>
      <c r="BA82" s="3594"/>
      <c r="BB82" s="3594"/>
      <c r="BC82" s="3594"/>
      <c r="BD82" s="3594"/>
      <c r="BE82" s="3594"/>
      <c r="BF82" s="3769">
        <f>+AB82+AD82</f>
        <v>578268</v>
      </c>
      <c r="BG82" s="3216">
        <v>173480</v>
      </c>
      <c r="BH82" s="3216">
        <v>5</v>
      </c>
      <c r="BI82" s="3185">
        <f>+X82+X83+X84+X85</f>
        <v>701630000</v>
      </c>
      <c r="BJ82" s="3185">
        <f>+Y82+Y83+Y84+Y85</f>
        <v>117394000</v>
      </c>
      <c r="BK82" s="3182">
        <f>BJ82/BI82</f>
        <v>0.16731610677992675</v>
      </c>
      <c r="BL82" s="3216" t="s">
        <v>2573</v>
      </c>
      <c r="BM82" s="3216" t="s">
        <v>2574</v>
      </c>
      <c r="BN82" s="3766">
        <v>43467</v>
      </c>
      <c r="BO82" s="3766">
        <v>43487</v>
      </c>
      <c r="BP82" s="3766">
        <v>43830</v>
      </c>
      <c r="BQ82" s="3758">
        <v>43830</v>
      </c>
      <c r="BR82" s="3761" t="s">
        <v>2471</v>
      </c>
    </row>
    <row r="83" spans="1:70" ht="49.5" customHeight="1" x14ac:dyDescent="0.2">
      <c r="A83" s="3864"/>
      <c r="B83" s="3864"/>
      <c r="C83" s="3369"/>
      <c r="D83" s="3786"/>
      <c r="E83" s="3787"/>
      <c r="F83" s="3788"/>
      <c r="G83" s="3786"/>
      <c r="H83" s="3787"/>
      <c r="I83" s="3788"/>
      <c r="J83" s="3257"/>
      <c r="K83" s="3177"/>
      <c r="L83" s="3177"/>
      <c r="M83" s="3177"/>
      <c r="N83" s="3595"/>
      <c r="O83" s="3177"/>
      <c r="P83" s="3177"/>
      <c r="Q83" s="3177"/>
      <c r="R83" s="3776"/>
      <c r="S83" s="3779"/>
      <c r="T83" s="3177"/>
      <c r="U83" s="3242"/>
      <c r="V83" s="3180"/>
      <c r="W83" s="2619">
        <f>581320553-W86</f>
        <v>413395674</v>
      </c>
      <c r="X83" s="2526">
        <f>+'[2]Metas y Proyectos'!P37</f>
        <v>310001389</v>
      </c>
      <c r="Y83" s="2526">
        <f>+'[2]Metas y Proyectos'!Q37</f>
        <v>0</v>
      </c>
      <c r="Z83" s="1418">
        <v>52</v>
      </c>
      <c r="AA83" s="1417" t="s">
        <v>2575</v>
      </c>
      <c r="AB83" s="3773"/>
      <c r="AC83" s="3237"/>
      <c r="AD83" s="3770"/>
      <c r="AE83" s="3237"/>
      <c r="AF83" s="3237"/>
      <c r="AG83" s="3237"/>
      <c r="AH83" s="3237"/>
      <c r="AI83" s="3237"/>
      <c r="AJ83" s="3242"/>
      <c r="AK83" s="3242"/>
      <c r="AL83" s="3237"/>
      <c r="AM83" s="3237"/>
      <c r="AN83" s="3595"/>
      <c r="AO83" s="3595"/>
      <c r="AP83" s="3595"/>
      <c r="AQ83" s="3595"/>
      <c r="AR83" s="3595"/>
      <c r="AS83" s="3595"/>
      <c r="AT83" s="3595"/>
      <c r="AU83" s="3595"/>
      <c r="AV83" s="3595"/>
      <c r="AW83" s="3595"/>
      <c r="AX83" s="3595"/>
      <c r="AY83" s="3595"/>
      <c r="AZ83" s="3595"/>
      <c r="BA83" s="3595"/>
      <c r="BB83" s="3595"/>
      <c r="BC83" s="3595"/>
      <c r="BD83" s="3595"/>
      <c r="BE83" s="3595"/>
      <c r="BF83" s="3770"/>
      <c r="BG83" s="3237"/>
      <c r="BH83" s="3237"/>
      <c r="BI83" s="3186"/>
      <c r="BJ83" s="3186"/>
      <c r="BK83" s="3183"/>
      <c r="BL83" s="3237"/>
      <c r="BM83" s="3237"/>
      <c r="BN83" s="3767"/>
      <c r="BO83" s="3767"/>
      <c r="BP83" s="3767"/>
      <c r="BQ83" s="3759"/>
      <c r="BR83" s="3761"/>
    </row>
    <row r="84" spans="1:70" ht="49.5" customHeight="1" x14ac:dyDescent="0.2">
      <c r="A84" s="3864"/>
      <c r="B84" s="3864"/>
      <c r="C84" s="3369"/>
      <c r="D84" s="3786"/>
      <c r="E84" s="3787"/>
      <c r="F84" s="3788"/>
      <c r="G84" s="3786"/>
      <c r="H84" s="3787"/>
      <c r="I84" s="3788"/>
      <c r="J84" s="3257"/>
      <c r="K84" s="3177"/>
      <c r="L84" s="3177"/>
      <c r="M84" s="3177"/>
      <c r="N84" s="3595"/>
      <c r="O84" s="3177"/>
      <c r="P84" s="3177"/>
      <c r="Q84" s="3177"/>
      <c r="R84" s="3776"/>
      <c r="S84" s="3779"/>
      <c r="T84" s="3177"/>
      <c r="U84" s="3242"/>
      <c r="V84" s="3180"/>
      <c r="W84" s="2526">
        <f>+'[2]Metas y Proyectos'!O38</f>
        <v>528998611</v>
      </c>
      <c r="X84" s="2526">
        <f>+'[2]Metas y Proyectos'!P38</f>
        <v>219000000</v>
      </c>
      <c r="Y84" s="2526">
        <f>+'[2]Metas y Proyectos'!Q38</f>
        <v>0</v>
      </c>
      <c r="Z84" s="2620">
        <v>88</v>
      </c>
      <c r="AA84" s="1533" t="s">
        <v>467</v>
      </c>
      <c r="AB84" s="3773"/>
      <c r="AC84" s="3237"/>
      <c r="AD84" s="3770"/>
      <c r="AE84" s="3237"/>
      <c r="AF84" s="3237"/>
      <c r="AG84" s="3237"/>
      <c r="AH84" s="3237"/>
      <c r="AI84" s="3237"/>
      <c r="AJ84" s="3242"/>
      <c r="AK84" s="3242"/>
      <c r="AL84" s="3237"/>
      <c r="AM84" s="3237"/>
      <c r="AN84" s="3595"/>
      <c r="AO84" s="3595"/>
      <c r="AP84" s="3595"/>
      <c r="AQ84" s="3595"/>
      <c r="AR84" s="3595"/>
      <c r="AS84" s="3595"/>
      <c r="AT84" s="3595"/>
      <c r="AU84" s="3595"/>
      <c r="AV84" s="3595"/>
      <c r="AW84" s="3595"/>
      <c r="AX84" s="3595"/>
      <c r="AY84" s="3595"/>
      <c r="AZ84" s="3595"/>
      <c r="BA84" s="3595"/>
      <c r="BB84" s="3595"/>
      <c r="BC84" s="3595"/>
      <c r="BD84" s="3595"/>
      <c r="BE84" s="3595"/>
      <c r="BF84" s="3770"/>
      <c r="BG84" s="3237"/>
      <c r="BH84" s="3237"/>
      <c r="BI84" s="3186"/>
      <c r="BJ84" s="3186"/>
      <c r="BK84" s="3183"/>
      <c r="BL84" s="3237"/>
      <c r="BM84" s="3237"/>
      <c r="BN84" s="3767"/>
      <c r="BO84" s="3767"/>
      <c r="BP84" s="3767"/>
      <c r="BQ84" s="3759"/>
      <c r="BR84" s="3761"/>
    </row>
    <row r="85" spans="1:70" ht="49.5" customHeight="1" x14ac:dyDescent="0.2">
      <c r="A85" s="3864"/>
      <c r="B85" s="3864"/>
      <c r="C85" s="3369"/>
      <c r="D85" s="3786"/>
      <c r="E85" s="3787"/>
      <c r="F85" s="3788"/>
      <c r="G85" s="3786"/>
      <c r="H85" s="3787"/>
      <c r="I85" s="3788"/>
      <c r="J85" s="3257"/>
      <c r="K85" s="3177"/>
      <c r="L85" s="3177"/>
      <c r="M85" s="3177"/>
      <c r="N85" s="3595"/>
      <c r="O85" s="3177"/>
      <c r="P85" s="3177"/>
      <c r="Q85" s="3177"/>
      <c r="R85" s="3776"/>
      <c r="S85" s="3779"/>
      <c r="T85" s="3177"/>
      <c r="U85" s="3242"/>
      <c r="V85" s="3180"/>
      <c r="W85" s="2521">
        <f>+'[2]Metas y Proyectos'!O39</f>
        <v>72966900</v>
      </c>
      <c r="X85" s="2521">
        <f>+'[2]Metas y Proyectos'!P39</f>
        <v>0</v>
      </c>
      <c r="Y85" s="2521">
        <f>+'[2]Metas y Proyectos'!Q39</f>
        <v>0</v>
      </c>
      <c r="Z85" s="2170">
        <v>94</v>
      </c>
      <c r="AA85" s="2170" t="s">
        <v>2576</v>
      </c>
      <c r="AB85" s="3773"/>
      <c r="AC85" s="3237"/>
      <c r="AD85" s="3770"/>
      <c r="AE85" s="3237"/>
      <c r="AF85" s="3237"/>
      <c r="AG85" s="3237"/>
      <c r="AH85" s="3237"/>
      <c r="AI85" s="3237"/>
      <c r="AJ85" s="3242"/>
      <c r="AK85" s="3242"/>
      <c r="AL85" s="3237"/>
      <c r="AM85" s="3237"/>
      <c r="AN85" s="3595"/>
      <c r="AO85" s="3595"/>
      <c r="AP85" s="3595"/>
      <c r="AQ85" s="3595"/>
      <c r="AR85" s="3595"/>
      <c r="AS85" s="3595"/>
      <c r="AT85" s="3595"/>
      <c r="AU85" s="3595"/>
      <c r="AV85" s="3595"/>
      <c r="AW85" s="3595"/>
      <c r="AX85" s="3595"/>
      <c r="AY85" s="3595"/>
      <c r="AZ85" s="3595"/>
      <c r="BA85" s="3595"/>
      <c r="BB85" s="3595"/>
      <c r="BC85" s="3595"/>
      <c r="BD85" s="3595"/>
      <c r="BE85" s="3595"/>
      <c r="BF85" s="3770"/>
      <c r="BG85" s="3237"/>
      <c r="BH85" s="3237"/>
      <c r="BI85" s="3186"/>
      <c r="BJ85" s="3186"/>
      <c r="BK85" s="3183"/>
      <c r="BL85" s="3237"/>
      <c r="BM85" s="3237"/>
      <c r="BN85" s="3767"/>
      <c r="BO85" s="3767"/>
      <c r="BP85" s="3767"/>
      <c r="BQ85" s="3759"/>
      <c r="BR85" s="3761"/>
    </row>
    <row r="86" spans="1:70" ht="106.5" customHeight="1" x14ac:dyDescent="0.2">
      <c r="A86" s="3865"/>
      <c r="B86" s="3865"/>
      <c r="C86" s="3370"/>
      <c r="D86" s="3789"/>
      <c r="E86" s="3790"/>
      <c r="F86" s="3791"/>
      <c r="G86" s="3789"/>
      <c r="H86" s="3790"/>
      <c r="I86" s="3791"/>
      <c r="J86" s="3258"/>
      <c r="K86" s="3178"/>
      <c r="L86" s="3178"/>
      <c r="M86" s="3178"/>
      <c r="N86" s="3596"/>
      <c r="O86" s="3178"/>
      <c r="P86" s="3178"/>
      <c r="Q86" s="3178"/>
      <c r="R86" s="3777"/>
      <c r="S86" s="3780"/>
      <c r="T86" s="3178"/>
      <c r="U86" s="3189"/>
      <c r="V86" s="994" t="s">
        <v>2577</v>
      </c>
      <c r="W86" s="2526">
        <v>167924879</v>
      </c>
      <c r="X86" s="2526">
        <v>0</v>
      </c>
      <c r="Y86" s="2526">
        <v>0</v>
      </c>
      <c r="Z86" s="2620">
        <v>52</v>
      </c>
      <c r="AA86" s="1417" t="s">
        <v>2575</v>
      </c>
      <c r="AB86" s="3774"/>
      <c r="AC86" s="3217"/>
      <c r="AD86" s="3771"/>
      <c r="AE86" s="3217"/>
      <c r="AF86" s="3217"/>
      <c r="AG86" s="3217"/>
      <c r="AH86" s="3217"/>
      <c r="AI86" s="3217"/>
      <c r="AJ86" s="3189"/>
      <c r="AK86" s="3189"/>
      <c r="AL86" s="3217"/>
      <c r="AM86" s="3217"/>
      <c r="AN86" s="3596"/>
      <c r="AO86" s="3596"/>
      <c r="AP86" s="3596"/>
      <c r="AQ86" s="3596"/>
      <c r="AR86" s="3596"/>
      <c r="AS86" s="3596"/>
      <c r="AT86" s="3596"/>
      <c r="AU86" s="3596"/>
      <c r="AV86" s="3596"/>
      <c r="AW86" s="3596"/>
      <c r="AX86" s="3596"/>
      <c r="AY86" s="3596"/>
      <c r="AZ86" s="3596"/>
      <c r="BA86" s="3596"/>
      <c r="BB86" s="3596"/>
      <c r="BC86" s="3596"/>
      <c r="BD86" s="3596"/>
      <c r="BE86" s="3596"/>
      <c r="BF86" s="3771"/>
      <c r="BG86" s="3217"/>
      <c r="BH86" s="3217"/>
      <c r="BI86" s="3187"/>
      <c r="BJ86" s="3187"/>
      <c r="BK86" s="3184"/>
      <c r="BL86" s="3217"/>
      <c r="BM86" s="3217"/>
      <c r="BN86" s="3768"/>
      <c r="BO86" s="3768"/>
      <c r="BP86" s="3768"/>
      <c r="BQ86" s="3760"/>
      <c r="BR86" s="3761"/>
    </row>
    <row r="87" spans="1:70" s="367" customFormat="1" ht="27" customHeight="1" thickBot="1" x14ac:dyDescent="0.25">
      <c r="A87" s="3762"/>
      <c r="B87" s="3763"/>
      <c r="C87" s="3763"/>
      <c r="D87" s="3763"/>
      <c r="E87" s="3763"/>
      <c r="F87" s="3763"/>
      <c r="G87" s="3763"/>
      <c r="H87" s="3763"/>
      <c r="I87" s="3763"/>
      <c r="J87" s="3763"/>
      <c r="K87" s="3763"/>
      <c r="L87" s="3763"/>
      <c r="M87" s="3763"/>
      <c r="N87" s="3763"/>
      <c r="O87" s="3763"/>
      <c r="P87" s="3763"/>
      <c r="Q87" s="3763"/>
      <c r="R87" s="3763"/>
      <c r="S87" s="3763"/>
      <c r="T87" s="3763"/>
      <c r="U87" s="3763"/>
      <c r="V87" s="3763"/>
      <c r="W87" s="2621">
        <f>SUM(W13:W86)</f>
        <v>2655880390</v>
      </c>
      <c r="X87" s="2621">
        <f>SUM(X13:X86)</f>
        <v>1244320000</v>
      </c>
      <c r="Y87" s="2621">
        <f t="shared" ref="Y87" si="2">SUM(Y13:Y86)</f>
        <v>373708000</v>
      </c>
      <c r="Z87" s="3764"/>
      <c r="AA87" s="3765"/>
      <c r="AB87" s="2622"/>
      <c r="AC87" s="2623"/>
      <c r="AD87" s="2623"/>
      <c r="AE87" s="2623"/>
      <c r="AF87" s="2623"/>
      <c r="AG87" s="2623"/>
      <c r="AH87" s="2623"/>
      <c r="AI87" s="2623"/>
      <c r="AJ87" s="2623"/>
      <c r="AK87" s="2623"/>
      <c r="AL87" s="2623"/>
      <c r="AM87" s="2623"/>
      <c r="AN87" s="2623"/>
      <c r="AO87" s="2623"/>
      <c r="AP87" s="2623"/>
      <c r="AQ87" s="2623"/>
      <c r="AR87" s="2623"/>
      <c r="AS87" s="2623"/>
      <c r="AT87" s="2623"/>
      <c r="AU87" s="2623"/>
      <c r="AV87" s="2623"/>
      <c r="AW87" s="2623"/>
      <c r="AX87" s="2623"/>
      <c r="AY87" s="2623"/>
      <c r="AZ87" s="2623"/>
      <c r="BA87" s="2623"/>
      <c r="BB87" s="2623"/>
      <c r="BC87" s="2623"/>
      <c r="BD87" s="2623"/>
      <c r="BE87" s="2623"/>
      <c r="BF87" s="2623"/>
      <c r="BG87" s="2623"/>
      <c r="BH87" s="2624"/>
      <c r="BI87" s="2625">
        <f>SUM(BI13:BI85)</f>
        <v>1244320000</v>
      </c>
      <c r="BJ87" s="2626">
        <f>SUM(BJ13:BJ85)</f>
        <v>373708000</v>
      </c>
      <c r="BK87" s="2624"/>
      <c r="BL87" s="2624"/>
      <c r="BM87" s="2624"/>
      <c r="BN87" s="2624"/>
      <c r="BO87" s="2624"/>
      <c r="BP87" s="2624"/>
      <c r="BQ87" s="2624"/>
      <c r="BR87" s="2627"/>
    </row>
  </sheetData>
  <sheetProtection password="EC34" sheet="1" objects="1" scenarios="1"/>
  <mergeCells count="698">
    <mergeCell ref="A1:BN4"/>
    <mergeCell ref="A5:M6"/>
    <mergeCell ref="Q5:BR5"/>
    <mergeCell ref="Q6:AA6"/>
    <mergeCell ref="BN6:BR6"/>
    <mergeCell ref="A7:A9"/>
    <mergeCell ref="B7:C9"/>
    <mergeCell ref="D7:D9"/>
    <mergeCell ref="E7:F9"/>
    <mergeCell ref="G7:G9"/>
    <mergeCell ref="BR7:BR9"/>
    <mergeCell ref="AB8:AC8"/>
    <mergeCell ref="AD8:AE8"/>
    <mergeCell ref="AF8:AG8"/>
    <mergeCell ref="AH8:AI8"/>
    <mergeCell ref="AJ8:AK8"/>
    <mergeCell ref="AL8:AM8"/>
    <mergeCell ref="AN8:AO8"/>
    <mergeCell ref="AP8:AQ8"/>
    <mergeCell ref="AR8:AS8"/>
    <mergeCell ref="AN7:AY7"/>
    <mergeCell ref="AZ7:BE7"/>
    <mergeCell ref="BF7:BG7"/>
    <mergeCell ref="BH7:BM7"/>
    <mergeCell ref="A11:C86"/>
    <mergeCell ref="D12:F60"/>
    <mergeCell ref="G13:I31"/>
    <mergeCell ref="J13:J16"/>
    <mergeCell ref="K13:K16"/>
    <mergeCell ref="L13:L16"/>
    <mergeCell ref="M13:M16"/>
    <mergeCell ref="BB8:BC8"/>
    <mergeCell ref="BD8:BE8"/>
    <mergeCell ref="V7:V9"/>
    <mergeCell ref="W7:Y8"/>
    <mergeCell ref="Z7:Z9"/>
    <mergeCell ref="AA7:AA9"/>
    <mergeCell ref="P7:P9"/>
    <mergeCell ref="Q7:Q9"/>
    <mergeCell ref="R7:R9"/>
    <mergeCell ref="R13:R16"/>
    <mergeCell ref="S13:S22"/>
    <mergeCell ref="N13:N16"/>
    <mergeCell ref="O13:O22"/>
    <mergeCell ref="P13:P22"/>
    <mergeCell ref="Q13:Q22"/>
    <mergeCell ref="AJ13:AJ22"/>
    <mergeCell ref="T13:T22"/>
    <mergeCell ref="BN7:BO8"/>
    <mergeCell ref="BP7:BQ8"/>
    <mergeCell ref="AT8:AU8"/>
    <mergeCell ref="AV8:AW8"/>
    <mergeCell ref="AX8:AY8"/>
    <mergeCell ref="AZ8:BA8"/>
    <mergeCell ref="AB7:AE7"/>
    <mergeCell ref="AF7:AM7"/>
    <mergeCell ref="H7:I9"/>
    <mergeCell ref="J7:J9"/>
    <mergeCell ref="K7:K9"/>
    <mergeCell ref="L7:L9"/>
    <mergeCell ref="M7:N8"/>
    <mergeCell ref="BK8:BK9"/>
    <mergeCell ref="BL8:BL9"/>
    <mergeCell ref="BM8:BM9"/>
    <mergeCell ref="BF8:BG8"/>
    <mergeCell ref="BH8:BH9"/>
    <mergeCell ref="BI8:BI9"/>
    <mergeCell ref="BJ8:BJ9"/>
    <mergeCell ref="O7:O9"/>
    <mergeCell ref="U13:U22"/>
    <mergeCell ref="V13:V14"/>
    <mergeCell ref="AB13:AB22"/>
    <mergeCell ref="AC13:AC22"/>
    <mergeCell ref="AD13:AD22"/>
    <mergeCell ref="V17:V22"/>
    <mergeCell ref="W17:W22"/>
    <mergeCell ref="X17:X22"/>
    <mergeCell ref="Y17:Y22"/>
    <mergeCell ref="BL17:BL22"/>
    <mergeCell ref="BM17:BM22"/>
    <mergeCell ref="S7:S9"/>
    <mergeCell ref="T7:T9"/>
    <mergeCell ref="U7:U9"/>
    <mergeCell ref="BQ13:BQ14"/>
    <mergeCell ref="BR13:BR22"/>
    <mergeCell ref="V15:V16"/>
    <mergeCell ref="W15:W16"/>
    <mergeCell ref="X15:X16"/>
    <mergeCell ref="Y15:Y16"/>
    <mergeCell ref="Z15:Z16"/>
    <mergeCell ref="AA15:AA16"/>
    <mergeCell ref="BI13:BI14"/>
    <mergeCell ref="BJ13:BJ14"/>
    <mergeCell ref="BK13:BK14"/>
    <mergeCell ref="BL13:BL14"/>
    <mergeCell ref="BM13:BM16"/>
    <mergeCell ref="BN13:BN14"/>
    <mergeCell ref="BI15:BI16"/>
    <mergeCell ref="BJ15:BJ16"/>
    <mergeCell ref="BK15:BK16"/>
    <mergeCell ref="BL15:BL16"/>
    <mergeCell ref="BC13:BC22"/>
    <mergeCell ref="BD13:BD22"/>
    <mergeCell ref="BE13:BE22"/>
    <mergeCell ref="BF13:BF22"/>
    <mergeCell ref="BP15:BP16"/>
    <mergeCell ref="BQ15:BQ16"/>
    <mergeCell ref="J17:J22"/>
    <mergeCell ref="K17:K22"/>
    <mergeCell ref="L17:L22"/>
    <mergeCell ref="M17:M22"/>
    <mergeCell ref="N17:N22"/>
    <mergeCell ref="R17:R22"/>
    <mergeCell ref="BG13:BG22"/>
    <mergeCell ref="BH13:BH14"/>
    <mergeCell ref="BH15:BH16"/>
    <mergeCell ref="AW13:AW22"/>
    <mergeCell ref="AX13:AX22"/>
    <mergeCell ref="AY13:AY22"/>
    <mergeCell ref="AZ13:AZ22"/>
    <mergeCell ref="BA13:BA22"/>
    <mergeCell ref="BB13:BB22"/>
    <mergeCell ref="AQ13:AQ22"/>
    <mergeCell ref="AR13:AR22"/>
    <mergeCell ref="AS13:AS22"/>
    <mergeCell ref="AT13:AT22"/>
    <mergeCell ref="AU13:AU22"/>
    <mergeCell ref="BO13:BO14"/>
    <mergeCell ref="BP13:BP14"/>
    <mergeCell ref="BN17:BN22"/>
    <mergeCell ref="BO17:BO22"/>
    <mergeCell ref="BP17:BP22"/>
    <mergeCell ref="BQ17:BQ22"/>
    <mergeCell ref="Z17:Z22"/>
    <mergeCell ref="AA17:AA22"/>
    <mergeCell ref="BH17:BH22"/>
    <mergeCell ref="BI17:BI22"/>
    <mergeCell ref="BJ17:BJ22"/>
    <mergeCell ref="BK17:BK22"/>
    <mergeCell ref="AV13:AV22"/>
    <mergeCell ref="AK13:AK22"/>
    <mergeCell ref="AL13:AL22"/>
    <mergeCell ref="AM13:AM22"/>
    <mergeCell ref="AN13:AN22"/>
    <mergeCell ref="AO13:AO22"/>
    <mergeCell ref="AP13:AP22"/>
    <mergeCell ref="AE13:AE22"/>
    <mergeCell ref="AF13:AF22"/>
    <mergeCell ref="AG13:AG22"/>
    <mergeCell ref="AH13:AH22"/>
    <mergeCell ref="AI13:AI22"/>
    <mergeCell ref="BN15:BN16"/>
    <mergeCell ref="BO15:BO16"/>
    <mergeCell ref="J23:J25"/>
    <mergeCell ref="K23:K25"/>
    <mergeCell ref="L23:L25"/>
    <mergeCell ref="M23:M25"/>
    <mergeCell ref="N23:N25"/>
    <mergeCell ref="O23:O31"/>
    <mergeCell ref="J26:J28"/>
    <mergeCell ref="K26:K28"/>
    <mergeCell ref="L26:L28"/>
    <mergeCell ref="M26:M28"/>
    <mergeCell ref="AB23:AB31"/>
    <mergeCell ref="AC23:AC31"/>
    <mergeCell ref="AD23:AD31"/>
    <mergeCell ref="AE23:AE31"/>
    <mergeCell ref="AF23:AF31"/>
    <mergeCell ref="Y29:Y31"/>
    <mergeCell ref="Z29:Z31"/>
    <mergeCell ref="AA29:AA31"/>
    <mergeCell ref="P23:P31"/>
    <mergeCell ref="Q23:Q31"/>
    <mergeCell ref="R23:R25"/>
    <mergeCell ref="BQ23:BQ25"/>
    <mergeCell ref="BR23:BR31"/>
    <mergeCell ref="W24:W25"/>
    <mergeCell ref="X24:X25"/>
    <mergeCell ref="Y24:Y25"/>
    <mergeCell ref="Z24:Z25"/>
    <mergeCell ref="AA24:AA25"/>
    <mergeCell ref="Y26:Y28"/>
    <mergeCell ref="Z26:Z28"/>
    <mergeCell ref="AA26:AA28"/>
    <mergeCell ref="BK23:BK25"/>
    <mergeCell ref="BL23:BL25"/>
    <mergeCell ref="BM23:BM25"/>
    <mergeCell ref="BN23:BN25"/>
    <mergeCell ref="BO23:BO25"/>
    <mergeCell ref="BP23:BP25"/>
    <mergeCell ref="BE23:BE31"/>
    <mergeCell ref="BF23:BF31"/>
    <mergeCell ref="BG23:BG31"/>
    <mergeCell ref="BH23:BH25"/>
    <mergeCell ref="BI23:BI25"/>
    <mergeCell ref="BQ26:BQ28"/>
    <mergeCell ref="J29:J31"/>
    <mergeCell ref="K29:K31"/>
    <mergeCell ref="L29:L31"/>
    <mergeCell ref="M29:M31"/>
    <mergeCell ref="N29:N31"/>
    <mergeCell ref="R29:R31"/>
    <mergeCell ref="V29:V31"/>
    <mergeCell ref="W29:W31"/>
    <mergeCell ref="X29:X31"/>
    <mergeCell ref="BK26:BK28"/>
    <mergeCell ref="BL26:BL28"/>
    <mergeCell ref="BM26:BM28"/>
    <mergeCell ref="BN26:BN28"/>
    <mergeCell ref="BO26:BO28"/>
    <mergeCell ref="BP26:BP28"/>
    <mergeCell ref="N26:N28"/>
    <mergeCell ref="R26:R28"/>
    <mergeCell ref="U26:U31"/>
    <mergeCell ref="V26:V28"/>
    <mergeCell ref="W26:W28"/>
    <mergeCell ref="S23:S31"/>
    <mergeCell ref="T23:T31"/>
    <mergeCell ref="U23:U25"/>
    <mergeCell ref="BQ29:BQ31"/>
    <mergeCell ref="G33:I50"/>
    <mergeCell ref="J33:J38"/>
    <mergeCell ref="K33:K38"/>
    <mergeCell ref="L33:L38"/>
    <mergeCell ref="M33:M38"/>
    <mergeCell ref="N33:N38"/>
    <mergeCell ref="O33:O50"/>
    <mergeCell ref="BI29:BI31"/>
    <mergeCell ref="BJ29:BJ31"/>
    <mergeCell ref="BK29:BK31"/>
    <mergeCell ref="BL29:BL31"/>
    <mergeCell ref="BM29:BM31"/>
    <mergeCell ref="BN29:BN31"/>
    <mergeCell ref="AY23:AY31"/>
    <mergeCell ref="AZ23:AZ31"/>
    <mergeCell ref="BA23:BA31"/>
    <mergeCell ref="BB23:BB31"/>
    <mergeCell ref="BC23:BC31"/>
    <mergeCell ref="BD23:BD31"/>
    <mergeCell ref="AS23:AS31"/>
    <mergeCell ref="BJ23:BJ25"/>
    <mergeCell ref="BH26:BH28"/>
    <mergeCell ref="BI26:BI28"/>
    <mergeCell ref="AI23:AI31"/>
    <mergeCell ref="AJ23:AJ31"/>
    <mergeCell ref="AK23:AK31"/>
    <mergeCell ref="AL23:AL31"/>
    <mergeCell ref="V23:V25"/>
    <mergeCell ref="AI33:AI50"/>
    <mergeCell ref="AJ33:AJ50"/>
    <mergeCell ref="AK33:AK50"/>
    <mergeCell ref="AL33:AL50"/>
    <mergeCell ref="V33:V35"/>
    <mergeCell ref="AB33:AB50"/>
    <mergeCell ref="AC33:AC50"/>
    <mergeCell ref="X26:X28"/>
    <mergeCell ref="P33:P50"/>
    <mergeCell ref="Q33:Q50"/>
    <mergeCell ref="R33:R38"/>
    <mergeCell ref="S33:S50"/>
    <mergeCell ref="T33:T50"/>
    <mergeCell ref="U33:U38"/>
    <mergeCell ref="U39:U50"/>
    <mergeCell ref="AG23:AG31"/>
    <mergeCell ref="AH23:AH31"/>
    <mergeCell ref="BO29:BO31"/>
    <mergeCell ref="BP29:BP31"/>
    <mergeCell ref="AW23:AW31"/>
    <mergeCell ref="AX23:AX31"/>
    <mergeCell ref="AM23:AM31"/>
    <mergeCell ref="AN23:AN31"/>
    <mergeCell ref="AO23:AO31"/>
    <mergeCell ref="AP23:AP31"/>
    <mergeCell ref="AQ23:AQ31"/>
    <mergeCell ref="AR23:AR31"/>
    <mergeCell ref="AT23:AT31"/>
    <mergeCell ref="AU23:AU31"/>
    <mergeCell ref="AV23:AV31"/>
    <mergeCell ref="BJ26:BJ28"/>
    <mergeCell ref="BH29:BH31"/>
    <mergeCell ref="AD33:AD50"/>
    <mergeCell ref="AE33:AE50"/>
    <mergeCell ref="AF33:AF50"/>
    <mergeCell ref="V36:V38"/>
    <mergeCell ref="Z36:Z38"/>
    <mergeCell ref="AA36:AA38"/>
    <mergeCell ref="V39:V42"/>
    <mergeCell ref="BI33:BI38"/>
    <mergeCell ref="BJ33:BJ38"/>
    <mergeCell ref="BI39:BI42"/>
    <mergeCell ref="BJ39:BJ42"/>
    <mergeCell ref="BJ47:BJ50"/>
    <mergeCell ref="AY33:AY50"/>
    <mergeCell ref="AZ33:AZ50"/>
    <mergeCell ref="BA33:BA50"/>
    <mergeCell ref="BB33:BB50"/>
    <mergeCell ref="BC33:BC50"/>
    <mergeCell ref="BD33:BD50"/>
    <mergeCell ref="L39:L42"/>
    <mergeCell ref="M39:M42"/>
    <mergeCell ref="N39:N42"/>
    <mergeCell ref="R39:R42"/>
    <mergeCell ref="BQ33:BQ38"/>
    <mergeCell ref="BR33:BR50"/>
    <mergeCell ref="W34:W35"/>
    <mergeCell ref="X34:X35"/>
    <mergeCell ref="Y34:Y35"/>
    <mergeCell ref="Z34:Z35"/>
    <mergeCell ref="AA34:AA35"/>
    <mergeCell ref="W36:W38"/>
    <mergeCell ref="X36:X38"/>
    <mergeCell ref="Y36:Y38"/>
    <mergeCell ref="BK33:BK38"/>
    <mergeCell ref="BL33:BL38"/>
    <mergeCell ref="BM33:BM38"/>
    <mergeCell ref="BN33:BN38"/>
    <mergeCell ref="BO33:BO38"/>
    <mergeCell ref="BP33:BP38"/>
    <mergeCell ref="BE33:BE50"/>
    <mergeCell ref="BF33:BF50"/>
    <mergeCell ref="BG33:BG50"/>
    <mergeCell ref="BH33:BH38"/>
    <mergeCell ref="BQ39:BQ42"/>
    <mergeCell ref="J43:J46"/>
    <mergeCell ref="K43:K46"/>
    <mergeCell ref="L43:L46"/>
    <mergeCell ref="M43:M46"/>
    <mergeCell ref="N43:N46"/>
    <mergeCell ref="R43:R46"/>
    <mergeCell ref="V43:V46"/>
    <mergeCell ref="W43:W46"/>
    <mergeCell ref="X43:X46"/>
    <mergeCell ref="BK39:BK42"/>
    <mergeCell ref="BL39:BL42"/>
    <mergeCell ref="BM39:BM42"/>
    <mergeCell ref="BN39:BN42"/>
    <mergeCell ref="BO39:BO42"/>
    <mergeCell ref="BP39:BP42"/>
    <mergeCell ref="W39:W42"/>
    <mergeCell ref="X39:X42"/>
    <mergeCell ref="Y39:Y42"/>
    <mergeCell ref="Z39:Z42"/>
    <mergeCell ref="AA39:AA42"/>
    <mergeCell ref="BH39:BH42"/>
    <mergeCell ref="J39:J42"/>
    <mergeCell ref="K39:K42"/>
    <mergeCell ref="BQ43:BQ46"/>
    <mergeCell ref="J47:J50"/>
    <mergeCell ref="K47:K50"/>
    <mergeCell ref="L47:L50"/>
    <mergeCell ref="M47:M50"/>
    <mergeCell ref="N47:N50"/>
    <mergeCell ref="R47:R50"/>
    <mergeCell ref="V47:V50"/>
    <mergeCell ref="BH47:BH50"/>
    <mergeCell ref="BI47:BI50"/>
    <mergeCell ref="BK43:BK46"/>
    <mergeCell ref="BL43:BL46"/>
    <mergeCell ref="BM43:BM46"/>
    <mergeCell ref="BN43:BN46"/>
    <mergeCell ref="BO43:BO46"/>
    <mergeCell ref="BP43:BP46"/>
    <mergeCell ref="Y43:Y46"/>
    <mergeCell ref="Z43:Z46"/>
    <mergeCell ref="AA43:AA46"/>
    <mergeCell ref="BH43:BH46"/>
    <mergeCell ref="BI43:BI46"/>
    <mergeCell ref="BJ43:BJ46"/>
    <mergeCell ref="AS33:AS50"/>
    <mergeCell ref="AT33:AT50"/>
    <mergeCell ref="BQ47:BQ50"/>
    <mergeCell ref="W48:W50"/>
    <mergeCell ref="X48:X50"/>
    <mergeCell ref="Y48:Y50"/>
    <mergeCell ref="Z48:Z50"/>
    <mergeCell ref="AA48:AA50"/>
    <mergeCell ref="BK47:BK50"/>
    <mergeCell ref="BL47:BL50"/>
    <mergeCell ref="BM47:BM50"/>
    <mergeCell ref="BN47:BN50"/>
    <mergeCell ref="BO47:BO50"/>
    <mergeCell ref="BP47:BP50"/>
    <mergeCell ref="AU33:AU50"/>
    <mergeCell ref="AV33:AV50"/>
    <mergeCell ref="AW33:AW50"/>
    <mergeCell ref="AX33:AX50"/>
    <mergeCell ref="AM33:AM50"/>
    <mergeCell ref="AN33:AN50"/>
    <mergeCell ref="AO33:AO50"/>
    <mergeCell ref="AP33:AP50"/>
    <mergeCell ref="AQ33:AQ50"/>
    <mergeCell ref="AR33:AR50"/>
    <mergeCell ref="AG33:AG50"/>
    <mergeCell ref="AH33:AH50"/>
    <mergeCell ref="O52:O60"/>
    <mergeCell ref="P52:P60"/>
    <mergeCell ref="Q52:Q60"/>
    <mergeCell ref="R52:R54"/>
    <mergeCell ref="S52:S60"/>
    <mergeCell ref="T52:T60"/>
    <mergeCell ref="G52:I60"/>
    <mergeCell ref="J52:J54"/>
    <mergeCell ref="K52:K54"/>
    <mergeCell ref="L52:L54"/>
    <mergeCell ref="M52:M54"/>
    <mergeCell ref="N52:N54"/>
    <mergeCell ref="J55:J57"/>
    <mergeCell ref="K55:K57"/>
    <mergeCell ref="L55:L57"/>
    <mergeCell ref="M55:M57"/>
    <mergeCell ref="AF52:AF60"/>
    <mergeCell ref="AG52:AG60"/>
    <mergeCell ref="AH52:AH60"/>
    <mergeCell ref="AI52:AI60"/>
    <mergeCell ref="AJ52:AJ60"/>
    <mergeCell ref="AK52:AK60"/>
    <mergeCell ref="U52:U54"/>
    <mergeCell ref="V52:V54"/>
    <mergeCell ref="AB52:AB60"/>
    <mergeCell ref="AC52:AC60"/>
    <mergeCell ref="AD52:AD60"/>
    <mergeCell ref="AE52:AE60"/>
    <mergeCell ref="AA55:AA57"/>
    <mergeCell ref="Y58:Y60"/>
    <mergeCell ref="Z58:Z60"/>
    <mergeCell ref="AA58:AA60"/>
    <mergeCell ref="AS52:AS60"/>
    <mergeCell ref="AT52:AT60"/>
    <mergeCell ref="AU52:AU60"/>
    <mergeCell ref="AV52:AV60"/>
    <mergeCell ref="AW52:AW60"/>
    <mergeCell ref="AL52:AL60"/>
    <mergeCell ref="AM52:AM60"/>
    <mergeCell ref="AN52:AN60"/>
    <mergeCell ref="AO52:AO60"/>
    <mergeCell ref="AP52:AP60"/>
    <mergeCell ref="AQ52:AQ60"/>
    <mergeCell ref="BP52:BP54"/>
    <mergeCell ref="BQ52:BQ54"/>
    <mergeCell ref="BR52:BR60"/>
    <mergeCell ref="W53:W54"/>
    <mergeCell ref="X53:X54"/>
    <mergeCell ref="Y53:Y54"/>
    <mergeCell ref="Z53:Z54"/>
    <mergeCell ref="AA53:AA54"/>
    <mergeCell ref="Y55:Y57"/>
    <mergeCell ref="Z55:Z57"/>
    <mergeCell ref="BJ52:BJ54"/>
    <mergeCell ref="BK52:BK54"/>
    <mergeCell ref="BL52:BL54"/>
    <mergeCell ref="BM52:BM54"/>
    <mergeCell ref="BN52:BN54"/>
    <mergeCell ref="BO52:BO54"/>
    <mergeCell ref="BD52:BD60"/>
    <mergeCell ref="BE52:BE60"/>
    <mergeCell ref="BF52:BF60"/>
    <mergeCell ref="BG52:BG60"/>
    <mergeCell ref="BH52:BH54"/>
    <mergeCell ref="BI52:BI54"/>
    <mergeCell ref="BH55:BH57"/>
    <mergeCell ref="BI55:BI57"/>
    <mergeCell ref="BP55:BP57"/>
    <mergeCell ref="BQ55:BQ57"/>
    <mergeCell ref="J58:J60"/>
    <mergeCell ref="K58:K60"/>
    <mergeCell ref="L58:L60"/>
    <mergeCell ref="M58:M60"/>
    <mergeCell ref="N58:N60"/>
    <mergeCell ref="R58:R60"/>
    <mergeCell ref="V58:V60"/>
    <mergeCell ref="W58:W60"/>
    <mergeCell ref="BJ55:BJ57"/>
    <mergeCell ref="BK55:BK57"/>
    <mergeCell ref="BL55:BL57"/>
    <mergeCell ref="BM55:BM57"/>
    <mergeCell ref="BN55:BN57"/>
    <mergeCell ref="BO55:BO57"/>
    <mergeCell ref="N55:N57"/>
    <mergeCell ref="R55:R57"/>
    <mergeCell ref="U55:U60"/>
    <mergeCell ref="V55:V57"/>
    <mergeCell ref="W55:W57"/>
    <mergeCell ref="X55:X57"/>
    <mergeCell ref="X58:X60"/>
    <mergeCell ref="BH58:BH60"/>
    <mergeCell ref="BP58:BP60"/>
    <mergeCell ref="BQ58:BQ60"/>
    <mergeCell ref="D62:F86"/>
    <mergeCell ref="G63:I67"/>
    <mergeCell ref="J63:J65"/>
    <mergeCell ref="K63:K65"/>
    <mergeCell ref="L63:L65"/>
    <mergeCell ref="M63:M65"/>
    <mergeCell ref="N63:N65"/>
    <mergeCell ref="O63:O67"/>
    <mergeCell ref="BJ58:BJ60"/>
    <mergeCell ref="BK58:BK60"/>
    <mergeCell ref="BL58:BL60"/>
    <mergeCell ref="BM58:BM60"/>
    <mergeCell ref="BN58:BN60"/>
    <mergeCell ref="BO58:BO60"/>
    <mergeCell ref="BI58:BI60"/>
    <mergeCell ref="AX52:AX60"/>
    <mergeCell ref="AY52:AY60"/>
    <mergeCell ref="AZ52:AZ60"/>
    <mergeCell ref="BA52:BA60"/>
    <mergeCell ref="BB52:BB60"/>
    <mergeCell ref="BC52:BC60"/>
    <mergeCell ref="AR52:AR60"/>
    <mergeCell ref="AL63:AL67"/>
    <mergeCell ref="AN63:AN67"/>
    <mergeCell ref="AQ63:AQ67"/>
    <mergeCell ref="AS63:AS67"/>
    <mergeCell ref="AB63:AB67"/>
    <mergeCell ref="AC63:AC67"/>
    <mergeCell ref="AD63:AD67"/>
    <mergeCell ref="AE63:AE67"/>
    <mergeCell ref="AF63:AF67"/>
    <mergeCell ref="AH63:AH67"/>
    <mergeCell ref="BL63:BL67"/>
    <mergeCell ref="BM63:BM67"/>
    <mergeCell ref="BN63:BN67"/>
    <mergeCell ref="BQ63:BQ67"/>
    <mergeCell ref="BR63:BR67"/>
    <mergeCell ref="J66:J67"/>
    <mergeCell ref="K66:K67"/>
    <mergeCell ref="L66:L67"/>
    <mergeCell ref="M66:M67"/>
    <mergeCell ref="N66:N67"/>
    <mergeCell ref="BF63:BF67"/>
    <mergeCell ref="BG63:BG67"/>
    <mergeCell ref="BH63:BH67"/>
    <mergeCell ref="BI63:BI67"/>
    <mergeCell ref="BJ63:BJ67"/>
    <mergeCell ref="BK63:BK67"/>
    <mergeCell ref="AU63:AU67"/>
    <mergeCell ref="AW63:AW67"/>
    <mergeCell ref="AY63:AY67"/>
    <mergeCell ref="BA63:BA67"/>
    <mergeCell ref="BC63:BC67"/>
    <mergeCell ref="BE63:BE67"/>
    <mergeCell ref="AJ63:AJ67"/>
    <mergeCell ref="AK63:AK67"/>
    <mergeCell ref="G69:I80"/>
    <mergeCell ref="J69:J80"/>
    <mergeCell ref="K69:K80"/>
    <mergeCell ref="L69:L80"/>
    <mergeCell ref="M69:M80"/>
    <mergeCell ref="N69:N80"/>
    <mergeCell ref="O69:O80"/>
    <mergeCell ref="P69:P80"/>
    <mergeCell ref="Q69:Q80"/>
    <mergeCell ref="P63:P67"/>
    <mergeCell ref="Q63:Q67"/>
    <mergeCell ref="R63:R65"/>
    <mergeCell ref="S63:S67"/>
    <mergeCell ref="T63:T67"/>
    <mergeCell ref="U63:U67"/>
    <mergeCell ref="R66:R67"/>
    <mergeCell ref="AD69:AD80"/>
    <mergeCell ref="AE69:AE80"/>
    <mergeCell ref="V63:V65"/>
    <mergeCell ref="W63:W65"/>
    <mergeCell ref="X63:X65"/>
    <mergeCell ref="Y63:Y65"/>
    <mergeCell ref="Z63:Z65"/>
    <mergeCell ref="AA63:AA67"/>
    <mergeCell ref="V66:V67"/>
    <mergeCell ref="W66:W67"/>
    <mergeCell ref="X66:X67"/>
    <mergeCell ref="Y66:Y67"/>
    <mergeCell ref="Z66:Z67"/>
    <mergeCell ref="AH69:AH80"/>
    <mergeCell ref="AI69:AI80"/>
    <mergeCell ref="X69:X70"/>
    <mergeCell ref="Y69:Y70"/>
    <mergeCell ref="Z69:Z70"/>
    <mergeCell ref="AA69:AA80"/>
    <mergeCell ref="AB69:AB80"/>
    <mergeCell ref="AC69:AC80"/>
    <mergeCell ref="Y73:Y74"/>
    <mergeCell ref="Z73:Z74"/>
    <mergeCell ref="X75:X76"/>
    <mergeCell ref="Y75:Y76"/>
    <mergeCell ref="AW69:AW80"/>
    <mergeCell ref="AY69:AY80"/>
    <mergeCell ref="BA69:BA80"/>
    <mergeCell ref="BC69:BC80"/>
    <mergeCell ref="AJ69:AJ80"/>
    <mergeCell ref="AK69:AK80"/>
    <mergeCell ref="AL69:AL80"/>
    <mergeCell ref="AM69:AM80"/>
    <mergeCell ref="AN69:AN80"/>
    <mergeCell ref="AQ69:AQ80"/>
    <mergeCell ref="BQ69:BQ80"/>
    <mergeCell ref="BR69:BR80"/>
    <mergeCell ref="V71:V72"/>
    <mergeCell ref="W71:W72"/>
    <mergeCell ref="X71:X72"/>
    <mergeCell ref="Y71:Y72"/>
    <mergeCell ref="Z71:Z72"/>
    <mergeCell ref="V73:V74"/>
    <mergeCell ref="W73:W74"/>
    <mergeCell ref="X73:X74"/>
    <mergeCell ref="BK69:BK80"/>
    <mergeCell ref="BL69:BL80"/>
    <mergeCell ref="BM69:BM80"/>
    <mergeCell ref="BN69:BN80"/>
    <mergeCell ref="BO69:BO80"/>
    <mergeCell ref="BP69:BP80"/>
    <mergeCell ref="BE69:BE80"/>
    <mergeCell ref="BF69:BF80"/>
    <mergeCell ref="BG69:BG80"/>
    <mergeCell ref="BH69:BH80"/>
    <mergeCell ref="BI69:BI80"/>
    <mergeCell ref="BJ69:BJ80"/>
    <mergeCell ref="AS69:AS80"/>
    <mergeCell ref="AU69:AU80"/>
    <mergeCell ref="G82:I86"/>
    <mergeCell ref="J82:J86"/>
    <mergeCell ref="K82:K86"/>
    <mergeCell ref="L82:L86"/>
    <mergeCell ref="M82:M86"/>
    <mergeCell ref="N82:N86"/>
    <mergeCell ref="O82:O86"/>
    <mergeCell ref="Z75:Z76"/>
    <mergeCell ref="V77:V78"/>
    <mergeCell ref="W77:W78"/>
    <mergeCell ref="X77:X78"/>
    <mergeCell ref="Y77:Y78"/>
    <mergeCell ref="Z77:Z78"/>
    <mergeCell ref="R69:R80"/>
    <mergeCell ref="S69:S80"/>
    <mergeCell ref="T69:T80"/>
    <mergeCell ref="U69:U80"/>
    <mergeCell ref="V69:V70"/>
    <mergeCell ref="W69:W70"/>
    <mergeCell ref="V75:V76"/>
    <mergeCell ref="W75:W76"/>
    <mergeCell ref="V79:V80"/>
    <mergeCell ref="W79:W80"/>
    <mergeCell ref="P82:P86"/>
    <mergeCell ref="Q82:Q86"/>
    <mergeCell ref="R82:R86"/>
    <mergeCell ref="S82:S86"/>
    <mergeCell ref="T82:T86"/>
    <mergeCell ref="U82:U86"/>
    <mergeCell ref="X79:X80"/>
    <mergeCell ref="Y79:Y80"/>
    <mergeCell ref="Z79:Z80"/>
    <mergeCell ref="AG82:AG86"/>
    <mergeCell ref="AF69:AF80"/>
    <mergeCell ref="AG69:AG80"/>
    <mergeCell ref="AH82:AH86"/>
    <mergeCell ref="AI82:AI86"/>
    <mergeCell ref="AJ82:AJ86"/>
    <mergeCell ref="AK82:AK86"/>
    <mergeCell ref="AL82:AL86"/>
    <mergeCell ref="V82:V85"/>
    <mergeCell ref="AB82:AB86"/>
    <mergeCell ref="AC82:AC86"/>
    <mergeCell ref="AD82:AD86"/>
    <mergeCell ref="AE82:AE86"/>
    <mergeCell ref="AF82:AF86"/>
    <mergeCell ref="AU82:AU86"/>
    <mergeCell ref="AV82:AV86"/>
    <mergeCell ref="AW82:AW86"/>
    <mergeCell ref="AX82:AX86"/>
    <mergeCell ref="AM82:AM86"/>
    <mergeCell ref="AN82:AN86"/>
    <mergeCell ref="AO82:AO86"/>
    <mergeCell ref="AP82:AP86"/>
    <mergeCell ref="AQ82:AQ86"/>
    <mergeCell ref="AR82:AR86"/>
    <mergeCell ref="BQ82:BQ86"/>
    <mergeCell ref="BR82:BR86"/>
    <mergeCell ref="A87:V87"/>
    <mergeCell ref="Z87:AA87"/>
    <mergeCell ref="BK82:BK86"/>
    <mergeCell ref="BL82:BL86"/>
    <mergeCell ref="BM82:BM86"/>
    <mergeCell ref="BN82:BN86"/>
    <mergeCell ref="BO82:BO86"/>
    <mergeCell ref="BP82:BP86"/>
    <mergeCell ref="BE82:BE86"/>
    <mergeCell ref="BF82:BF86"/>
    <mergeCell ref="BG82:BG86"/>
    <mergeCell ref="BH82:BH86"/>
    <mergeCell ref="BI82:BI86"/>
    <mergeCell ref="BJ82:BJ86"/>
    <mergeCell ref="AY82:AY86"/>
    <mergeCell ref="AZ82:AZ86"/>
    <mergeCell ref="BA82:BA86"/>
    <mergeCell ref="BB82:BB86"/>
    <mergeCell ref="BC82:BC86"/>
    <mergeCell ref="BD82:BD86"/>
    <mergeCell ref="AS82:AS86"/>
    <mergeCell ref="AT82:AT86"/>
  </mergeCells>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78"/>
  <sheetViews>
    <sheetView showGridLines="0" zoomScale="60" zoomScaleNormal="60" workbookViewId="0">
      <selection activeCell="H13" sqref="H13:H14"/>
    </sheetView>
  </sheetViews>
  <sheetFormatPr baseColWidth="10" defaultColWidth="11.42578125" defaultRowHeight="14.25" x14ac:dyDescent="0.25"/>
  <cols>
    <col min="1" max="1" width="26.42578125" style="350" customWidth="1"/>
    <col min="2" max="2" width="20.28515625" style="103" customWidth="1"/>
    <col min="3" max="3" width="19.5703125" style="103" customWidth="1"/>
    <col min="4" max="4" width="14.7109375" style="103" customWidth="1"/>
    <col min="5" max="5" width="12.28515625" style="103" bestFit="1" customWidth="1"/>
    <col min="6" max="6" width="29.42578125" style="103" customWidth="1"/>
    <col min="7" max="7" width="9.42578125" style="121" customWidth="1"/>
    <col min="8" max="8" width="35.5703125" style="351" customWidth="1"/>
    <col min="9" max="9" width="24.42578125" style="102" customWidth="1"/>
    <col min="10" max="11" width="10.7109375" style="102" customWidth="1"/>
    <col min="12" max="12" width="31.28515625" style="102" customWidth="1"/>
    <col min="13" max="13" width="17.85546875" style="120" customWidth="1"/>
    <col min="14" max="14" width="22.140625" style="351" customWidth="1"/>
    <col min="15" max="15" width="12.7109375" style="353" customWidth="1"/>
    <col min="16" max="16" width="28.42578125" style="354" customWidth="1"/>
    <col min="17" max="17" width="29.7109375" style="351" customWidth="1"/>
    <col min="18" max="18" width="29.140625" style="351" customWidth="1"/>
    <col min="19" max="19" width="39.28515625" style="351" customWidth="1"/>
    <col min="20" max="20" width="24.28515625" style="360" customWidth="1"/>
    <col min="21" max="21" width="27.140625" style="360" customWidth="1"/>
    <col min="22" max="22" width="25.7109375" style="360" customWidth="1"/>
    <col min="23" max="23" width="17.85546875" style="355" customWidth="1"/>
    <col min="24" max="24" width="17.28515625" style="120" customWidth="1"/>
    <col min="25" max="26" width="9.140625" style="103" customWidth="1"/>
    <col min="27" max="28" width="9.7109375" style="103" customWidth="1"/>
    <col min="29" max="30" width="9.85546875" style="103" customWidth="1"/>
    <col min="31" max="32" width="7.28515625" style="103" customWidth="1"/>
    <col min="33" max="34" width="10.42578125" style="103" customWidth="1"/>
    <col min="35" max="36" width="9.42578125" style="103" customWidth="1"/>
    <col min="37" max="54" width="7.28515625" style="103" customWidth="1"/>
    <col min="55" max="56" width="9.85546875" style="103" customWidth="1"/>
    <col min="57" max="57" width="18" style="103" customWidth="1"/>
    <col min="58" max="58" width="26.5703125" style="356" customWidth="1"/>
    <col min="59" max="59" width="23.42578125" style="356" customWidth="1"/>
    <col min="60" max="60" width="15.5703125" style="103" customWidth="1"/>
    <col min="61" max="61" width="18.85546875" style="103" customWidth="1"/>
    <col min="62" max="62" width="21.85546875" style="103" customWidth="1"/>
    <col min="63" max="63" width="18.7109375" style="357" customWidth="1"/>
    <col min="64" max="64" width="16.85546875" style="357" customWidth="1"/>
    <col min="65" max="65" width="19.42578125" style="358" customWidth="1"/>
    <col min="66" max="66" width="20.85546875" style="358" customWidth="1"/>
    <col min="67" max="67" width="30.42578125" style="359" customWidth="1"/>
    <col min="68" max="283" width="11.42578125" style="103"/>
    <col min="284" max="284" width="13.140625" style="103" customWidth="1"/>
    <col min="285" max="285" width="35.28515625" style="103" customWidth="1"/>
    <col min="286" max="286" width="12.85546875" style="103" customWidth="1"/>
    <col min="287" max="287" width="19.5703125" style="103" customWidth="1"/>
    <col min="288" max="288" width="12.28515625" style="103" customWidth="1"/>
    <col min="289" max="289" width="21.28515625" style="103" customWidth="1"/>
    <col min="290" max="290" width="11.5703125" style="103" customWidth="1"/>
    <col min="291" max="291" width="33.140625" style="103" customWidth="1"/>
    <col min="292" max="292" width="22.7109375" style="103" customWidth="1"/>
    <col min="293" max="293" width="10.7109375" style="103" customWidth="1"/>
    <col min="294" max="294" width="27.7109375" style="103" customWidth="1"/>
    <col min="295" max="295" width="21.42578125" style="103" customWidth="1"/>
    <col min="296" max="296" width="22.140625" style="103" customWidth="1"/>
    <col min="297" max="297" width="12.7109375" style="103" customWidth="1"/>
    <col min="298" max="298" width="16.42578125" style="103" customWidth="1"/>
    <col min="299" max="299" width="29.7109375" style="103" customWidth="1"/>
    <col min="300" max="300" width="29.140625" style="103" customWidth="1"/>
    <col min="301" max="301" width="33.5703125" style="103" customWidth="1"/>
    <col min="302" max="302" width="25" style="103" customWidth="1"/>
    <col min="303" max="303" width="11.7109375" style="103" customWidth="1"/>
    <col min="304" max="304" width="17.28515625" style="103" customWidth="1"/>
    <col min="305" max="320" width="7.28515625" style="103" customWidth="1"/>
    <col min="321" max="322" width="13.7109375" style="103" customWidth="1"/>
    <col min="323" max="323" width="20.85546875" style="103" customWidth="1"/>
    <col min="324" max="539" width="11.42578125" style="103"/>
    <col min="540" max="540" width="13.140625" style="103" customWidth="1"/>
    <col min="541" max="541" width="35.28515625" style="103" customWidth="1"/>
    <col min="542" max="542" width="12.85546875" style="103" customWidth="1"/>
    <col min="543" max="543" width="19.5703125" style="103" customWidth="1"/>
    <col min="544" max="544" width="12.28515625" style="103" customWidth="1"/>
    <col min="545" max="545" width="21.28515625" style="103" customWidth="1"/>
    <col min="546" max="546" width="11.5703125" style="103" customWidth="1"/>
    <col min="547" max="547" width="33.140625" style="103" customWidth="1"/>
    <col min="548" max="548" width="22.7109375" style="103" customWidth="1"/>
    <col min="549" max="549" width="10.7109375" style="103" customWidth="1"/>
    <col min="550" max="550" width="27.7109375" style="103" customWidth="1"/>
    <col min="551" max="551" width="21.42578125" style="103" customWidth="1"/>
    <col min="552" max="552" width="22.140625" style="103" customWidth="1"/>
    <col min="553" max="553" width="12.7109375" style="103" customWidth="1"/>
    <col min="554" max="554" width="16.42578125" style="103" customWidth="1"/>
    <col min="555" max="555" width="29.7109375" style="103" customWidth="1"/>
    <col min="556" max="556" width="29.140625" style="103" customWidth="1"/>
    <col min="557" max="557" width="33.5703125" style="103" customWidth="1"/>
    <col min="558" max="558" width="25" style="103" customWidth="1"/>
    <col min="559" max="559" width="11.7109375" style="103" customWidth="1"/>
    <col min="560" max="560" width="17.28515625" style="103" customWidth="1"/>
    <col min="561" max="576" width="7.28515625" style="103" customWidth="1"/>
    <col min="577" max="578" width="13.7109375" style="103" customWidth="1"/>
    <col min="579" max="579" width="20.85546875" style="103" customWidth="1"/>
    <col min="580" max="795" width="11.42578125" style="103"/>
    <col min="796" max="796" width="13.140625" style="103" customWidth="1"/>
    <col min="797" max="797" width="35.28515625" style="103" customWidth="1"/>
    <col min="798" max="798" width="12.85546875" style="103" customWidth="1"/>
    <col min="799" max="799" width="19.5703125" style="103" customWidth="1"/>
    <col min="800" max="800" width="12.28515625" style="103" customWidth="1"/>
    <col min="801" max="801" width="21.28515625" style="103" customWidth="1"/>
    <col min="802" max="802" width="11.5703125" style="103" customWidth="1"/>
    <col min="803" max="803" width="33.140625" style="103" customWidth="1"/>
    <col min="804" max="804" width="22.7109375" style="103" customWidth="1"/>
    <col min="805" max="805" width="10.7109375" style="103" customWidth="1"/>
    <col min="806" max="806" width="27.7109375" style="103" customWidth="1"/>
    <col min="807" max="807" width="21.42578125" style="103" customWidth="1"/>
    <col min="808" max="808" width="22.140625" style="103" customWidth="1"/>
    <col min="809" max="809" width="12.7109375" style="103" customWidth="1"/>
    <col min="810" max="810" width="16.42578125" style="103" customWidth="1"/>
    <col min="811" max="811" width="29.7109375" style="103" customWidth="1"/>
    <col min="812" max="812" width="29.140625" style="103" customWidth="1"/>
    <col min="813" max="813" width="33.5703125" style="103" customWidth="1"/>
    <col min="814" max="814" width="25" style="103" customWidth="1"/>
    <col min="815" max="815" width="11.7109375" style="103" customWidth="1"/>
    <col min="816" max="816" width="17.28515625" style="103" customWidth="1"/>
    <col min="817" max="832" width="7.28515625" style="103" customWidth="1"/>
    <col min="833" max="834" width="13.7109375" style="103" customWidth="1"/>
    <col min="835" max="835" width="20.85546875" style="103" customWidth="1"/>
    <col min="836" max="1051" width="11.42578125" style="103"/>
    <col min="1052" max="1052" width="13.140625" style="103" customWidth="1"/>
    <col min="1053" max="1053" width="35.28515625" style="103" customWidth="1"/>
    <col min="1054" max="1054" width="12.85546875" style="103" customWidth="1"/>
    <col min="1055" max="1055" width="19.5703125" style="103" customWidth="1"/>
    <col min="1056" max="1056" width="12.28515625" style="103" customWidth="1"/>
    <col min="1057" max="1057" width="21.28515625" style="103" customWidth="1"/>
    <col min="1058" max="1058" width="11.5703125" style="103" customWidth="1"/>
    <col min="1059" max="1059" width="33.140625" style="103" customWidth="1"/>
    <col min="1060" max="1060" width="22.7109375" style="103" customWidth="1"/>
    <col min="1061" max="1061" width="10.7109375" style="103" customWidth="1"/>
    <col min="1062" max="1062" width="27.7109375" style="103" customWidth="1"/>
    <col min="1063" max="1063" width="21.42578125" style="103" customWidth="1"/>
    <col min="1064" max="1064" width="22.140625" style="103" customWidth="1"/>
    <col min="1065" max="1065" width="12.7109375" style="103" customWidth="1"/>
    <col min="1066" max="1066" width="16.42578125" style="103" customWidth="1"/>
    <col min="1067" max="1067" width="29.7109375" style="103" customWidth="1"/>
    <col min="1068" max="1068" width="29.140625" style="103" customWidth="1"/>
    <col min="1069" max="1069" width="33.5703125" style="103" customWidth="1"/>
    <col min="1070" max="1070" width="25" style="103" customWidth="1"/>
    <col min="1071" max="1071" width="11.7109375" style="103" customWidth="1"/>
    <col min="1072" max="1072" width="17.28515625" style="103" customWidth="1"/>
    <col min="1073" max="1088" width="7.28515625" style="103" customWidth="1"/>
    <col min="1089" max="1090" width="13.7109375" style="103" customWidth="1"/>
    <col min="1091" max="1091" width="20.85546875" style="103" customWidth="1"/>
    <col min="1092" max="1307" width="11.42578125" style="103"/>
    <col min="1308" max="1308" width="13.140625" style="103" customWidth="1"/>
    <col min="1309" max="1309" width="35.28515625" style="103" customWidth="1"/>
    <col min="1310" max="1310" width="12.85546875" style="103" customWidth="1"/>
    <col min="1311" max="1311" width="19.5703125" style="103" customWidth="1"/>
    <col min="1312" max="1312" width="12.28515625" style="103" customWidth="1"/>
    <col min="1313" max="1313" width="21.28515625" style="103" customWidth="1"/>
    <col min="1314" max="1314" width="11.5703125" style="103" customWidth="1"/>
    <col min="1315" max="1315" width="33.140625" style="103" customWidth="1"/>
    <col min="1316" max="1316" width="22.7109375" style="103" customWidth="1"/>
    <col min="1317" max="1317" width="10.7109375" style="103" customWidth="1"/>
    <col min="1318" max="1318" width="27.7109375" style="103" customWidth="1"/>
    <col min="1319" max="1319" width="21.42578125" style="103" customWidth="1"/>
    <col min="1320" max="1320" width="22.140625" style="103" customWidth="1"/>
    <col min="1321" max="1321" width="12.7109375" style="103" customWidth="1"/>
    <col min="1322" max="1322" width="16.42578125" style="103" customWidth="1"/>
    <col min="1323" max="1323" width="29.7109375" style="103" customWidth="1"/>
    <col min="1324" max="1324" width="29.140625" style="103" customWidth="1"/>
    <col min="1325" max="1325" width="33.5703125" style="103" customWidth="1"/>
    <col min="1326" max="1326" width="25" style="103" customWidth="1"/>
    <col min="1327" max="1327" width="11.7109375" style="103" customWidth="1"/>
    <col min="1328" max="1328" width="17.28515625" style="103" customWidth="1"/>
    <col min="1329" max="1344" width="7.28515625" style="103" customWidth="1"/>
    <col min="1345" max="1346" width="13.7109375" style="103" customWidth="1"/>
    <col min="1347" max="1347" width="20.85546875" style="103" customWidth="1"/>
    <col min="1348" max="1563" width="11.42578125" style="103"/>
    <col min="1564" max="1564" width="13.140625" style="103" customWidth="1"/>
    <col min="1565" max="1565" width="35.28515625" style="103" customWidth="1"/>
    <col min="1566" max="1566" width="12.85546875" style="103" customWidth="1"/>
    <col min="1567" max="1567" width="19.5703125" style="103" customWidth="1"/>
    <col min="1568" max="1568" width="12.28515625" style="103" customWidth="1"/>
    <col min="1569" max="1569" width="21.28515625" style="103" customWidth="1"/>
    <col min="1570" max="1570" width="11.5703125" style="103" customWidth="1"/>
    <col min="1571" max="1571" width="33.140625" style="103" customWidth="1"/>
    <col min="1572" max="1572" width="22.7109375" style="103" customWidth="1"/>
    <col min="1573" max="1573" width="10.7109375" style="103" customWidth="1"/>
    <col min="1574" max="1574" width="27.7109375" style="103" customWidth="1"/>
    <col min="1575" max="1575" width="21.42578125" style="103" customWidth="1"/>
    <col min="1576" max="1576" width="22.140625" style="103" customWidth="1"/>
    <col min="1577" max="1577" width="12.7109375" style="103" customWidth="1"/>
    <col min="1578" max="1578" width="16.42578125" style="103" customWidth="1"/>
    <col min="1579" max="1579" width="29.7109375" style="103" customWidth="1"/>
    <col min="1580" max="1580" width="29.140625" style="103" customWidth="1"/>
    <col min="1581" max="1581" width="33.5703125" style="103" customWidth="1"/>
    <col min="1582" max="1582" width="25" style="103" customWidth="1"/>
    <col min="1583" max="1583" width="11.7109375" style="103" customWidth="1"/>
    <col min="1584" max="1584" width="17.28515625" style="103" customWidth="1"/>
    <col min="1585" max="1600" width="7.28515625" style="103" customWidth="1"/>
    <col min="1601" max="1602" width="13.7109375" style="103" customWidth="1"/>
    <col min="1603" max="1603" width="20.85546875" style="103" customWidth="1"/>
    <col min="1604" max="1819" width="11.42578125" style="103"/>
    <col min="1820" max="1820" width="13.140625" style="103" customWidth="1"/>
    <col min="1821" max="1821" width="35.28515625" style="103" customWidth="1"/>
    <col min="1822" max="1822" width="12.85546875" style="103" customWidth="1"/>
    <col min="1823" max="1823" width="19.5703125" style="103" customWidth="1"/>
    <col min="1824" max="1824" width="12.28515625" style="103" customWidth="1"/>
    <col min="1825" max="1825" width="21.28515625" style="103" customWidth="1"/>
    <col min="1826" max="1826" width="11.5703125" style="103" customWidth="1"/>
    <col min="1827" max="1827" width="33.140625" style="103" customWidth="1"/>
    <col min="1828" max="1828" width="22.7109375" style="103" customWidth="1"/>
    <col min="1829" max="1829" width="10.7109375" style="103" customWidth="1"/>
    <col min="1830" max="1830" width="27.7109375" style="103" customWidth="1"/>
    <col min="1831" max="1831" width="21.42578125" style="103" customWidth="1"/>
    <col min="1832" max="1832" width="22.140625" style="103" customWidth="1"/>
    <col min="1833" max="1833" width="12.7109375" style="103" customWidth="1"/>
    <col min="1834" max="1834" width="16.42578125" style="103" customWidth="1"/>
    <col min="1835" max="1835" width="29.7109375" style="103" customWidth="1"/>
    <col min="1836" max="1836" width="29.140625" style="103" customWidth="1"/>
    <col min="1837" max="1837" width="33.5703125" style="103" customWidth="1"/>
    <col min="1838" max="1838" width="25" style="103" customWidth="1"/>
    <col min="1839" max="1839" width="11.7109375" style="103" customWidth="1"/>
    <col min="1840" max="1840" width="17.28515625" style="103" customWidth="1"/>
    <col min="1841" max="1856" width="7.28515625" style="103" customWidth="1"/>
    <col min="1857" max="1858" width="13.7109375" style="103" customWidth="1"/>
    <col min="1859" max="1859" width="20.85546875" style="103" customWidth="1"/>
    <col min="1860" max="2075" width="11.42578125" style="103"/>
    <col min="2076" max="2076" width="13.140625" style="103" customWidth="1"/>
    <col min="2077" max="2077" width="35.28515625" style="103" customWidth="1"/>
    <col min="2078" max="2078" width="12.85546875" style="103" customWidth="1"/>
    <col min="2079" max="2079" width="19.5703125" style="103" customWidth="1"/>
    <col min="2080" max="2080" width="12.28515625" style="103" customWidth="1"/>
    <col min="2081" max="2081" width="21.28515625" style="103" customWidth="1"/>
    <col min="2082" max="2082" width="11.5703125" style="103" customWidth="1"/>
    <col min="2083" max="2083" width="33.140625" style="103" customWidth="1"/>
    <col min="2084" max="2084" width="22.7109375" style="103" customWidth="1"/>
    <col min="2085" max="2085" width="10.7109375" style="103" customWidth="1"/>
    <col min="2086" max="2086" width="27.7109375" style="103" customWidth="1"/>
    <col min="2087" max="2087" width="21.42578125" style="103" customWidth="1"/>
    <col min="2088" max="2088" width="22.140625" style="103" customWidth="1"/>
    <col min="2089" max="2089" width="12.7109375" style="103" customWidth="1"/>
    <col min="2090" max="2090" width="16.42578125" style="103" customWidth="1"/>
    <col min="2091" max="2091" width="29.7109375" style="103" customWidth="1"/>
    <col min="2092" max="2092" width="29.140625" style="103" customWidth="1"/>
    <col min="2093" max="2093" width="33.5703125" style="103" customWidth="1"/>
    <col min="2094" max="2094" width="25" style="103" customWidth="1"/>
    <col min="2095" max="2095" width="11.7109375" style="103" customWidth="1"/>
    <col min="2096" max="2096" width="17.28515625" style="103" customWidth="1"/>
    <col min="2097" max="2112" width="7.28515625" style="103" customWidth="1"/>
    <col min="2113" max="2114" width="13.7109375" style="103" customWidth="1"/>
    <col min="2115" max="2115" width="20.85546875" style="103" customWidth="1"/>
    <col min="2116" max="2331" width="11.42578125" style="103"/>
    <col min="2332" max="2332" width="13.140625" style="103" customWidth="1"/>
    <col min="2333" max="2333" width="35.28515625" style="103" customWidth="1"/>
    <col min="2334" max="2334" width="12.85546875" style="103" customWidth="1"/>
    <col min="2335" max="2335" width="19.5703125" style="103" customWidth="1"/>
    <col min="2336" max="2336" width="12.28515625" style="103" customWidth="1"/>
    <col min="2337" max="2337" width="21.28515625" style="103" customWidth="1"/>
    <col min="2338" max="2338" width="11.5703125" style="103" customWidth="1"/>
    <col min="2339" max="2339" width="33.140625" style="103" customWidth="1"/>
    <col min="2340" max="2340" width="22.7109375" style="103" customWidth="1"/>
    <col min="2341" max="2341" width="10.7109375" style="103" customWidth="1"/>
    <col min="2342" max="2342" width="27.7109375" style="103" customWidth="1"/>
    <col min="2343" max="2343" width="21.42578125" style="103" customWidth="1"/>
    <col min="2344" max="2344" width="22.140625" style="103" customWidth="1"/>
    <col min="2345" max="2345" width="12.7109375" style="103" customWidth="1"/>
    <col min="2346" max="2346" width="16.42578125" style="103" customWidth="1"/>
    <col min="2347" max="2347" width="29.7109375" style="103" customWidth="1"/>
    <col min="2348" max="2348" width="29.140625" style="103" customWidth="1"/>
    <col min="2349" max="2349" width="33.5703125" style="103" customWidth="1"/>
    <col min="2350" max="2350" width="25" style="103" customWidth="1"/>
    <col min="2351" max="2351" width="11.7109375" style="103" customWidth="1"/>
    <col min="2352" max="2352" width="17.28515625" style="103" customWidth="1"/>
    <col min="2353" max="2368" width="7.28515625" style="103" customWidth="1"/>
    <col min="2369" max="2370" width="13.7109375" style="103" customWidth="1"/>
    <col min="2371" max="2371" width="20.85546875" style="103" customWidth="1"/>
    <col min="2372" max="2587" width="11.42578125" style="103"/>
    <col min="2588" max="2588" width="13.140625" style="103" customWidth="1"/>
    <col min="2589" max="2589" width="35.28515625" style="103" customWidth="1"/>
    <col min="2590" max="2590" width="12.85546875" style="103" customWidth="1"/>
    <col min="2591" max="2591" width="19.5703125" style="103" customWidth="1"/>
    <col min="2592" max="2592" width="12.28515625" style="103" customWidth="1"/>
    <col min="2593" max="2593" width="21.28515625" style="103" customWidth="1"/>
    <col min="2594" max="2594" width="11.5703125" style="103" customWidth="1"/>
    <col min="2595" max="2595" width="33.140625" style="103" customWidth="1"/>
    <col min="2596" max="2596" width="22.7109375" style="103" customWidth="1"/>
    <col min="2597" max="2597" width="10.7109375" style="103" customWidth="1"/>
    <col min="2598" max="2598" width="27.7109375" style="103" customWidth="1"/>
    <col min="2599" max="2599" width="21.42578125" style="103" customWidth="1"/>
    <col min="2600" max="2600" width="22.140625" style="103" customWidth="1"/>
    <col min="2601" max="2601" width="12.7109375" style="103" customWidth="1"/>
    <col min="2602" max="2602" width="16.42578125" style="103" customWidth="1"/>
    <col min="2603" max="2603" width="29.7109375" style="103" customWidth="1"/>
    <col min="2604" max="2604" width="29.140625" style="103" customWidth="1"/>
    <col min="2605" max="2605" width="33.5703125" style="103" customWidth="1"/>
    <col min="2606" max="2606" width="25" style="103" customWidth="1"/>
    <col min="2607" max="2607" width="11.7109375" style="103" customWidth="1"/>
    <col min="2608" max="2608" width="17.28515625" style="103" customWidth="1"/>
    <col min="2609" max="2624" width="7.28515625" style="103" customWidth="1"/>
    <col min="2625" max="2626" width="13.7109375" style="103" customWidth="1"/>
    <col min="2627" max="2627" width="20.85546875" style="103" customWidth="1"/>
    <col min="2628" max="2843" width="11.42578125" style="103"/>
    <col min="2844" max="2844" width="13.140625" style="103" customWidth="1"/>
    <col min="2845" max="2845" width="35.28515625" style="103" customWidth="1"/>
    <col min="2846" max="2846" width="12.85546875" style="103" customWidth="1"/>
    <col min="2847" max="2847" width="19.5703125" style="103" customWidth="1"/>
    <col min="2848" max="2848" width="12.28515625" style="103" customWidth="1"/>
    <col min="2849" max="2849" width="21.28515625" style="103" customWidth="1"/>
    <col min="2850" max="2850" width="11.5703125" style="103" customWidth="1"/>
    <col min="2851" max="2851" width="33.140625" style="103" customWidth="1"/>
    <col min="2852" max="2852" width="22.7109375" style="103" customWidth="1"/>
    <col min="2853" max="2853" width="10.7109375" style="103" customWidth="1"/>
    <col min="2854" max="2854" width="27.7109375" style="103" customWidth="1"/>
    <col min="2855" max="2855" width="21.42578125" style="103" customWidth="1"/>
    <col min="2856" max="2856" width="22.140625" style="103" customWidth="1"/>
    <col min="2857" max="2857" width="12.7109375" style="103" customWidth="1"/>
    <col min="2858" max="2858" width="16.42578125" style="103" customWidth="1"/>
    <col min="2859" max="2859" width="29.7109375" style="103" customWidth="1"/>
    <col min="2860" max="2860" width="29.140625" style="103" customWidth="1"/>
    <col min="2861" max="2861" width="33.5703125" style="103" customWidth="1"/>
    <col min="2862" max="2862" width="25" style="103" customWidth="1"/>
    <col min="2863" max="2863" width="11.7109375" style="103" customWidth="1"/>
    <col min="2864" max="2864" width="17.28515625" style="103" customWidth="1"/>
    <col min="2865" max="2880" width="7.28515625" style="103" customWidth="1"/>
    <col min="2881" max="2882" width="13.7109375" style="103" customWidth="1"/>
    <col min="2883" max="2883" width="20.85546875" style="103" customWidth="1"/>
    <col min="2884" max="3099" width="11.42578125" style="103"/>
    <col min="3100" max="3100" width="13.140625" style="103" customWidth="1"/>
    <col min="3101" max="3101" width="35.28515625" style="103" customWidth="1"/>
    <col min="3102" max="3102" width="12.85546875" style="103" customWidth="1"/>
    <col min="3103" max="3103" width="19.5703125" style="103" customWidth="1"/>
    <col min="3104" max="3104" width="12.28515625" style="103" customWidth="1"/>
    <col min="3105" max="3105" width="21.28515625" style="103" customWidth="1"/>
    <col min="3106" max="3106" width="11.5703125" style="103" customWidth="1"/>
    <col min="3107" max="3107" width="33.140625" style="103" customWidth="1"/>
    <col min="3108" max="3108" width="22.7109375" style="103" customWidth="1"/>
    <col min="3109" max="3109" width="10.7109375" style="103" customWidth="1"/>
    <col min="3110" max="3110" width="27.7109375" style="103" customWidth="1"/>
    <col min="3111" max="3111" width="21.42578125" style="103" customWidth="1"/>
    <col min="3112" max="3112" width="22.140625" style="103" customWidth="1"/>
    <col min="3113" max="3113" width="12.7109375" style="103" customWidth="1"/>
    <col min="3114" max="3114" width="16.42578125" style="103" customWidth="1"/>
    <col min="3115" max="3115" width="29.7109375" style="103" customWidth="1"/>
    <col min="3116" max="3116" width="29.140625" style="103" customWidth="1"/>
    <col min="3117" max="3117" width="33.5703125" style="103" customWidth="1"/>
    <col min="3118" max="3118" width="25" style="103" customWidth="1"/>
    <col min="3119" max="3119" width="11.7109375" style="103" customWidth="1"/>
    <col min="3120" max="3120" width="17.28515625" style="103" customWidth="1"/>
    <col min="3121" max="3136" width="7.28515625" style="103" customWidth="1"/>
    <col min="3137" max="3138" width="13.7109375" style="103" customWidth="1"/>
    <col min="3139" max="3139" width="20.85546875" style="103" customWidth="1"/>
    <col min="3140" max="3355" width="11.42578125" style="103"/>
    <col min="3356" max="3356" width="13.140625" style="103" customWidth="1"/>
    <col min="3357" max="3357" width="35.28515625" style="103" customWidth="1"/>
    <col min="3358" max="3358" width="12.85546875" style="103" customWidth="1"/>
    <col min="3359" max="3359" width="19.5703125" style="103" customWidth="1"/>
    <col min="3360" max="3360" width="12.28515625" style="103" customWidth="1"/>
    <col min="3361" max="3361" width="21.28515625" style="103" customWidth="1"/>
    <col min="3362" max="3362" width="11.5703125" style="103" customWidth="1"/>
    <col min="3363" max="3363" width="33.140625" style="103" customWidth="1"/>
    <col min="3364" max="3364" width="22.7109375" style="103" customWidth="1"/>
    <col min="3365" max="3365" width="10.7109375" style="103" customWidth="1"/>
    <col min="3366" max="3366" width="27.7109375" style="103" customWidth="1"/>
    <col min="3367" max="3367" width="21.42578125" style="103" customWidth="1"/>
    <col min="3368" max="3368" width="22.140625" style="103" customWidth="1"/>
    <col min="3369" max="3369" width="12.7109375" style="103" customWidth="1"/>
    <col min="3370" max="3370" width="16.42578125" style="103" customWidth="1"/>
    <col min="3371" max="3371" width="29.7109375" style="103" customWidth="1"/>
    <col min="3372" max="3372" width="29.140625" style="103" customWidth="1"/>
    <col min="3373" max="3373" width="33.5703125" style="103" customWidth="1"/>
    <col min="3374" max="3374" width="25" style="103" customWidth="1"/>
    <col min="3375" max="3375" width="11.7109375" style="103" customWidth="1"/>
    <col min="3376" max="3376" width="17.28515625" style="103" customWidth="1"/>
    <col min="3377" max="3392" width="7.28515625" style="103" customWidth="1"/>
    <col min="3393" max="3394" width="13.7109375" style="103" customWidth="1"/>
    <col min="3395" max="3395" width="20.85546875" style="103" customWidth="1"/>
    <col min="3396" max="3611" width="11.42578125" style="103"/>
    <col min="3612" max="3612" width="13.140625" style="103" customWidth="1"/>
    <col min="3613" max="3613" width="35.28515625" style="103" customWidth="1"/>
    <col min="3614" max="3614" width="12.85546875" style="103" customWidth="1"/>
    <col min="3615" max="3615" width="19.5703125" style="103" customWidth="1"/>
    <col min="3616" max="3616" width="12.28515625" style="103" customWidth="1"/>
    <col min="3617" max="3617" width="21.28515625" style="103" customWidth="1"/>
    <col min="3618" max="3618" width="11.5703125" style="103" customWidth="1"/>
    <col min="3619" max="3619" width="33.140625" style="103" customWidth="1"/>
    <col min="3620" max="3620" width="22.7109375" style="103" customWidth="1"/>
    <col min="3621" max="3621" width="10.7109375" style="103" customWidth="1"/>
    <col min="3622" max="3622" width="27.7109375" style="103" customWidth="1"/>
    <col min="3623" max="3623" width="21.42578125" style="103" customWidth="1"/>
    <col min="3624" max="3624" width="22.140625" style="103" customWidth="1"/>
    <col min="3625" max="3625" width="12.7109375" style="103" customWidth="1"/>
    <col min="3626" max="3626" width="16.42578125" style="103" customWidth="1"/>
    <col min="3627" max="3627" width="29.7109375" style="103" customWidth="1"/>
    <col min="3628" max="3628" width="29.140625" style="103" customWidth="1"/>
    <col min="3629" max="3629" width="33.5703125" style="103" customWidth="1"/>
    <col min="3630" max="3630" width="25" style="103" customWidth="1"/>
    <col min="3631" max="3631" width="11.7109375" style="103" customWidth="1"/>
    <col min="3632" max="3632" width="17.28515625" style="103" customWidth="1"/>
    <col min="3633" max="3648" width="7.28515625" style="103" customWidth="1"/>
    <col min="3649" max="3650" width="13.7109375" style="103" customWidth="1"/>
    <col min="3651" max="3651" width="20.85546875" style="103" customWidth="1"/>
    <col min="3652" max="3867" width="11.42578125" style="103"/>
    <col min="3868" max="3868" width="13.140625" style="103" customWidth="1"/>
    <col min="3869" max="3869" width="35.28515625" style="103" customWidth="1"/>
    <col min="3870" max="3870" width="12.85546875" style="103" customWidth="1"/>
    <col min="3871" max="3871" width="19.5703125" style="103" customWidth="1"/>
    <col min="3872" max="3872" width="12.28515625" style="103" customWidth="1"/>
    <col min="3873" max="3873" width="21.28515625" style="103" customWidth="1"/>
    <col min="3874" max="3874" width="11.5703125" style="103" customWidth="1"/>
    <col min="3875" max="3875" width="33.140625" style="103" customWidth="1"/>
    <col min="3876" max="3876" width="22.7109375" style="103" customWidth="1"/>
    <col min="3877" max="3877" width="10.7109375" style="103" customWidth="1"/>
    <col min="3878" max="3878" width="27.7109375" style="103" customWidth="1"/>
    <col min="3879" max="3879" width="21.42578125" style="103" customWidth="1"/>
    <col min="3880" max="3880" width="22.140625" style="103" customWidth="1"/>
    <col min="3881" max="3881" width="12.7109375" style="103" customWidth="1"/>
    <col min="3882" max="3882" width="16.42578125" style="103" customWidth="1"/>
    <col min="3883" max="3883" width="29.7109375" style="103" customWidth="1"/>
    <col min="3884" max="3884" width="29.140625" style="103" customWidth="1"/>
    <col min="3885" max="3885" width="33.5703125" style="103" customWidth="1"/>
    <col min="3886" max="3886" width="25" style="103" customWidth="1"/>
    <col min="3887" max="3887" width="11.7109375" style="103" customWidth="1"/>
    <col min="3888" max="3888" width="17.28515625" style="103" customWidth="1"/>
    <col min="3889" max="3904" width="7.28515625" style="103" customWidth="1"/>
    <col min="3905" max="3906" width="13.7109375" style="103" customWidth="1"/>
    <col min="3907" max="3907" width="20.85546875" style="103" customWidth="1"/>
    <col min="3908" max="4123" width="11.42578125" style="103"/>
    <col min="4124" max="4124" width="13.140625" style="103" customWidth="1"/>
    <col min="4125" max="4125" width="35.28515625" style="103" customWidth="1"/>
    <col min="4126" max="4126" width="12.85546875" style="103" customWidth="1"/>
    <col min="4127" max="4127" width="19.5703125" style="103" customWidth="1"/>
    <col min="4128" max="4128" width="12.28515625" style="103" customWidth="1"/>
    <col min="4129" max="4129" width="21.28515625" style="103" customWidth="1"/>
    <col min="4130" max="4130" width="11.5703125" style="103" customWidth="1"/>
    <col min="4131" max="4131" width="33.140625" style="103" customWidth="1"/>
    <col min="4132" max="4132" width="22.7109375" style="103" customWidth="1"/>
    <col min="4133" max="4133" width="10.7109375" style="103" customWidth="1"/>
    <col min="4134" max="4134" width="27.7109375" style="103" customWidth="1"/>
    <col min="4135" max="4135" width="21.42578125" style="103" customWidth="1"/>
    <col min="4136" max="4136" width="22.140625" style="103" customWidth="1"/>
    <col min="4137" max="4137" width="12.7109375" style="103" customWidth="1"/>
    <col min="4138" max="4138" width="16.42578125" style="103" customWidth="1"/>
    <col min="4139" max="4139" width="29.7109375" style="103" customWidth="1"/>
    <col min="4140" max="4140" width="29.140625" style="103" customWidth="1"/>
    <col min="4141" max="4141" width="33.5703125" style="103" customWidth="1"/>
    <col min="4142" max="4142" width="25" style="103" customWidth="1"/>
    <col min="4143" max="4143" width="11.7109375" style="103" customWidth="1"/>
    <col min="4144" max="4144" width="17.28515625" style="103" customWidth="1"/>
    <col min="4145" max="4160" width="7.28515625" style="103" customWidth="1"/>
    <col min="4161" max="4162" width="13.7109375" style="103" customWidth="1"/>
    <col min="4163" max="4163" width="20.85546875" style="103" customWidth="1"/>
    <col min="4164" max="4379" width="11.42578125" style="103"/>
    <col min="4380" max="4380" width="13.140625" style="103" customWidth="1"/>
    <col min="4381" max="4381" width="35.28515625" style="103" customWidth="1"/>
    <col min="4382" max="4382" width="12.85546875" style="103" customWidth="1"/>
    <col min="4383" max="4383" width="19.5703125" style="103" customWidth="1"/>
    <col min="4384" max="4384" width="12.28515625" style="103" customWidth="1"/>
    <col min="4385" max="4385" width="21.28515625" style="103" customWidth="1"/>
    <col min="4386" max="4386" width="11.5703125" style="103" customWidth="1"/>
    <col min="4387" max="4387" width="33.140625" style="103" customWidth="1"/>
    <col min="4388" max="4388" width="22.7109375" style="103" customWidth="1"/>
    <col min="4389" max="4389" width="10.7109375" style="103" customWidth="1"/>
    <col min="4390" max="4390" width="27.7109375" style="103" customWidth="1"/>
    <col min="4391" max="4391" width="21.42578125" style="103" customWidth="1"/>
    <col min="4392" max="4392" width="22.140625" style="103" customWidth="1"/>
    <col min="4393" max="4393" width="12.7109375" style="103" customWidth="1"/>
    <col min="4394" max="4394" width="16.42578125" style="103" customWidth="1"/>
    <col min="4395" max="4395" width="29.7109375" style="103" customWidth="1"/>
    <col min="4396" max="4396" width="29.140625" style="103" customWidth="1"/>
    <col min="4397" max="4397" width="33.5703125" style="103" customWidth="1"/>
    <col min="4398" max="4398" width="25" style="103" customWidth="1"/>
    <col min="4399" max="4399" width="11.7109375" style="103" customWidth="1"/>
    <col min="4400" max="4400" width="17.28515625" style="103" customWidth="1"/>
    <col min="4401" max="4416" width="7.28515625" style="103" customWidth="1"/>
    <col min="4417" max="4418" width="13.7109375" style="103" customWidth="1"/>
    <col min="4419" max="4419" width="20.85546875" style="103" customWidth="1"/>
    <col min="4420" max="4635" width="11.42578125" style="103"/>
    <col min="4636" max="4636" width="13.140625" style="103" customWidth="1"/>
    <col min="4637" max="4637" width="35.28515625" style="103" customWidth="1"/>
    <col min="4638" max="4638" width="12.85546875" style="103" customWidth="1"/>
    <col min="4639" max="4639" width="19.5703125" style="103" customWidth="1"/>
    <col min="4640" max="4640" width="12.28515625" style="103" customWidth="1"/>
    <col min="4641" max="4641" width="21.28515625" style="103" customWidth="1"/>
    <col min="4642" max="4642" width="11.5703125" style="103" customWidth="1"/>
    <col min="4643" max="4643" width="33.140625" style="103" customWidth="1"/>
    <col min="4644" max="4644" width="22.7109375" style="103" customWidth="1"/>
    <col min="4645" max="4645" width="10.7109375" style="103" customWidth="1"/>
    <col min="4646" max="4646" width="27.7109375" style="103" customWidth="1"/>
    <col min="4647" max="4647" width="21.42578125" style="103" customWidth="1"/>
    <col min="4648" max="4648" width="22.140625" style="103" customWidth="1"/>
    <col min="4649" max="4649" width="12.7109375" style="103" customWidth="1"/>
    <col min="4650" max="4650" width="16.42578125" style="103" customWidth="1"/>
    <col min="4651" max="4651" width="29.7109375" style="103" customWidth="1"/>
    <col min="4652" max="4652" width="29.140625" style="103" customWidth="1"/>
    <col min="4653" max="4653" width="33.5703125" style="103" customWidth="1"/>
    <col min="4654" max="4654" width="25" style="103" customWidth="1"/>
    <col min="4655" max="4655" width="11.7109375" style="103" customWidth="1"/>
    <col min="4656" max="4656" width="17.28515625" style="103" customWidth="1"/>
    <col min="4657" max="4672" width="7.28515625" style="103" customWidth="1"/>
    <col min="4673" max="4674" width="13.7109375" style="103" customWidth="1"/>
    <col min="4675" max="4675" width="20.85546875" style="103" customWidth="1"/>
    <col min="4676" max="4891" width="11.42578125" style="103"/>
    <col min="4892" max="4892" width="13.140625" style="103" customWidth="1"/>
    <col min="4893" max="4893" width="35.28515625" style="103" customWidth="1"/>
    <col min="4894" max="4894" width="12.85546875" style="103" customWidth="1"/>
    <col min="4895" max="4895" width="19.5703125" style="103" customWidth="1"/>
    <col min="4896" max="4896" width="12.28515625" style="103" customWidth="1"/>
    <col min="4897" max="4897" width="21.28515625" style="103" customWidth="1"/>
    <col min="4898" max="4898" width="11.5703125" style="103" customWidth="1"/>
    <col min="4899" max="4899" width="33.140625" style="103" customWidth="1"/>
    <col min="4900" max="4900" width="22.7109375" style="103" customWidth="1"/>
    <col min="4901" max="4901" width="10.7109375" style="103" customWidth="1"/>
    <col min="4902" max="4902" width="27.7109375" style="103" customWidth="1"/>
    <col min="4903" max="4903" width="21.42578125" style="103" customWidth="1"/>
    <col min="4904" max="4904" width="22.140625" style="103" customWidth="1"/>
    <col min="4905" max="4905" width="12.7109375" style="103" customWidth="1"/>
    <col min="4906" max="4906" width="16.42578125" style="103" customWidth="1"/>
    <col min="4907" max="4907" width="29.7109375" style="103" customWidth="1"/>
    <col min="4908" max="4908" width="29.140625" style="103" customWidth="1"/>
    <col min="4909" max="4909" width="33.5703125" style="103" customWidth="1"/>
    <col min="4910" max="4910" width="25" style="103" customWidth="1"/>
    <col min="4911" max="4911" width="11.7109375" style="103" customWidth="1"/>
    <col min="4912" max="4912" width="17.28515625" style="103" customWidth="1"/>
    <col min="4913" max="4928" width="7.28515625" style="103" customWidth="1"/>
    <col min="4929" max="4930" width="13.7109375" style="103" customWidth="1"/>
    <col min="4931" max="4931" width="20.85546875" style="103" customWidth="1"/>
    <col min="4932" max="5147" width="11.42578125" style="103"/>
    <col min="5148" max="5148" width="13.140625" style="103" customWidth="1"/>
    <col min="5149" max="5149" width="35.28515625" style="103" customWidth="1"/>
    <col min="5150" max="5150" width="12.85546875" style="103" customWidth="1"/>
    <col min="5151" max="5151" width="19.5703125" style="103" customWidth="1"/>
    <col min="5152" max="5152" width="12.28515625" style="103" customWidth="1"/>
    <col min="5153" max="5153" width="21.28515625" style="103" customWidth="1"/>
    <col min="5154" max="5154" width="11.5703125" style="103" customWidth="1"/>
    <col min="5155" max="5155" width="33.140625" style="103" customWidth="1"/>
    <col min="5156" max="5156" width="22.7109375" style="103" customWidth="1"/>
    <col min="5157" max="5157" width="10.7109375" style="103" customWidth="1"/>
    <col min="5158" max="5158" width="27.7109375" style="103" customWidth="1"/>
    <col min="5159" max="5159" width="21.42578125" style="103" customWidth="1"/>
    <col min="5160" max="5160" width="22.140625" style="103" customWidth="1"/>
    <col min="5161" max="5161" width="12.7109375" style="103" customWidth="1"/>
    <col min="5162" max="5162" width="16.42578125" style="103" customWidth="1"/>
    <col min="5163" max="5163" width="29.7109375" style="103" customWidth="1"/>
    <col min="5164" max="5164" width="29.140625" style="103" customWidth="1"/>
    <col min="5165" max="5165" width="33.5703125" style="103" customWidth="1"/>
    <col min="5166" max="5166" width="25" style="103" customWidth="1"/>
    <col min="5167" max="5167" width="11.7109375" style="103" customWidth="1"/>
    <col min="5168" max="5168" width="17.28515625" style="103" customWidth="1"/>
    <col min="5169" max="5184" width="7.28515625" style="103" customWidth="1"/>
    <col min="5185" max="5186" width="13.7109375" style="103" customWidth="1"/>
    <col min="5187" max="5187" width="20.85546875" style="103" customWidth="1"/>
    <col min="5188" max="5403" width="11.42578125" style="103"/>
    <col min="5404" max="5404" width="13.140625" style="103" customWidth="1"/>
    <col min="5405" max="5405" width="35.28515625" style="103" customWidth="1"/>
    <col min="5406" max="5406" width="12.85546875" style="103" customWidth="1"/>
    <col min="5407" max="5407" width="19.5703125" style="103" customWidth="1"/>
    <col min="5408" max="5408" width="12.28515625" style="103" customWidth="1"/>
    <col min="5409" max="5409" width="21.28515625" style="103" customWidth="1"/>
    <col min="5410" max="5410" width="11.5703125" style="103" customWidth="1"/>
    <col min="5411" max="5411" width="33.140625" style="103" customWidth="1"/>
    <col min="5412" max="5412" width="22.7109375" style="103" customWidth="1"/>
    <col min="5413" max="5413" width="10.7109375" style="103" customWidth="1"/>
    <col min="5414" max="5414" width="27.7109375" style="103" customWidth="1"/>
    <col min="5415" max="5415" width="21.42578125" style="103" customWidth="1"/>
    <col min="5416" max="5416" width="22.140625" style="103" customWidth="1"/>
    <col min="5417" max="5417" width="12.7109375" style="103" customWidth="1"/>
    <col min="5418" max="5418" width="16.42578125" style="103" customWidth="1"/>
    <col min="5419" max="5419" width="29.7109375" style="103" customWidth="1"/>
    <col min="5420" max="5420" width="29.140625" style="103" customWidth="1"/>
    <col min="5421" max="5421" width="33.5703125" style="103" customWidth="1"/>
    <col min="5422" max="5422" width="25" style="103" customWidth="1"/>
    <col min="5423" max="5423" width="11.7109375" style="103" customWidth="1"/>
    <col min="5424" max="5424" width="17.28515625" style="103" customWidth="1"/>
    <col min="5425" max="5440" width="7.28515625" style="103" customWidth="1"/>
    <col min="5441" max="5442" width="13.7109375" style="103" customWidth="1"/>
    <col min="5443" max="5443" width="20.85546875" style="103" customWidth="1"/>
    <col min="5444" max="5659" width="11.42578125" style="103"/>
    <col min="5660" max="5660" width="13.140625" style="103" customWidth="1"/>
    <col min="5661" max="5661" width="35.28515625" style="103" customWidth="1"/>
    <col min="5662" max="5662" width="12.85546875" style="103" customWidth="1"/>
    <col min="5663" max="5663" width="19.5703125" style="103" customWidth="1"/>
    <col min="5664" max="5664" width="12.28515625" style="103" customWidth="1"/>
    <col min="5665" max="5665" width="21.28515625" style="103" customWidth="1"/>
    <col min="5666" max="5666" width="11.5703125" style="103" customWidth="1"/>
    <col min="5667" max="5667" width="33.140625" style="103" customWidth="1"/>
    <col min="5668" max="5668" width="22.7109375" style="103" customWidth="1"/>
    <col min="5669" max="5669" width="10.7109375" style="103" customWidth="1"/>
    <col min="5670" max="5670" width="27.7109375" style="103" customWidth="1"/>
    <col min="5671" max="5671" width="21.42578125" style="103" customWidth="1"/>
    <col min="5672" max="5672" width="22.140625" style="103" customWidth="1"/>
    <col min="5673" max="5673" width="12.7109375" style="103" customWidth="1"/>
    <col min="5674" max="5674" width="16.42578125" style="103" customWidth="1"/>
    <col min="5675" max="5675" width="29.7109375" style="103" customWidth="1"/>
    <col min="5676" max="5676" width="29.140625" style="103" customWidth="1"/>
    <col min="5677" max="5677" width="33.5703125" style="103" customWidth="1"/>
    <col min="5678" max="5678" width="25" style="103" customWidth="1"/>
    <col min="5679" max="5679" width="11.7109375" style="103" customWidth="1"/>
    <col min="5680" max="5680" width="17.28515625" style="103" customWidth="1"/>
    <col min="5681" max="5696" width="7.28515625" style="103" customWidth="1"/>
    <col min="5697" max="5698" width="13.7109375" style="103" customWidth="1"/>
    <col min="5699" max="5699" width="20.85546875" style="103" customWidth="1"/>
    <col min="5700" max="5915" width="11.42578125" style="103"/>
    <col min="5916" max="5916" width="13.140625" style="103" customWidth="1"/>
    <col min="5917" max="5917" width="35.28515625" style="103" customWidth="1"/>
    <col min="5918" max="5918" width="12.85546875" style="103" customWidth="1"/>
    <col min="5919" max="5919" width="19.5703125" style="103" customWidth="1"/>
    <col min="5920" max="5920" width="12.28515625" style="103" customWidth="1"/>
    <col min="5921" max="5921" width="21.28515625" style="103" customWidth="1"/>
    <col min="5922" max="5922" width="11.5703125" style="103" customWidth="1"/>
    <col min="5923" max="5923" width="33.140625" style="103" customWidth="1"/>
    <col min="5924" max="5924" width="22.7109375" style="103" customWidth="1"/>
    <col min="5925" max="5925" width="10.7109375" style="103" customWidth="1"/>
    <col min="5926" max="5926" width="27.7109375" style="103" customWidth="1"/>
    <col min="5927" max="5927" width="21.42578125" style="103" customWidth="1"/>
    <col min="5928" max="5928" width="22.140625" style="103" customWidth="1"/>
    <col min="5929" max="5929" width="12.7109375" style="103" customWidth="1"/>
    <col min="5930" max="5930" width="16.42578125" style="103" customWidth="1"/>
    <col min="5931" max="5931" width="29.7109375" style="103" customWidth="1"/>
    <col min="5932" max="5932" width="29.140625" style="103" customWidth="1"/>
    <col min="5933" max="5933" width="33.5703125" style="103" customWidth="1"/>
    <col min="5934" max="5934" width="25" style="103" customWidth="1"/>
    <col min="5935" max="5935" width="11.7109375" style="103" customWidth="1"/>
    <col min="5936" max="5936" width="17.28515625" style="103" customWidth="1"/>
    <col min="5937" max="5952" width="7.28515625" style="103" customWidth="1"/>
    <col min="5953" max="5954" width="13.7109375" style="103" customWidth="1"/>
    <col min="5955" max="5955" width="20.85546875" style="103" customWidth="1"/>
    <col min="5956" max="6171" width="11.42578125" style="103"/>
    <col min="6172" max="6172" width="13.140625" style="103" customWidth="1"/>
    <col min="6173" max="6173" width="35.28515625" style="103" customWidth="1"/>
    <col min="6174" max="6174" width="12.85546875" style="103" customWidth="1"/>
    <col min="6175" max="6175" width="19.5703125" style="103" customWidth="1"/>
    <col min="6176" max="6176" width="12.28515625" style="103" customWidth="1"/>
    <col min="6177" max="6177" width="21.28515625" style="103" customWidth="1"/>
    <col min="6178" max="6178" width="11.5703125" style="103" customWidth="1"/>
    <col min="6179" max="6179" width="33.140625" style="103" customWidth="1"/>
    <col min="6180" max="6180" width="22.7109375" style="103" customWidth="1"/>
    <col min="6181" max="6181" width="10.7109375" style="103" customWidth="1"/>
    <col min="6182" max="6182" width="27.7109375" style="103" customWidth="1"/>
    <col min="6183" max="6183" width="21.42578125" style="103" customWidth="1"/>
    <col min="6184" max="6184" width="22.140625" style="103" customWidth="1"/>
    <col min="6185" max="6185" width="12.7109375" style="103" customWidth="1"/>
    <col min="6186" max="6186" width="16.42578125" style="103" customWidth="1"/>
    <col min="6187" max="6187" width="29.7109375" style="103" customWidth="1"/>
    <col min="6188" max="6188" width="29.140625" style="103" customWidth="1"/>
    <col min="6189" max="6189" width="33.5703125" style="103" customWidth="1"/>
    <col min="6190" max="6190" width="25" style="103" customWidth="1"/>
    <col min="6191" max="6191" width="11.7109375" style="103" customWidth="1"/>
    <col min="6192" max="6192" width="17.28515625" style="103" customWidth="1"/>
    <col min="6193" max="6208" width="7.28515625" style="103" customWidth="1"/>
    <col min="6209" max="6210" width="13.7109375" style="103" customWidth="1"/>
    <col min="6211" max="6211" width="20.85546875" style="103" customWidth="1"/>
    <col min="6212" max="6427" width="11.42578125" style="103"/>
    <col min="6428" max="6428" width="13.140625" style="103" customWidth="1"/>
    <col min="6429" max="6429" width="35.28515625" style="103" customWidth="1"/>
    <col min="6430" max="6430" width="12.85546875" style="103" customWidth="1"/>
    <col min="6431" max="6431" width="19.5703125" style="103" customWidth="1"/>
    <col min="6432" max="6432" width="12.28515625" style="103" customWidth="1"/>
    <col min="6433" max="6433" width="21.28515625" style="103" customWidth="1"/>
    <col min="6434" max="6434" width="11.5703125" style="103" customWidth="1"/>
    <col min="6435" max="6435" width="33.140625" style="103" customWidth="1"/>
    <col min="6436" max="6436" width="22.7109375" style="103" customWidth="1"/>
    <col min="6437" max="6437" width="10.7109375" style="103" customWidth="1"/>
    <col min="6438" max="6438" width="27.7109375" style="103" customWidth="1"/>
    <col min="6439" max="6439" width="21.42578125" style="103" customWidth="1"/>
    <col min="6440" max="6440" width="22.140625" style="103" customWidth="1"/>
    <col min="6441" max="6441" width="12.7109375" style="103" customWidth="1"/>
    <col min="6442" max="6442" width="16.42578125" style="103" customWidth="1"/>
    <col min="6443" max="6443" width="29.7109375" style="103" customWidth="1"/>
    <col min="6444" max="6444" width="29.140625" style="103" customWidth="1"/>
    <col min="6445" max="6445" width="33.5703125" style="103" customWidth="1"/>
    <col min="6446" max="6446" width="25" style="103" customWidth="1"/>
    <col min="6447" max="6447" width="11.7109375" style="103" customWidth="1"/>
    <col min="6448" max="6448" width="17.28515625" style="103" customWidth="1"/>
    <col min="6449" max="6464" width="7.28515625" style="103" customWidth="1"/>
    <col min="6465" max="6466" width="13.7109375" style="103" customWidth="1"/>
    <col min="6467" max="6467" width="20.85546875" style="103" customWidth="1"/>
    <col min="6468" max="6683" width="11.42578125" style="103"/>
    <col min="6684" max="6684" width="13.140625" style="103" customWidth="1"/>
    <col min="6685" max="6685" width="35.28515625" style="103" customWidth="1"/>
    <col min="6686" max="6686" width="12.85546875" style="103" customWidth="1"/>
    <col min="6687" max="6687" width="19.5703125" style="103" customWidth="1"/>
    <col min="6688" max="6688" width="12.28515625" style="103" customWidth="1"/>
    <col min="6689" max="6689" width="21.28515625" style="103" customWidth="1"/>
    <col min="6690" max="6690" width="11.5703125" style="103" customWidth="1"/>
    <col min="6691" max="6691" width="33.140625" style="103" customWidth="1"/>
    <col min="6692" max="6692" width="22.7109375" style="103" customWidth="1"/>
    <col min="6693" max="6693" width="10.7109375" style="103" customWidth="1"/>
    <col min="6694" max="6694" width="27.7109375" style="103" customWidth="1"/>
    <col min="6695" max="6695" width="21.42578125" style="103" customWidth="1"/>
    <col min="6696" max="6696" width="22.140625" style="103" customWidth="1"/>
    <col min="6697" max="6697" width="12.7109375" style="103" customWidth="1"/>
    <col min="6698" max="6698" width="16.42578125" style="103" customWidth="1"/>
    <col min="6699" max="6699" width="29.7109375" style="103" customWidth="1"/>
    <col min="6700" max="6700" width="29.140625" style="103" customWidth="1"/>
    <col min="6701" max="6701" width="33.5703125" style="103" customWidth="1"/>
    <col min="6702" max="6702" width="25" style="103" customWidth="1"/>
    <col min="6703" max="6703" width="11.7109375" style="103" customWidth="1"/>
    <col min="6704" max="6704" width="17.28515625" style="103" customWidth="1"/>
    <col min="6705" max="6720" width="7.28515625" style="103" customWidth="1"/>
    <col min="6721" max="6722" width="13.7109375" style="103" customWidth="1"/>
    <col min="6723" max="6723" width="20.85546875" style="103" customWidth="1"/>
    <col min="6724" max="6939" width="11.42578125" style="103"/>
    <col min="6940" max="6940" width="13.140625" style="103" customWidth="1"/>
    <col min="6941" max="6941" width="35.28515625" style="103" customWidth="1"/>
    <col min="6942" max="6942" width="12.85546875" style="103" customWidth="1"/>
    <col min="6943" max="6943" width="19.5703125" style="103" customWidth="1"/>
    <col min="6944" max="6944" width="12.28515625" style="103" customWidth="1"/>
    <col min="6945" max="6945" width="21.28515625" style="103" customWidth="1"/>
    <col min="6946" max="6946" width="11.5703125" style="103" customWidth="1"/>
    <col min="6947" max="6947" width="33.140625" style="103" customWidth="1"/>
    <col min="6948" max="6948" width="22.7109375" style="103" customWidth="1"/>
    <col min="6949" max="6949" width="10.7109375" style="103" customWidth="1"/>
    <col min="6950" max="6950" width="27.7109375" style="103" customWidth="1"/>
    <col min="6951" max="6951" width="21.42578125" style="103" customWidth="1"/>
    <col min="6952" max="6952" width="22.140625" style="103" customWidth="1"/>
    <col min="6953" max="6953" width="12.7109375" style="103" customWidth="1"/>
    <col min="6954" max="6954" width="16.42578125" style="103" customWidth="1"/>
    <col min="6955" max="6955" width="29.7109375" style="103" customWidth="1"/>
    <col min="6956" max="6956" width="29.140625" style="103" customWidth="1"/>
    <col min="6957" max="6957" width="33.5703125" style="103" customWidth="1"/>
    <col min="6958" max="6958" width="25" style="103" customWidth="1"/>
    <col min="6959" max="6959" width="11.7109375" style="103" customWidth="1"/>
    <col min="6960" max="6960" width="17.28515625" style="103" customWidth="1"/>
    <col min="6961" max="6976" width="7.28515625" style="103" customWidth="1"/>
    <col min="6977" max="6978" width="13.7109375" style="103" customWidth="1"/>
    <col min="6979" max="6979" width="20.85546875" style="103" customWidth="1"/>
    <col min="6980" max="7195" width="11.42578125" style="103"/>
    <col min="7196" max="7196" width="13.140625" style="103" customWidth="1"/>
    <col min="7197" max="7197" width="35.28515625" style="103" customWidth="1"/>
    <col min="7198" max="7198" width="12.85546875" style="103" customWidth="1"/>
    <col min="7199" max="7199" width="19.5703125" style="103" customWidth="1"/>
    <col min="7200" max="7200" width="12.28515625" style="103" customWidth="1"/>
    <col min="7201" max="7201" width="21.28515625" style="103" customWidth="1"/>
    <col min="7202" max="7202" width="11.5703125" style="103" customWidth="1"/>
    <col min="7203" max="7203" width="33.140625" style="103" customWidth="1"/>
    <col min="7204" max="7204" width="22.7109375" style="103" customWidth="1"/>
    <col min="7205" max="7205" width="10.7109375" style="103" customWidth="1"/>
    <col min="7206" max="7206" width="27.7109375" style="103" customWidth="1"/>
    <col min="7207" max="7207" width="21.42578125" style="103" customWidth="1"/>
    <col min="7208" max="7208" width="22.140625" style="103" customWidth="1"/>
    <col min="7209" max="7209" width="12.7109375" style="103" customWidth="1"/>
    <col min="7210" max="7210" width="16.42578125" style="103" customWidth="1"/>
    <col min="7211" max="7211" width="29.7109375" style="103" customWidth="1"/>
    <col min="7212" max="7212" width="29.140625" style="103" customWidth="1"/>
    <col min="7213" max="7213" width="33.5703125" style="103" customWidth="1"/>
    <col min="7214" max="7214" width="25" style="103" customWidth="1"/>
    <col min="7215" max="7215" width="11.7109375" style="103" customWidth="1"/>
    <col min="7216" max="7216" width="17.28515625" style="103" customWidth="1"/>
    <col min="7217" max="7232" width="7.28515625" style="103" customWidth="1"/>
    <col min="7233" max="7234" width="13.7109375" style="103" customWidth="1"/>
    <col min="7235" max="7235" width="20.85546875" style="103" customWidth="1"/>
    <col min="7236" max="7451" width="11.42578125" style="103"/>
    <col min="7452" max="7452" width="13.140625" style="103" customWidth="1"/>
    <col min="7453" max="7453" width="35.28515625" style="103" customWidth="1"/>
    <col min="7454" max="7454" width="12.85546875" style="103" customWidth="1"/>
    <col min="7455" max="7455" width="19.5703125" style="103" customWidth="1"/>
    <col min="7456" max="7456" width="12.28515625" style="103" customWidth="1"/>
    <col min="7457" max="7457" width="21.28515625" style="103" customWidth="1"/>
    <col min="7458" max="7458" width="11.5703125" style="103" customWidth="1"/>
    <col min="7459" max="7459" width="33.140625" style="103" customWidth="1"/>
    <col min="7460" max="7460" width="22.7109375" style="103" customWidth="1"/>
    <col min="7461" max="7461" width="10.7109375" style="103" customWidth="1"/>
    <col min="7462" max="7462" width="27.7109375" style="103" customWidth="1"/>
    <col min="7463" max="7463" width="21.42578125" style="103" customWidth="1"/>
    <col min="7464" max="7464" width="22.140625" style="103" customWidth="1"/>
    <col min="7465" max="7465" width="12.7109375" style="103" customWidth="1"/>
    <col min="7466" max="7466" width="16.42578125" style="103" customWidth="1"/>
    <col min="7467" max="7467" width="29.7109375" style="103" customWidth="1"/>
    <col min="7468" max="7468" width="29.140625" style="103" customWidth="1"/>
    <col min="7469" max="7469" width="33.5703125" style="103" customWidth="1"/>
    <col min="7470" max="7470" width="25" style="103" customWidth="1"/>
    <col min="7471" max="7471" width="11.7109375" style="103" customWidth="1"/>
    <col min="7472" max="7472" width="17.28515625" style="103" customWidth="1"/>
    <col min="7473" max="7488" width="7.28515625" style="103" customWidth="1"/>
    <col min="7489" max="7490" width="13.7109375" style="103" customWidth="1"/>
    <col min="7491" max="7491" width="20.85546875" style="103" customWidth="1"/>
    <col min="7492" max="7707" width="11.42578125" style="103"/>
    <col min="7708" max="7708" width="13.140625" style="103" customWidth="1"/>
    <col min="7709" max="7709" width="35.28515625" style="103" customWidth="1"/>
    <col min="7710" max="7710" width="12.85546875" style="103" customWidth="1"/>
    <col min="7711" max="7711" width="19.5703125" style="103" customWidth="1"/>
    <col min="7712" max="7712" width="12.28515625" style="103" customWidth="1"/>
    <col min="7713" max="7713" width="21.28515625" style="103" customWidth="1"/>
    <col min="7714" max="7714" width="11.5703125" style="103" customWidth="1"/>
    <col min="7715" max="7715" width="33.140625" style="103" customWidth="1"/>
    <col min="7716" max="7716" width="22.7109375" style="103" customWidth="1"/>
    <col min="7717" max="7717" width="10.7109375" style="103" customWidth="1"/>
    <col min="7718" max="7718" width="27.7109375" style="103" customWidth="1"/>
    <col min="7719" max="7719" width="21.42578125" style="103" customWidth="1"/>
    <col min="7720" max="7720" width="22.140625" style="103" customWidth="1"/>
    <col min="7721" max="7721" width="12.7109375" style="103" customWidth="1"/>
    <col min="7722" max="7722" width="16.42578125" style="103" customWidth="1"/>
    <col min="7723" max="7723" width="29.7109375" style="103" customWidth="1"/>
    <col min="7724" max="7724" width="29.140625" style="103" customWidth="1"/>
    <col min="7725" max="7725" width="33.5703125" style="103" customWidth="1"/>
    <col min="7726" max="7726" width="25" style="103" customWidth="1"/>
    <col min="7727" max="7727" width="11.7109375" style="103" customWidth="1"/>
    <col min="7728" max="7728" width="17.28515625" style="103" customWidth="1"/>
    <col min="7729" max="7744" width="7.28515625" style="103" customWidth="1"/>
    <col min="7745" max="7746" width="13.7109375" style="103" customWidth="1"/>
    <col min="7747" max="7747" width="20.85546875" style="103" customWidth="1"/>
    <col min="7748" max="7963" width="11.42578125" style="103"/>
    <col min="7964" max="7964" width="13.140625" style="103" customWidth="1"/>
    <col min="7965" max="7965" width="35.28515625" style="103" customWidth="1"/>
    <col min="7966" max="7966" width="12.85546875" style="103" customWidth="1"/>
    <col min="7967" max="7967" width="19.5703125" style="103" customWidth="1"/>
    <col min="7968" max="7968" width="12.28515625" style="103" customWidth="1"/>
    <col min="7969" max="7969" width="21.28515625" style="103" customWidth="1"/>
    <col min="7970" max="7970" width="11.5703125" style="103" customWidth="1"/>
    <col min="7971" max="7971" width="33.140625" style="103" customWidth="1"/>
    <col min="7972" max="7972" width="22.7109375" style="103" customWidth="1"/>
    <col min="7973" max="7973" width="10.7109375" style="103" customWidth="1"/>
    <col min="7974" max="7974" width="27.7109375" style="103" customWidth="1"/>
    <col min="7975" max="7975" width="21.42578125" style="103" customWidth="1"/>
    <col min="7976" max="7976" width="22.140625" style="103" customWidth="1"/>
    <col min="7977" max="7977" width="12.7109375" style="103" customWidth="1"/>
    <col min="7978" max="7978" width="16.42578125" style="103" customWidth="1"/>
    <col min="7979" max="7979" width="29.7109375" style="103" customWidth="1"/>
    <col min="7980" max="7980" width="29.140625" style="103" customWidth="1"/>
    <col min="7981" max="7981" width="33.5703125" style="103" customWidth="1"/>
    <col min="7982" max="7982" width="25" style="103" customWidth="1"/>
    <col min="7983" max="7983" width="11.7109375" style="103" customWidth="1"/>
    <col min="7984" max="7984" width="17.28515625" style="103" customWidth="1"/>
    <col min="7985" max="8000" width="7.28515625" style="103" customWidth="1"/>
    <col min="8001" max="8002" width="13.7109375" style="103" customWidth="1"/>
    <col min="8003" max="8003" width="20.85546875" style="103" customWidth="1"/>
    <col min="8004" max="8219" width="11.42578125" style="103"/>
    <col min="8220" max="8220" width="13.140625" style="103" customWidth="1"/>
    <col min="8221" max="8221" width="35.28515625" style="103" customWidth="1"/>
    <col min="8222" max="8222" width="12.85546875" style="103" customWidth="1"/>
    <col min="8223" max="8223" width="19.5703125" style="103" customWidth="1"/>
    <col min="8224" max="8224" width="12.28515625" style="103" customWidth="1"/>
    <col min="8225" max="8225" width="21.28515625" style="103" customWidth="1"/>
    <col min="8226" max="8226" width="11.5703125" style="103" customWidth="1"/>
    <col min="8227" max="8227" width="33.140625" style="103" customWidth="1"/>
    <col min="8228" max="8228" width="22.7109375" style="103" customWidth="1"/>
    <col min="8229" max="8229" width="10.7109375" style="103" customWidth="1"/>
    <col min="8230" max="8230" width="27.7109375" style="103" customWidth="1"/>
    <col min="8231" max="8231" width="21.42578125" style="103" customWidth="1"/>
    <col min="8232" max="8232" width="22.140625" style="103" customWidth="1"/>
    <col min="8233" max="8233" width="12.7109375" style="103" customWidth="1"/>
    <col min="8234" max="8234" width="16.42578125" style="103" customWidth="1"/>
    <col min="8235" max="8235" width="29.7109375" style="103" customWidth="1"/>
    <col min="8236" max="8236" width="29.140625" style="103" customWidth="1"/>
    <col min="8237" max="8237" width="33.5703125" style="103" customWidth="1"/>
    <col min="8238" max="8238" width="25" style="103" customWidth="1"/>
    <col min="8239" max="8239" width="11.7109375" style="103" customWidth="1"/>
    <col min="8240" max="8240" width="17.28515625" style="103" customWidth="1"/>
    <col min="8241" max="8256" width="7.28515625" style="103" customWidth="1"/>
    <col min="8257" max="8258" width="13.7109375" style="103" customWidth="1"/>
    <col min="8259" max="8259" width="20.85546875" style="103" customWidth="1"/>
    <col min="8260" max="8475" width="11.42578125" style="103"/>
    <col min="8476" max="8476" width="13.140625" style="103" customWidth="1"/>
    <col min="8477" max="8477" width="35.28515625" style="103" customWidth="1"/>
    <col min="8478" max="8478" width="12.85546875" style="103" customWidth="1"/>
    <col min="8479" max="8479" width="19.5703125" style="103" customWidth="1"/>
    <col min="8480" max="8480" width="12.28515625" style="103" customWidth="1"/>
    <col min="8481" max="8481" width="21.28515625" style="103" customWidth="1"/>
    <col min="8482" max="8482" width="11.5703125" style="103" customWidth="1"/>
    <col min="8483" max="8483" width="33.140625" style="103" customWidth="1"/>
    <col min="8484" max="8484" width="22.7109375" style="103" customWidth="1"/>
    <col min="8485" max="8485" width="10.7109375" style="103" customWidth="1"/>
    <col min="8486" max="8486" width="27.7109375" style="103" customWidth="1"/>
    <col min="8487" max="8487" width="21.42578125" style="103" customWidth="1"/>
    <col min="8488" max="8488" width="22.140625" style="103" customWidth="1"/>
    <col min="8489" max="8489" width="12.7109375" style="103" customWidth="1"/>
    <col min="8490" max="8490" width="16.42578125" style="103" customWidth="1"/>
    <col min="8491" max="8491" width="29.7109375" style="103" customWidth="1"/>
    <col min="8492" max="8492" width="29.140625" style="103" customWidth="1"/>
    <col min="8493" max="8493" width="33.5703125" style="103" customWidth="1"/>
    <col min="8494" max="8494" width="25" style="103" customWidth="1"/>
    <col min="8495" max="8495" width="11.7109375" style="103" customWidth="1"/>
    <col min="8496" max="8496" width="17.28515625" style="103" customWidth="1"/>
    <col min="8497" max="8512" width="7.28515625" style="103" customWidth="1"/>
    <col min="8513" max="8514" width="13.7109375" style="103" customWidth="1"/>
    <col min="8515" max="8515" width="20.85546875" style="103" customWidth="1"/>
    <col min="8516" max="8731" width="11.42578125" style="103"/>
    <col min="8732" max="8732" width="13.140625" style="103" customWidth="1"/>
    <col min="8733" max="8733" width="35.28515625" style="103" customWidth="1"/>
    <col min="8734" max="8734" width="12.85546875" style="103" customWidth="1"/>
    <col min="8735" max="8735" width="19.5703125" style="103" customWidth="1"/>
    <col min="8736" max="8736" width="12.28515625" style="103" customWidth="1"/>
    <col min="8737" max="8737" width="21.28515625" style="103" customWidth="1"/>
    <col min="8738" max="8738" width="11.5703125" style="103" customWidth="1"/>
    <col min="8739" max="8739" width="33.140625" style="103" customWidth="1"/>
    <col min="8740" max="8740" width="22.7109375" style="103" customWidth="1"/>
    <col min="8741" max="8741" width="10.7109375" style="103" customWidth="1"/>
    <col min="8742" max="8742" width="27.7109375" style="103" customWidth="1"/>
    <col min="8743" max="8743" width="21.42578125" style="103" customWidth="1"/>
    <col min="8744" max="8744" width="22.140625" style="103" customWidth="1"/>
    <col min="8745" max="8745" width="12.7109375" style="103" customWidth="1"/>
    <col min="8746" max="8746" width="16.42578125" style="103" customWidth="1"/>
    <col min="8747" max="8747" width="29.7109375" style="103" customWidth="1"/>
    <col min="8748" max="8748" width="29.140625" style="103" customWidth="1"/>
    <col min="8749" max="8749" width="33.5703125" style="103" customWidth="1"/>
    <col min="8750" max="8750" width="25" style="103" customWidth="1"/>
    <col min="8751" max="8751" width="11.7109375" style="103" customWidth="1"/>
    <col min="8752" max="8752" width="17.28515625" style="103" customWidth="1"/>
    <col min="8753" max="8768" width="7.28515625" style="103" customWidth="1"/>
    <col min="8769" max="8770" width="13.7109375" style="103" customWidth="1"/>
    <col min="8771" max="8771" width="20.85546875" style="103" customWidth="1"/>
    <col min="8772" max="8987" width="11.42578125" style="103"/>
    <col min="8988" max="8988" width="13.140625" style="103" customWidth="1"/>
    <col min="8989" max="8989" width="35.28515625" style="103" customWidth="1"/>
    <col min="8990" max="8990" width="12.85546875" style="103" customWidth="1"/>
    <col min="8991" max="8991" width="19.5703125" style="103" customWidth="1"/>
    <col min="8992" max="8992" width="12.28515625" style="103" customWidth="1"/>
    <col min="8993" max="8993" width="21.28515625" style="103" customWidth="1"/>
    <col min="8994" max="8994" width="11.5703125" style="103" customWidth="1"/>
    <col min="8995" max="8995" width="33.140625" style="103" customWidth="1"/>
    <col min="8996" max="8996" width="22.7109375" style="103" customWidth="1"/>
    <col min="8997" max="8997" width="10.7109375" style="103" customWidth="1"/>
    <col min="8998" max="8998" width="27.7109375" style="103" customWidth="1"/>
    <col min="8999" max="8999" width="21.42578125" style="103" customWidth="1"/>
    <col min="9000" max="9000" width="22.140625" style="103" customWidth="1"/>
    <col min="9001" max="9001" width="12.7109375" style="103" customWidth="1"/>
    <col min="9002" max="9002" width="16.42578125" style="103" customWidth="1"/>
    <col min="9003" max="9003" width="29.7109375" style="103" customWidth="1"/>
    <col min="9004" max="9004" width="29.140625" style="103" customWidth="1"/>
    <col min="9005" max="9005" width="33.5703125" style="103" customWidth="1"/>
    <col min="9006" max="9006" width="25" style="103" customWidth="1"/>
    <col min="9007" max="9007" width="11.7109375" style="103" customWidth="1"/>
    <col min="9008" max="9008" width="17.28515625" style="103" customWidth="1"/>
    <col min="9009" max="9024" width="7.28515625" style="103" customWidth="1"/>
    <col min="9025" max="9026" width="13.7109375" style="103" customWidth="1"/>
    <col min="9027" max="9027" width="20.85546875" style="103" customWidth="1"/>
    <col min="9028" max="9243" width="11.42578125" style="103"/>
    <col min="9244" max="9244" width="13.140625" style="103" customWidth="1"/>
    <col min="9245" max="9245" width="35.28515625" style="103" customWidth="1"/>
    <col min="9246" max="9246" width="12.85546875" style="103" customWidth="1"/>
    <col min="9247" max="9247" width="19.5703125" style="103" customWidth="1"/>
    <col min="9248" max="9248" width="12.28515625" style="103" customWidth="1"/>
    <col min="9249" max="9249" width="21.28515625" style="103" customWidth="1"/>
    <col min="9250" max="9250" width="11.5703125" style="103" customWidth="1"/>
    <col min="9251" max="9251" width="33.140625" style="103" customWidth="1"/>
    <col min="9252" max="9252" width="22.7109375" style="103" customWidth="1"/>
    <col min="9253" max="9253" width="10.7109375" style="103" customWidth="1"/>
    <col min="9254" max="9254" width="27.7109375" style="103" customWidth="1"/>
    <col min="9255" max="9255" width="21.42578125" style="103" customWidth="1"/>
    <col min="9256" max="9256" width="22.140625" style="103" customWidth="1"/>
    <col min="9257" max="9257" width="12.7109375" style="103" customWidth="1"/>
    <col min="9258" max="9258" width="16.42578125" style="103" customWidth="1"/>
    <col min="9259" max="9259" width="29.7109375" style="103" customWidth="1"/>
    <col min="9260" max="9260" width="29.140625" style="103" customWidth="1"/>
    <col min="9261" max="9261" width="33.5703125" style="103" customWidth="1"/>
    <col min="9262" max="9262" width="25" style="103" customWidth="1"/>
    <col min="9263" max="9263" width="11.7109375" style="103" customWidth="1"/>
    <col min="9264" max="9264" width="17.28515625" style="103" customWidth="1"/>
    <col min="9265" max="9280" width="7.28515625" style="103" customWidth="1"/>
    <col min="9281" max="9282" width="13.7109375" style="103" customWidth="1"/>
    <col min="9283" max="9283" width="20.85546875" style="103" customWidth="1"/>
    <col min="9284" max="9499" width="11.42578125" style="103"/>
    <col min="9500" max="9500" width="13.140625" style="103" customWidth="1"/>
    <col min="9501" max="9501" width="35.28515625" style="103" customWidth="1"/>
    <col min="9502" max="9502" width="12.85546875" style="103" customWidth="1"/>
    <col min="9503" max="9503" width="19.5703125" style="103" customWidth="1"/>
    <col min="9504" max="9504" width="12.28515625" style="103" customWidth="1"/>
    <col min="9505" max="9505" width="21.28515625" style="103" customWidth="1"/>
    <col min="9506" max="9506" width="11.5703125" style="103" customWidth="1"/>
    <col min="9507" max="9507" width="33.140625" style="103" customWidth="1"/>
    <col min="9508" max="9508" width="22.7109375" style="103" customWidth="1"/>
    <col min="9509" max="9509" width="10.7109375" style="103" customWidth="1"/>
    <col min="9510" max="9510" width="27.7109375" style="103" customWidth="1"/>
    <col min="9511" max="9511" width="21.42578125" style="103" customWidth="1"/>
    <col min="9512" max="9512" width="22.140625" style="103" customWidth="1"/>
    <col min="9513" max="9513" width="12.7109375" style="103" customWidth="1"/>
    <col min="9514" max="9514" width="16.42578125" style="103" customWidth="1"/>
    <col min="9515" max="9515" width="29.7109375" style="103" customWidth="1"/>
    <col min="9516" max="9516" width="29.140625" style="103" customWidth="1"/>
    <col min="9517" max="9517" width="33.5703125" style="103" customWidth="1"/>
    <col min="9518" max="9518" width="25" style="103" customWidth="1"/>
    <col min="9519" max="9519" width="11.7109375" style="103" customWidth="1"/>
    <col min="9520" max="9520" width="17.28515625" style="103" customWidth="1"/>
    <col min="9521" max="9536" width="7.28515625" style="103" customWidth="1"/>
    <col min="9537" max="9538" width="13.7109375" style="103" customWidth="1"/>
    <col min="9539" max="9539" width="20.85546875" style="103" customWidth="1"/>
    <col min="9540" max="9755" width="11.42578125" style="103"/>
    <col min="9756" max="9756" width="13.140625" style="103" customWidth="1"/>
    <col min="9757" max="9757" width="35.28515625" style="103" customWidth="1"/>
    <col min="9758" max="9758" width="12.85546875" style="103" customWidth="1"/>
    <col min="9759" max="9759" width="19.5703125" style="103" customWidth="1"/>
    <col min="9760" max="9760" width="12.28515625" style="103" customWidth="1"/>
    <col min="9761" max="9761" width="21.28515625" style="103" customWidth="1"/>
    <col min="9762" max="9762" width="11.5703125" style="103" customWidth="1"/>
    <col min="9763" max="9763" width="33.140625" style="103" customWidth="1"/>
    <col min="9764" max="9764" width="22.7109375" style="103" customWidth="1"/>
    <col min="9765" max="9765" width="10.7109375" style="103" customWidth="1"/>
    <col min="9766" max="9766" width="27.7109375" style="103" customWidth="1"/>
    <col min="9767" max="9767" width="21.42578125" style="103" customWidth="1"/>
    <col min="9768" max="9768" width="22.140625" style="103" customWidth="1"/>
    <col min="9769" max="9769" width="12.7109375" style="103" customWidth="1"/>
    <col min="9770" max="9770" width="16.42578125" style="103" customWidth="1"/>
    <col min="9771" max="9771" width="29.7109375" style="103" customWidth="1"/>
    <col min="9772" max="9772" width="29.140625" style="103" customWidth="1"/>
    <col min="9773" max="9773" width="33.5703125" style="103" customWidth="1"/>
    <col min="9774" max="9774" width="25" style="103" customWidth="1"/>
    <col min="9775" max="9775" width="11.7109375" style="103" customWidth="1"/>
    <col min="9776" max="9776" width="17.28515625" style="103" customWidth="1"/>
    <col min="9777" max="9792" width="7.28515625" style="103" customWidth="1"/>
    <col min="9793" max="9794" width="13.7109375" style="103" customWidth="1"/>
    <col min="9795" max="9795" width="20.85546875" style="103" customWidth="1"/>
    <col min="9796" max="10011" width="11.42578125" style="103"/>
    <col min="10012" max="10012" width="13.140625" style="103" customWidth="1"/>
    <col min="10013" max="10013" width="35.28515625" style="103" customWidth="1"/>
    <col min="10014" max="10014" width="12.85546875" style="103" customWidth="1"/>
    <col min="10015" max="10015" width="19.5703125" style="103" customWidth="1"/>
    <col min="10016" max="10016" width="12.28515625" style="103" customWidth="1"/>
    <col min="10017" max="10017" width="21.28515625" style="103" customWidth="1"/>
    <col min="10018" max="10018" width="11.5703125" style="103" customWidth="1"/>
    <col min="10019" max="10019" width="33.140625" style="103" customWidth="1"/>
    <col min="10020" max="10020" width="22.7109375" style="103" customWidth="1"/>
    <col min="10021" max="10021" width="10.7109375" style="103" customWidth="1"/>
    <col min="10022" max="10022" width="27.7109375" style="103" customWidth="1"/>
    <col min="10023" max="10023" width="21.42578125" style="103" customWidth="1"/>
    <col min="10024" max="10024" width="22.140625" style="103" customWidth="1"/>
    <col min="10025" max="10025" width="12.7109375" style="103" customWidth="1"/>
    <col min="10026" max="10026" width="16.42578125" style="103" customWidth="1"/>
    <col min="10027" max="10027" width="29.7109375" style="103" customWidth="1"/>
    <col min="10028" max="10028" width="29.140625" style="103" customWidth="1"/>
    <col min="10029" max="10029" width="33.5703125" style="103" customWidth="1"/>
    <col min="10030" max="10030" width="25" style="103" customWidth="1"/>
    <col min="10031" max="10031" width="11.7109375" style="103" customWidth="1"/>
    <col min="10032" max="10032" width="17.28515625" style="103" customWidth="1"/>
    <col min="10033" max="10048" width="7.28515625" style="103" customWidth="1"/>
    <col min="10049" max="10050" width="13.7109375" style="103" customWidth="1"/>
    <col min="10051" max="10051" width="20.85546875" style="103" customWidth="1"/>
    <col min="10052" max="10267" width="11.42578125" style="103"/>
    <col min="10268" max="10268" width="13.140625" style="103" customWidth="1"/>
    <col min="10269" max="10269" width="35.28515625" style="103" customWidth="1"/>
    <col min="10270" max="10270" width="12.85546875" style="103" customWidth="1"/>
    <col min="10271" max="10271" width="19.5703125" style="103" customWidth="1"/>
    <col min="10272" max="10272" width="12.28515625" style="103" customWidth="1"/>
    <col min="10273" max="10273" width="21.28515625" style="103" customWidth="1"/>
    <col min="10274" max="10274" width="11.5703125" style="103" customWidth="1"/>
    <col min="10275" max="10275" width="33.140625" style="103" customWidth="1"/>
    <col min="10276" max="10276" width="22.7109375" style="103" customWidth="1"/>
    <col min="10277" max="10277" width="10.7109375" style="103" customWidth="1"/>
    <col min="10278" max="10278" width="27.7109375" style="103" customWidth="1"/>
    <col min="10279" max="10279" width="21.42578125" style="103" customWidth="1"/>
    <col min="10280" max="10280" width="22.140625" style="103" customWidth="1"/>
    <col min="10281" max="10281" width="12.7109375" style="103" customWidth="1"/>
    <col min="10282" max="10282" width="16.42578125" style="103" customWidth="1"/>
    <col min="10283" max="10283" width="29.7109375" style="103" customWidth="1"/>
    <col min="10284" max="10284" width="29.140625" style="103" customWidth="1"/>
    <col min="10285" max="10285" width="33.5703125" style="103" customWidth="1"/>
    <col min="10286" max="10286" width="25" style="103" customWidth="1"/>
    <col min="10287" max="10287" width="11.7109375" style="103" customWidth="1"/>
    <col min="10288" max="10288" width="17.28515625" style="103" customWidth="1"/>
    <col min="10289" max="10304" width="7.28515625" style="103" customWidth="1"/>
    <col min="10305" max="10306" width="13.7109375" style="103" customWidth="1"/>
    <col min="10307" max="10307" width="20.85546875" style="103" customWidth="1"/>
    <col min="10308" max="10523" width="11.42578125" style="103"/>
    <col min="10524" max="10524" width="13.140625" style="103" customWidth="1"/>
    <col min="10525" max="10525" width="35.28515625" style="103" customWidth="1"/>
    <col min="10526" max="10526" width="12.85546875" style="103" customWidth="1"/>
    <col min="10527" max="10527" width="19.5703125" style="103" customWidth="1"/>
    <col min="10528" max="10528" width="12.28515625" style="103" customWidth="1"/>
    <col min="10529" max="10529" width="21.28515625" style="103" customWidth="1"/>
    <col min="10530" max="10530" width="11.5703125" style="103" customWidth="1"/>
    <col min="10531" max="10531" width="33.140625" style="103" customWidth="1"/>
    <col min="10532" max="10532" width="22.7109375" style="103" customWidth="1"/>
    <col min="10533" max="10533" width="10.7109375" style="103" customWidth="1"/>
    <col min="10534" max="10534" width="27.7109375" style="103" customWidth="1"/>
    <col min="10535" max="10535" width="21.42578125" style="103" customWidth="1"/>
    <col min="10536" max="10536" width="22.140625" style="103" customWidth="1"/>
    <col min="10537" max="10537" width="12.7109375" style="103" customWidth="1"/>
    <col min="10538" max="10538" width="16.42578125" style="103" customWidth="1"/>
    <col min="10539" max="10539" width="29.7109375" style="103" customWidth="1"/>
    <col min="10540" max="10540" width="29.140625" style="103" customWidth="1"/>
    <col min="10541" max="10541" width="33.5703125" style="103" customWidth="1"/>
    <col min="10542" max="10542" width="25" style="103" customWidth="1"/>
    <col min="10543" max="10543" width="11.7109375" style="103" customWidth="1"/>
    <col min="10544" max="10544" width="17.28515625" style="103" customWidth="1"/>
    <col min="10545" max="10560" width="7.28515625" style="103" customWidth="1"/>
    <col min="10561" max="10562" width="13.7109375" style="103" customWidth="1"/>
    <col min="10563" max="10563" width="20.85546875" style="103" customWidth="1"/>
    <col min="10564" max="10779" width="11.42578125" style="103"/>
    <col min="10780" max="10780" width="13.140625" style="103" customWidth="1"/>
    <col min="10781" max="10781" width="35.28515625" style="103" customWidth="1"/>
    <col min="10782" max="10782" width="12.85546875" style="103" customWidth="1"/>
    <col min="10783" max="10783" width="19.5703125" style="103" customWidth="1"/>
    <col min="10784" max="10784" width="12.28515625" style="103" customWidth="1"/>
    <col min="10785" max="10785" width="21.28515625" style="103" customWidth="1"/>
    <col min="10786" max="10786" width="11.5703125" style="103" customWidth="1"/>
    <col min="10787" max="10787" width="33.140625" style="103" customWidth="1"/>
    <col min="10788" max="10788" width="22.7109375" style="103" customWidth="1"/>
    <col min="10789" max="10789" width="10.7109375" style="103" customWidth="1"/>
    <col min="10790" max="10790" width="27.7109375" style="103" customWidth="1"/>
    <col min="10791" max="10791" width="21.42578125" style="103" customWidth="1"/>
    <col min="10792" max="10792" width="22.140625" style="103" customWidth="1"/>
    <col min="10793" max="10793" width="12.7109375" style="103" customWidth="1"/>
    <col min="10794" max="10794" width="16.42578125" style="103" customWidth="1"/>
    <col min="10795" max="10795" width="29.7109375" style="103" customWidth="1"/>
    <col min="10796" max="10796" width="29.140625" style="103" customWidth="1"/>
    <col min="10797" max="10797" width="33.5703125" style="103" customWidth="1"/>
    <col min="10798" max="10798" width="25" style="103" customWidth="1"/>
    <col min="10799" max="10799" width="11.7109375" style="103" customWidth="1"/>
    <col min="10800" max="10800" width="17.28515625" style="103" customWidth="1"/>
    <col min="10801" max="10816" width="7.28515625" style="103" customWidth="1"/>
    <col min="10817" max="10818" width="13.7109375" style="103" customWidth="1"/>
    <col min="10819" max="10819" width="20.85546875" style="103" customWidth="1"/>
    <col min="10820" max="11035" width="11.42578125" style="103"/>
    <col min="11036" max="11036" width="13.140625" style="103" customWidth="1"/>
    <col min="11037" max="11037" width="35.28515625" style="103" customWidth="1"/>
    <col min="11038" max="11038" width="12.85546875" style="103" customWidth="1"/>
    <col min="11039" max="11039" width="19.5703125" style="103" customWidth="1"/>
    <col min="11040" max="11040" width="12.28515625" style="103" customWidth="1"/>
    <col min="11041" max="11041" width="21.28515625" style="103" customWidth="1"/>
    <col min="11042" max="11042" width="11.5703125" style="103" customWidth="1"/>
    <col min="11043" max="11043" width="33.140625" style="103" customWidth="1"/>
    <col min="11044" max="11044" width="22.7109375" style="103" customWidth="1"/>
    <col min="11045" max="11045" width="10.7109375" style="103" customWidth="1"/>
    <col min="11046" max="11046" width="27.7109375" style="103" customWidth="1"/>
    <col min="11047" max="11047" width="21.42578125" style="103" customWidth="1"/>
    <col min="11048" max="11048" width="22.140625" style="103" customWidth="1"/>
    <col min="11049" max="11049" width="12.7109375" style="103" customWidth="1"/>
    <col min="11050" max="11050" width="16.42578125" style="103" customWidth="1"/>
    <col min="11051" max="11051" width="29.7109375" style="103" customWidth="1"/>
    <col min="11052" max="11052" width="29.140625" style="103" customWidth="1"/>
    <col min="11053" max="11053" width="33.5703125" style="103" customWidth="1"/>
    <col min="11054" max="11054" width="25" style="103" customWidth="1"/>
    <col min="11055" max="11055" width="11.7109375" style="103" customWidth="1"/>
    <col min="11056" max="11056" width="17.28515625" style="103" customWidth="1"/>
    <col min="11057" max="11072" width="7.28515625" style="103" customWidth="1"/>
    <col min="11073" max="11074" width="13.7109375" style="103" customWidth="1"/>
    <col min="11075" max="11075" width="20.85546875" style="103" customWidth="1"/>
    <col min="11076" max="11291" width="11.42578125" style="103"/>
    <col min="11292" max="11292" width="13.140625" style="103" customWidth="1"/>
    <col min="11293" max="11293" width="35.28515625" style="103" customWidth="1"/>
    <col min="11294" max="11294" width="12.85546875" style="103" customWidth="1"/>
    <col min="11295" max="11295" width="19.5703125" style="103" customWidth="1"/>
    <col min="11296" max="11296" width="12.28515625" style="103" customWidth="1"/>
    <col min="11297" max="11297" width="21.28515625" style="103" customWidth="1"/>
    <col min="11298" max="11298" width="11.5703125" style="103" customWidth="1"/>
    <col min="11299" max="11299" width="33.140625" style="103" customWidth="1"/>
    <col min="11300" max="11300" width="22.7109375" style="103" customWidth="1"/>
    <col min="11301" max="11301" width="10.7109375" style="103" customWidth="1"/>
    <col min="11302" max="11302" width="27.7109375" style="103" customWidth="1"/>
    <col min="11303" max="11303" width="21.42578125" style="103" customWidth="1"/>
    <col min="11304" max="11304" width="22.140625" style="103" customWidth="1"/>
    <col min="11305" max="11305" width="12.7109375" style="103" customWidth="1"/>
    <col min="11306" max="11306" width="16.42578125" style="103" customWidth="1"/>
    <col min="11307" max="11307" width="29.7109375" style="103" customWidth="1"/>
    <col min="11308" max="11308" width="29.140625" style="103" customWidth="1"/>
    <col min="11309" max="11309" width="33.5703125" style="103" customWidth="1"/>
    <col min="11310" max="11310" width="25" style="103" customWidth="1"/>
    <col min="11311" max="11311" width="11.7109375" style="103" customWidth="1"/>
    <col min="11312" max="11312" width="17.28515625" style="103" customWidth="1"/>
    <col min="11313" max="11328" width="7.28515625" style="103" customWidth="1"/>
    <col min="11329" max="11330" width="13.7109375" style="103" customWidth="1"/>
    <col min="11331" max="11331" width="20.85546875" style="103" customWidth="1"/>
    <col min="11332" max="11547" width="11.42578125" style="103"/>
    <col min="11548" max="11548" width="13.140625" style="103" customWidth="1"/>
    <col min="11549" max="11549" width="35.28515625" style="103" customWidth="1"/>
    <col min="11550" max="11550" width="12.85546875" style="103" customWidth="1"/>
    <col min="11551" max="11551" width="19.5703125" style="103" customWidth="1"/>
    <col min="11552" max="11552" width="12.28515625" style="103" customWidth="1"/>
    <col min="11553" max="11553" width="21.28515625" style="103" customWidth="1"/>
    <col min="11554" max="11554" width="11.5703125" style="103" customWidth="1"/>
    <col min="11555" max="11555" width="33.140625" style="103" customWidth="1"/>
    <col min="11556" max="11556" width="22.7109375" style="103" customWidth="1"/>
    <col min="11557" max="11557" width="10.7109375" style="103" customWidth="1"/>
    <col min="11558" max="11558" width="27.7109375" style="103" customWidth="1"/>
    <col min="11559" max="11559" width="21.42578125" style="103" customWidth="1"/>
    <col min="11560" max="11560" width="22.140625" style="103" customWidth="1"/>
    <col min="11561" max="11561" width="12.7109375" style="103" customWidth="1"/>
    <col min="11562" max="11562" width="16.42578125" style="103" customWidth="1"/>
    <col min="11563" max="11563" width="29.7109375" style="103" customWidth="1"/>
    <col min="11564" max="11564" width="29.140625" style="103" customWidth="1"/>
    <col min="11565" max="11565" width="33.5703125" style="103" customWidth="1"/>
    <col min="11566" max="11566" width="25" style="103" customWidth="1"/>
    <col min="11567" max="11567" width="11.7109375" style="103" customWidth="1"/>
    <col min="11568" max="11568" width="17.28515625" style="103" customWidth="1"/>
    <col min="11569" max="11584" width="7.28515625" style="103" customWidth="1"/>
    <col min="11585" max="11586" width="13.7109375" style="103" customWidth="1"/>
    <col min="11587" max="11587" width="20.85546875" style="103" customWidth="1"/>
    <col min="11588" max="11803" width="11.42578125" style="103"/>
    <col min="11804" max="11804" width="13.140625" style="103" customWidth="1"/>
    <col min="11805" max="11805" width="35.28515625" style="103" customWidth="1"/>
    <col min="11806" max="11806" width="12.85546875" style="103" customWidth="1"/>
    <col min="11807" max="11807" width="19.5703125" style="103" customWidth="1"/>
    <col min="11808" max="11808" width="12.28515625" style="103" customWidth="1"/>
    <col min="11809" max="11809" width="21.28515625" style="103" customWidth="1"/>
    <col min="11810" max="11810" width="11.5703125" style="103" customWidth="1"/>
    <col min="11811" max="11811" width="33.140625" style="103" customWidth="1"/>
    <col min="11812" max="11812" width="22.7109375" style="103" customWidth="1"/>
    <col min="11813" max="11813" width="10.7109375" style="103" customWidth="1"/>
    <col min="11814" max="11814" width="27.7109375" style="103" customWidth="1"/>
    <col min="11815" max="11815" width="21.42578125" style="103" customWidth="1"/>
    <col min="11816" max="11816" width="22.140625" style="103" customWidth="1"/>
    <col min="11817" max="11817" width="12.7109375" style="103" customWidth="1"/>
    <col min="11818" max="11818" width="16.42578125" style="103" customWidth="1"/>
    <col min="11819" max="11819" width="29.7109375" style="103" customWidth="1"/>
    <col min="11820" max="11820" width="29.140625" style="103" customWidth="1"/>
    <col min="11821" max="11821" width="33.5703125" style="103" customWidth="1"/>
    <col min="11822" max="11822" width="25" style="103" customWidth="1"/>
    <col min="11823" max="11823" width="11.7109375" style="103" customWidth="1"/>
    <col min="11824" max="11824" width="17.28515625" style="103" customWidth="1"/>
    <col min="11825" max="11840" width="7.28515625" style="103" customWidth="1"/>
    <col min="11841" max="11842" width="13.7109375" style="103" customWidth="1"/>
    <col min="11843" max="11843" width="20.85546875" style="103" customWidth="1"/>
    <col min="11844" max="12059" width="11.42578125" style="103"/>
    <col min="12060" max="12060" width="13.140625" style="103" customWidth="1"/>
    <col min="12061" max="12061" width="35.28515625" style="103" customWidth="1"/>
    <col min="12062" max="12062" width="12.85546875" style="103" customWidth="1"/>
    <col min="12063" max="12063" width="19.5703125" style="103" customWidth="1"/>
    <col min="12064" max="12064" width="12.28515625" style="103" customWidth="1"/>
    <col min="12065" max="12065" width="21.28515625" style="103" customWidth="1"/>
    <col min="12066" max="12066" width="11.5703125" style="103" customWidth="1"/>
    <col min="12067" max="12067" width="33.140625" style="103" customWidth="1"/>
    <col min="12068" max="12068" width="22.7109375" style="103" customWidth="1"/>
    <col min="12069" max="12069" width="10.7109375" style="103" customWidth="1"/>
    <col min="12070" max="12070" width="27.7109375" style="103" customWidth="1"/>
    <col min="12071" max="12071" width="21.42578125" style="103" customWidth="1"/>
    <col min="12072" max="12072" width="22.140625" style="103" customWidth="1"/>
    <col min="12073" max="12073" width="12.7109375" style="103" customWidth="1"/>
    <col min="12074" max="12074" width="16.42578125" style="103" customWidth="1"/>
    <col min="12075" max="12075" width="29.7109375" style="103" customWidth="1"/>
    <col min="12076" max="12076" width="29.140625" style="103" customWidth="1"/>
    <col min="12077" max="12077" width="33.5703125" style="103" customWidth="1"/>
    <col min="12078" max="12078" width="25" style="103" customWidth="1"/>
    <col min="12079" max="12079" width="11.7109375" style="103" customWidth="1"/>
    <col min="12080" max="12080" width="17.28515625" style="103" customWidth="1"/>
    <col min="12081" max="12096" width="7.28515625" style="103" customWidth="1"/>
    <col min="12097" max="12098" width="13.7109375" style="103" customWidth="1"/>
    <col min="12099" max="12099" width="20.85546875" style="103" customWidth="1"/>
    <col min="12100" max="12315" width="11.42578125" style="103"/>
    <col min="12316" max="12316" width="13.140625" style="103" customWidth="1"/>
    <col min="12317" max="12317" width="35.28515625" style="103" customWidth="1"/>
    <col min="12318" max="12318" width="12.85546875" style="103" customWidth="1"/>
    <col min="12319" max="12319" width="19.5703125" style="103" customWidth="1"/>
    <col min="12320" max="12320" width="12.28515625" style="103" customWidth="1"/>
    <col min="12321" max="12321" width="21.28515625" style="103" customWidth="1"/>
    <col min="12322" max="12322" width="11.5703125" style="103" customWidth="1"/>
    <col min="12323" max="12323" width="33.140625" style="103" customWidth="1"/>
    <col min="12324" max="12324" width="22.7109375" style="103" customWidth="1"/>
    <col min="12325" max="12325" width="10.7109375" style="103" customWidth="1"/>
    <col min="12326" max="12326" width="27.7109375" style="103" customWidth="1"/>
    <col min="12327" max="12327" width="21.42578125" style="103" customWidth="1"/>
    <col min="12328" max="12328" width="22.140625" style="103" customWidth="1"/>
    <col min="12329" max="12329" width="12.7109375" style="103" customWidth="1"/>
    <col min="12330" max="12330" width="16.42578125" style="103" customWidth="1"/>
    <col min="12331" max="12331" width="29.7109375" style="103" customWidth="1"/>
    <col min="12332" max="12332" width="29.140625" style="103" customWidth="1"/>
    <col min="12333" max="12333" width="33.5703125" style="103" customWidth="1"/>
    <col min="12334" max="12334" width="25" style="103" customWidth="1"/>
    <col min="12335" max="12335" width="11.7109375" style="103" customWidth="1"/>
    <col min="12336" max="12336" width="17.28515625" style="103" customWidth="1"/>
    <col min="12337" max="12352" width="7.28515625" style="103" customWidth="1"/>
    <col min="12353" max="12354" width="13.7109375" style="103" customWidth="1"/>
    <col min="12355" max="12355" width="20.85546875" style="103" customWidth="1"/>
    <col min="12356" max="12571" width="11.42578125" style="103"/>
    <col min="12572" max="12572" width="13.140625" style="103" customWidth="1"/>
    <col min="12573" max="12573" width="35.28515625" style="103" customWidth="1"/>
    <col min="12574" max="12574" width="12.85546875" style="103" customWidth="1"/>
    <col min="12575" max="12575" width="19.5703125" style="103" customWidth="1"/>
    <col min="12576" max="12576" width="12.28515625" style="103" customWidth="1"/>
    <col min="12577" max="12577" width="21.28515625" style="103" customWidth="1"/>
    <col min="12578" max="12578" width="11.5703125" style="103" customWidth="1"/>
    <col min="12579" max="12579" width="33.140625" style="103" customWidth="1"/>
    <col min="12580" max="12580" width="22.7109375" style="103" customWidth="1"/>
    <col min="12581" max="12581" width="10.7109375" style="103" customWidth="1"/>
    <col min="12582" max="12582" width="27.7109375" style="103" customWidth="1"/>
    <col min="12583" max="12583" width="21.42578125" style="103" customWidth="1"/>
    <col min="12584" max="12584" width="22.140625" style="103" customWidth="1"/>
    <col min="12585" max="12585" width="12.7109375" style="103" customWidth="1"/>
    <col min="12586" max="12586" width="16.42578125" style="103" customWidth="1"/>
    <col min="12587" max="12587" width="29.7109375" style="103" customWidth="1"/>
    <col min="12588" max="12588" width="29.140625" style="103" customWidth="1"/>
    <col min="12589" max="12589" width="33.5703125" style="103" customWidth="1"/>
    <col min="12590" max="12590" width="25" style="103" customWidth="1"/>
    <col min="12591" max="12591" width="11.7109375" style="103" customWidth="1"/>
    <col min="12592" max="12592" width="17.28515625" style="103" customWidth="1"/>
    <col min="12593" max="12608" width="7.28515625" style="103" customWidth="1"/>
    <col min="12609" max="12610" width="13.7109375" style="103" customWidth="1"/>
    <col min="12611" max="12611" width="20.85546875" style="103" customWidth="1"/>
    <col min="12612" max="12827" width="11.42578125" style="103"/>
    <col min="12828" max="12828" width="13.140625" style="103" customWidth="1"/>
    <col min="12829" max="12829" width="35.28515625" style="103" customWidth="1"/>
    <col min="12830" max="12830" width="12.85546875" style="103" customWidth="1"/>
    <col min="12831" max="12831" width="19.5703125" style="103" customWidth="1"/>
    <col min="12832" max="12832" width="12.28515625" style="103" customWidth="1"/>
    <col min="12833" max="12833" width="21.28515625" style="103" customWidth="1"/>
    <col min="12834" max="12834" width="11.5703125" style="103" customWidth="1"/>
    <col min="12835" max="12835" width="33.140625" style="103" customWidth="1"/>
    <col min="12836" max="12836" width="22.7109375" style="103" customWidth="1"/>
    <col min="12837" max="12837" width="10.7109375" style="103" customWidth="1"/>
    <col min="12838" max="12838" width="27.7109375" style="103" customWidth="1"/>
    <col min="12839" max="12839" width="21.42578125" style="103" customWidth="1"/>
    <col min="12840" max="12840" width="22.140625" style="103" customWidth="1"/>
    <col min="12841" max="12841" width="12.7109375" style="103" customWidth="1"/>
    <col min="12842" max="12842" width="16.42578125" style="103" customWidth="1"/>
    <col min="12843" max="12843" width="29.7109375" style="103" customWidth="1"/>
    <col min="12844" max="12844" width="29.140625" style="103" customWidth="1"/>
    <col min="12845" max="12845" width="33.5703125" style="103" customWidth="1"/>
    <col min="12846" max="12846" width="25" style="103" customWidth="1"/>
    <col min="12847" max="12847" width="11.7109375" style="103" customWidth="1"/>
    <col min="12848" max="12848" width="17.28515625" style="103" customWidth="1"/>
    <col min="12849" max="12864" width="7.28515625" style="103" customWidth="1"/>
    <col min="12865" max="12866" width="13.7109375" style="103" customWidth="1"/>
    <col min="12867" max="12867" width="20.85546875" style="103" customWidth="1"/>
    <col min="12868" max="13083" width="11.42578125" style="103"/>
    <col min="13084" max="13084" width="13.140625" style="103" customWidth="1"/>
    <col min="13085" max="13085" width="35.28515625" style="103" customWidth="1"/>
    <col min="13086" max="13086" width="12.85546875" style="103" customWidth="1"/>
    <col min="13087" max="13087" width="19.5703125" style="103" customWidth="1"/>
    <col min="13088" max="13088" width="12.28515625" style="103" customWidth="1"/>
    <col min="13089" max="13089" width="21.28515625" style="103" customWidth="1"/>
    <col min="13090" max="13090" width="11.5703125" style="103" customWidth="1"/>
    <col min="13091" max="13091" width="33.140625" style="103" customWidth="1"/>
    <col min="13092" max="13092" width="22.7109375" style="103" customWidth="1"/>
    <col min="13093" max="13093" width="10.7109375" style="103" customWidth="1"/>
    <col min="13094" max="13094" width="27.7109375" style="103" customWidth="1"/>
    <col min="13095" max="13095" width="21.42578125" style="103" customWidth="1"/>
    <col min="13096" max="13096" width="22.140625" style="103" customWidth="1"/>
    <col min="13097" max="13097" width="12.7109375" style="103" customWidth="1"/>
    <col min="13098" max="13098" width="16.42578125" style="103" customWidth="1"/>
    <col min="13099" max="13099" width="29.7109375" style="103" customWidth="1"/>
    <col min="13100" max="13100" width="29.140625" style="103" customWidth="1"/>
    <col min="13101" max="13101" width="33.5703125" style="103" customWidth="1"/>
    <col min="13102" max="13102" width="25" style="103" customWidth="1"/>
    <col min="13103" max="13103" width="11.7109375" style="103" customWidth="1"/>
    <col min="13104" max="13104" width="17.28515625" style="103" customWidth="1"/>
    <col min="13105" max="13120" width="7.28515625" style="103" customWidth="1"/>
    <col min="13121" max="13122" width="13.7109375" style="103" customWidth="1"/>
    <col min="13123" max="13123" width="20.85546875" style="103" customWidth="1"/>
    <col min="13124" max="13339" width="11.42578125" style="103"/>
    <col min="13340" max="13340" width="13.140625" style="103" customWidth="1"/>
    <col min="13341" max="13341" width="35.28515625" style="103" customWidth="1"/>
    <col min="13342" max="13342" width="12.85546875" style="103" customWidth="1"/>
    <col min="13343" max="13343" width="19.5703125" style="103" customWidth="1"/>
    <col min="13344" max="13344" width="12.28515625" style="103" customWidth="1"/>
    <col min="13345" max="13345" width="21.28515625" style="103" customWidth="1"/>
    <col min="13346" max="13346" width="11.5703125" style="103" customWidth="1"/>
    <col min="13347" max="13347" width="33.140625" style="103" customWidth="1"/>
    <col min="13348" max="13348" width="22.7109375" style="103" customWidth="1"/>
    <col min="13349" max="13349" width="10.7109375" style="103" customWidth="1"/>
    <col min="13350" max="13350" width="27.7109375" style="103" customWidth="1"/>
    <col min="13351" max="13351" width="21.42578125" style="103" customWidth="1"/>
    <col min="13352" max="13352" width="22.140625" style="103" customWidth="1"/>
    <col min="13353" max="13353" width="12.7109375" style="103" customWidth="1"/>
    <col min="13354" max="13354" width="16.42578125" style="103" customWidth="1"/>
    <col min="13355" max="13355" width="29.7109375" style="103" customWidth="1"/>
    <col min="13356" max="13356" width="29.140625" style="103" customWidth="1"/>
    <col min="13357" max="13357" width="33.5703125" style="103" customWidth="1"/>
    <col min="13358" max="13358" width="25" style="103" customWidth="1"/>
    <col min="13359" max="13359" width="11.7109375" style="103" customWidth="1"/>
    <col min="13360" max="13360" width="17.28515625" style="103" customWidth="1"/>
    <col min="13361" max="13376" width="7.28515625" style="103" customWidth="1"/>
    <col min="13377" max="13378" width="13.7109375" style="103" customWidth="1"/>
    <col min="13379" max="13379" width="20.85546875" style="103" customWidth="1"/>
    <col min="13380" max="13595" width="11.42578125" style="103"/>
    <col min="13596" max="13596" width="13.140625" style="103" customWidth="1"/>
    <col min="13597" max="13597" width="35.28515625" style="103" customWidth="1"/>
    <col min="13598" max="13598" width="12.85546875" style="103" customWidth="1"/>
    <col min="13599" max="13599" width="19.5703125" style="103" customWidth="1"/>
    <col min="13600" max="13600" width="12.28515625" style="103" customWidth="1"/>
    <col min="13601" max="13601" width="21.28515625" style="103" customWidth="1"/>
    <col min="13602" max="13602" width="11.5703125" style="103" customWidth="1"/>
    <col min="13603" max="13603" width="33.140625" style="103" customWidth="1"/>
    <col min="13604" max="13604" width="22.7109375" style="103" customWidth="1"/>
    <col min="13605" max="13605" width="10.7109375" style="103" customWidth="1"/>
    <col min="13606" max="13606" width="27.7109375" style="103" customWidth="1"/>
    <col min="13607" max="13607" width="21.42578125" style="103" customWidth="1"/>
    <col min="13608" max="13608" width="22.140625" style="103" customWidth="1"/>
    <col min="13609" max="13609" width="12.7109375" style="103" customWidth="1"/>
    <col min="13610" max="13610" width="16.42578125" style="103" customWidth="1"/>
    <col min="13611" max="13611" width="29.7109375" style="103" customWidth="1"/>
    <col min="13612" max="13612" width="29.140625" style="103" customWidth="1"/>
    <col min="13613" max="13613" width="33.5703125" style="103" customWidth="1"/>
    <col min="13614" max="13614" width="25" style="103" customWidth="1"/>
    <col min="13615" max="13615" width="11.7109375" style="103" customWidth="1"/>
    <col min="13616" max="13616" width="17.28515625" style="103" customWidth="1"/>
    <col min="13617" max="13632" width="7.28515625" style="103" customWidth="1"/>
    <col min="13633" max="13634" width="13.7109375" style="103" customWidth="1"/>
    <col min="13635" max="13635" width="20.85546875" style="103" customWidth="1"/>
    <col min="13636" max="13851" width="11.42578125" style="103"/>
    <col min="13852" max="13852" width="13.140625" style="103" customWidth="1"/>
    <col min="13853" max="13853" width="35.28515625" style="103" customWidth="1"/>
    <col min="13854" max="13854" width="12.85546875" style="103" customWidth="1"/>
    <col min="13855" max="13855" width="19.5703125" style="103" customWidth="1"/>
    <col min="13856" max="13856" width="12.28515625" style="103" customWidth="1"/>
    <col min="13857" max="13857" width="21.28515625" style="103" customWidth="1"/>
    <col min="13858" max="13858" width="11.5703125" style="103" customWidth="1"/>
    <col min="13859" max="13859" width="33.140625" style="103" customWidth="1"/>
    <col min="13860" max="13860" width="22.7109375" style="103" customWidth="1"/>
    <col min="13861" max="13861" width="10.7109375" style="103" customWidth="1"/>
    <col min="13862" max="13862" width="27.7109375" style="103" customWidth="1"/>
    <col min="13863" max="13863" width="21.42578125" style="103" customWidth="1"/>
    <col min="13864" max="13864" width="22.140625" style="103" customWidth="1"/>
    <col min="13865" max="13865" width="12.7109375" style="103" customWidth="1"/>
    <col min="13866" max="13866" width="16.42578125" style="103" customWidth="1"/>
    <col min="13867" max="13867" width="29.7109375" style="103" customWidth="1"/>
    <col min="13868" max="13868" width="29.140625" style="103" customWidth="1"/>
    <col min="13869" max="13869" width="33.5703125" style="103" customWidth="1"/>
    <col min="13870" max="13870" width="25" style="103" customWidth="1"/>
    <col min="13871" max="13871" width="11.7109375" style="103" customWidth="1"/>
    <col min="13872" max="13872" width="17.28515625" style="103" customWidth="1"/>
    <col min="13873" max="13888" width="7.28515625" style="103" customWidth="1"/>
    <col min="13889" max="13890" width="13.7109375" style="103" customWidth="1"/>
    <col min="13891" max="13891" width="20.85546875" style="103" customWidth="1"/>
    <col min="13892" max="14107" width="11.42578125" style="103"/>
    <col min="14108" max="14108" width="13.140625" style="103" customWidth="1"/>
    <col min="14109" max="14109" width="35.28515625" style="103" customWidth="1"/>
    <col min="14110" max="14110" width="12.85546875" style="103" customWidth="1"/>
    <col min="14111" max="14111" width="19.5703125" style="103" customWidth="1"/>
    <col min="14112" max="14112" width="12.28515625" style="103" customWidth="1"/>
    <col min="14113" max="14113" width="21.28515625" style="103" customWidth="1"/>
    <col min="14114" max="14114" width="11.5703125" style="103" customWidth="1"/>
    <col min="14115" max="14115" width="33.140625" style="103" customWidth="1"/>
    <col min="14116" max="14116" width="22.7109375" style="103" customWidth="1"/>
    <col min="14117" max="14117" width="10.7109375" style="103" customWidth="1"/>
    <col min="14118" max="14118" width="27.7109375" style="103" customWidth="1"/>
    <col min="14119" max="14119" width="21.42578125" style="103" customWidth="1"/>
    <col min="14120" max="14120" width="22.140625" style="103" customWidth="1"/>
    <col min="14121" max="14121" width="12.7109375" style="103" customWidth="1"/>
    <col min="14122" max="14122" width="16.42578125" style="103" customWidth="1"/>
    <col min="14123" max="14123" width="29.7109375" style="103" customWidth="1"/>
    <col min="14124" max="14124" width="29.140625" style="103" customWidth="1"/>
    <col min="14125" max="14125" width="33.5703125" style="103" customWidth="1"/>
    <col min="14126" max="14126" width="25" style="103" customWidth="1"/>
    <col min="14127" max="14127" width="11.7109375" style="103" customWidth="1"/>
    <col min="14128" max="14128" width="17.28515625" style="103" customWidth="1"/>
    <col min="14129" max="14144" width="7.28515625" style="103" customWidth="1"/>
    <col min="14145" max="14146" width="13.7109375" style="103" customWidth="1"/>
    <col min="14147" max="14147" width="20.85546875" style="103" customWidth="1"/>
    <col min="14148" max="14363" width="11.42578125" style="103"/>
    <col min="14364" max="14364" width="13.140625" style="103" customWidth="1"/>
    <col min="14365" max="14365" width="35.28515625" style="103" customWidth="1"/>
    <col min="14366" max="14366" width="12.85546875" style="103" customWidth="1"/>
    <col min="14367" max="14367" width="19.5703125" style="103" customWidth="1"/>
    <col min="14368" max="14368" width="12.28515625" style="103" customWidth="1"/>
    <col min="14369" max="14369" width="21.28515625" style="103" customWidth="1"/>
    <col min="14370" max="14370" width="11.5703125" style="103" customWidth="1"/>
    <col min="14371" max="14371" width="33.140625" style="103" customWidth="1"/>
    <col min="14372" max="14372" width="22.7109375" style="103" customWidth="1"/>
    <col min="14373" max="14373" width="10.7109375" style="103" customWidth="1"/>
    <col min="14374" max="14374" width="27.7109375" style="103" customWidth="1"/>
    <col min="14375" max="14375" width="21.42578125" style="103" customWidth="1"/>
    <col min="14376" max="14376" width="22.140625" style="103" customWidth="1"/>
    <col min="14377" max="14377" width="12.7109375" style="103" customWidth="1"/>
    <col min="14378" max="14378" width="16.42578125" style="103" customWidth="1"/>
    <col min="14379" max="14379" width="29.7109375" style="103" customWidth="1"/>
    <col min="14380" max="14380" width="29.140625" style="103" customWidth="1"/>
    <col min="14381" max="14381" width="33.5703125" style="103" customWidth="1"/>
    <col min="14382" max="14382" width="25" style="103" customWidth="1"/>
    <col min="14383" max="14383" width="11.7109375" style="103" customWidth="1"/>
    <col min="14384" max="14384" width="17.28515625" style="103" customWidth="1"/>
    <col min="14385" max="14400" width="7.28515625" style="103" customWidth="1"/>
    <col min="14401" max="14402" width="13.7109375" style="103" customWidth="1"/>
    <col min="14403" max="14403" width="20.85546875" style="103" customWidth="1"/>
    <col min="14404" max="14619" width="11.42578125" style="103"/>
    <col min="14620" max="14620" width="13.140625" style="103" customWidth="1"/>
    <col min="14621" max="14621" width="35.28515625" style="103" customWidth="1"/>
    <col min="14622" max="14622" width="12.85546875" style="103" customWidth="1"/>
    <col min="14623" max="14623" width="19.5703125" style="103" customWidth="1"/>
    <col min="14624" max="14624" width="12.28515625" style="103" customWidth="1"/>
    <col min="14625" max="14625" width="21.28515625" style="103" customWidth="1"/>
    <col min="14626" max="14626" width="11.5703125" style="103" customWidth="1"/>
    <col min="14627" max="14627" width="33.140625" style="103" customWidth="1"/>
    <col min="14628" max="14628" width="22.7109375" style="103" customWidth="1"/>
    <col min="14629" max="14629" width="10.7109375" style="103" customWidth="1"/>
    <col min="14630" max="14630" width="27.7109375" style="103" customWidth="1"/>
    <col min="14631" max="14631" width="21.42578125" style="103" customWidth="1"/>
    <col min="14632" max="14632" width="22.140625" style="103" customWidth="1"/>
    <col min="14633" max="14633" width="12.7109375" style="103" customWidth="1"/>
    <col min="14634" max="14634" width="16.42578125" style="103" customWidth="1"/>
    <col min="14635" max="14635" width="29.7109375" style="103" customWidth="1"/>
    <col min="14636" max="14636" width="29.140625" style="103" customWidth="1"/>
    <col min="14637" max="14637" width="33.5703125" style="103" customWidth="1"/>
    <col min="14638" max="14638" width="25" style="103" customWidth="1"/>
    <col min="14639" max="14639" width="11.7109375" style="103" customWidth="1"/>
    <col min="14640" max="14640" width="17.28515625" style="103" customWidth="1"/>
    <col min="14641" max="14656" width="7.28515625" style="103" customWidth="1"/>
    <col min="14657" max="14658" width="13.7109375" style="103" customWidth="1"/>
    <col min="14659" max="14659" width="20.85546875" style="103" customWidth="1"/>
    <col min="14660" max="14875" width="11.42578125" style="103"/>
    <col min="14876" max="14876" width="13.140625" style="103" customWidth="1"/>
    <col min="14877" max="14877" width="35.28515625" style="103" customWidth="1"/>
    <col min="14878" max="14878" width="12.85546875" style="103" customWidth="1"/>
    <col min="14879" max="14879" width="19.5703125" style="103" customWidth="1"/>
    <col min="14880" max="14880" width="12.28515625" style="103" customWidth="1"/>
    <col min="14881" max="14881" width="21.28515625" style="103" customWidth="1"/>
    <col min="14882" max="14882" width="11.5703125" style="103" customWidth="1"/>
    <col min="14883" max="14883" width="33.140625" style="103" customWidth="1"/>
    <col min="14884" max="14884" width="22.7109375" style="103" customWidth="1"/>
    <col min="14885" max="14885" width="10.7109375" style="103" customWidth="1"/>
    <col min="14886" max="14886" width="27.7109375" style="103" customWidth="1"/>
    <col min="14887" max="14887" width="21.42578125" style="103" customWidth="1"/>
    <col min="14888" max="14888" width="22.140625" style="103" customWidth="1"/>
    <col min="14889" max="14889" width="12.7109375" style="103" customWidth="1"/>
    <col min="14890" max="14890" width="16.42578125" style="103" customWidth="1"/>
    <col min="14891" max="14891" width="29.7109375" style="103" customWidth="1"/>
    <col min="14892" max="14892" width="29.140625" style="103" customWidth="1"/>
    <col min="14893" max="14893" width="33.5703125" style="103" customWidth="1"/>
    <col min="14894" max="14894" width="25" style="103" customWidth="1"/>
    <col min="14895" max="14895" width="11.7109375" style="103" customWidth="1"/>
    <col min="14896" max="14896" width="17.28515625" style="103" customWidth="1"/>
    <col min="14897" max="14912" width="7.28515625" style="103" customWidth="1"/>
    <col min="14913" max="14914" width="13.7109375" style="103" customWidth="1"/>
    <col min="14915" max="14915" width="20.85546875" style="103" customWidth="1"/>
    <col min="14916" max="15131" width="11.42578125" style="103"/>
    <col min="15132" max="15132" width="13.140625" style="103" customWidth="1"/>
    <col min="15133" max="15133" width="35.28515625" style="103" customWidth="1"/>
    <col min="15134" max="15134" width="12.85546875" style="103" customWidth="1"/>
    <col min="15135" max="15135" width="19.5703125" style="103" customWidth="1"/>
    <col min="15136" max="15136" width="12.28515625" style="103" customWidth="1"/>
    <col min="15137" max="15137" width="21.28515625" style="103" customWidth="1"/>
    <col min="15138" max="15138" width="11.5703125" style="103" customWidth="1"/>
    <col min="15139" max="15139" width="33.140625" style="103" customWidth="1"/>
    <col min="15140" max="15140" width="22.7109375" style="103" customWidth="1"/>
    <col min="15141" max="15141" width="10.7109375" style="103" customWidth="1"/>
    <col min="15142" max="15142" width="27.7109375" style="103" customWidth="1"/>
    <col min="15143" max="15143" width="21.42578125" style="103" customWidth="1"/>
    <col min="15144" max="15144" width="22.140625" style="103" customWidth="1"/>
    <col min="15145" max="15145" width="12.7109375" style="103" customWidth="1"/>
    <col min="15146" max="15146" width="16.42578125" style="103" customWidth="1"/>
    <col min="15147" max="15147" width="29.7109375" style="103" customWidth="1"/>
    <col min="15148" max="15148" width="29.140625" style="103" customWidth="1"/>
    <col min="15149" max="15149" width="33.5703125" style="103" customWidth="1"/>
    <col min="15150" max="15150" width="25" style="103" customWidth="1"/>
    <col min="15151" max="15151" width="11.7109375" style="103" customWidth="1"/>
    <col min="15152" max="15152" width="17.28515625" style="103" customWidth="1"/>
    <col min="15153" max="15168" width="7.28515625" style="103" customWidth="1"/>
    <col min="15169" max="15170" width="13.7109375" style="103" customWidth="1"/>
    <col min="15171" max="15171" width="20.85546875" style="103" customWidth="1"/>
    <col min="15172" max="15387" width="11.42578125" style="103"/>
    <col min="15388" max="15388" width="13.140625" style="103" customWidth="1"/>
    <col min="15389" max="15389" width="35.28515625" style="103" customWidth="1"/>
    <col min="15390" max="15390" width="12.85546875" style="103" customWidth="1"/>
    <col min="15391" max="15391" width="19.5703125" style="103" customWidth="1"/>
    <col min="15392" max="15392" width="12.28515625" style="103" customWidth="1"/>
    <col min="15393" max="15393" width="21.28515625" style="103" customWidth="1"/>
    <col min="15394" max="15394" width="11.5703125" style="103" customWidth="1"/>
    <col min="15395" max="15395" width="33.140625" style="103" customWidth="1"/>
    <col min="15396" max="15396" width="22.7109375" style="103" customWidth="1"/>
    <col min="15397" max="15397" width="10.7109375" style="103" customWidth="1"/>
    <col min="15398" max="15398" width="27.7109375" style="103" customWidth="1"/>
    <col min="15399" max="15399" width="21.42578125" style="103" customWidth="1"/>
    <col min="15400" max="15400" width="22.140625" style="103" customWidth="1"/>
    <col min="15401" max="15401" width="12.7109375" style="103" customWidth="1"/>
    <col min="15402" max="15402" width="16.42578125" style="103" customWidth="1"/>
    <col min="15403" max="15403" width="29.7109375" style="103" customWidth="1"/>
    <col min="15404" max="15404" width="29.140625" style="103" customWidth="1"/>
    <col min="15405" max="15405" width="33.5703125" style="103" customWidth="1"/>
    <col min="15406" max="15406" width="25" style="103" customWidth="1"/>
    <col min="15407" max="15407" width="11.7109375" style="103" customWidth="1"/>
    <col min="15408" max="15408" width="17.28515625" style="103" customWidth="1"/>
    <col min="15409" max="15424" width="7.28515625" style="103" customWidth="1"/>
    <col min="15425" max="15426" width="13.7109375" style="103" customWidth="1"/>
    <col min="15427" max="15427" width="20.85546875" style="103" customWidth="1"/>
    <col min="15428" max="15643" width="11.42578125" style="103"/>
    <col min="15644" max="15644" width="13.140625" style="103" customWidth="1"/>
    <col min="15645" max="15645" width="35.28515625" style="103" customWidth="1"/>
    <col min="15646" max="15646" width="12.85546875" style="103" customWidth="1"/>
    <col min="15647" max="15647" width="19.5703125" style="103" customWidth="1"/>
    <col min="15648" max="15648" width="12.28515625" style="103" customWidth="1"/>
    <col min="15649" max="15649" width="21.28515625" style="103" customWidth="1"/>
    <col min="15650" max="15650" width="11.5703125" style="103" customWidth="1"/>
    <col min="15651" max="15651" width="33.140625" style="103" customWidth="1"/>
    <col min="15652" max="15652" width="22.7109375" style="103" customWidth="1"/>
    <col min="15653" max="15653" width="10.7109375" style="103" customWidth="1"/>
    <col min="15654" max="15654" width="27.7109375" style="103" customWidth="1"/>
    <col min="15655" max="15655" width="21.42578125" style="103" customWidth="1"/>
    <col min="15656" max="15656" width="22.140625" style="103" customWidth="1"/>
    <col min="15657" max="15657" width="12.7109375" style="103" customWidth="1"/>
    <col min="15658" max="15658" width="16.42578125" style="103" customWidth="1"/>
    <col min="15659" max="15659" width="29.7109375" style="103" customWidth="1"/>
    <col min="15660" max="15660" width="29.140625" style="103" customWidth="1"/>
    <col min="15661" max="15661" width="33.5703125" style="103" customWidth="1"/>
    <col min="15662" max="15662" width="25" style="103" customWidth="1"/>
    <col min="15663" max="15663" width="11.7109375" style="103" customWidth="1"/>
    <col min="15664" max="15664" width="17.28515625" style="103" customWidth="1"/>
    <col min="15665" max="15680" width="7.28515625" style="103" customWidth="1"/>
    <col min="15681" max="15682" width="13.7109375" style="103" customWidth="1"/>
    <col min="15683" max="15683" width="20.85546875" style="103" customWidth="1"/>
    <col min="15684" max="15899" width="11.42578125" style="103"/>
    <col min="15900" max="15900" width="13.140625" style="103" customWidth="1"/>
    <col min="15901" max="15901" width="35.28515625" style="103" customWidth="1"/>
    <col min="15902" max="15902" width="12.85546875" style="103" customWidth="1"/>
    <col min="15903" max="15903" width="19.5703125" style="103" customWidth="1"/>
    <col min="15904" max="15904" width="12.28515625" style="103" customWidth="1"/>
    <col min="15905" max="15905" width="21.28515625" style="103" customWidth="1"/>
    <col min="15906" max="15906" width="11.5703125" style="103" customWidth="1"/>
    <col min="15907" max="15907" width="33.140625" style="103" customWidth="1"/>
    <col min="15908" max="15908" width="22.7109375" style="103" customWidth="1"/>
    <col min="15909" max="15909" width="10.7109375" style="103" customWidth="1"/>
    <col min="15910" max="15910" width="27.7109375" style="103" customWidth="1"/>
    <col min="15911" max="15911" width="21.42578125" style="103" customWidth="1"/>
    <col min="15912" max="15912" width="22.140625" style="103" customWidth="1"/>
    <col min="15913" max="15913" width="12.7109375" style="103" customWidth="1"/>
    <col min="15914" max="15914" width="16.42578125" style="103" customWidth="1"/>
    <col min="15915" max="15915" width="29.7109375" style="103" customWidth="1"/>
    <col min="15916" max="15916" width="29.140625" style="103" customWidth="1"/>
    <col min="15917" max="15917" width="33.5703125" style="103" customWidth="1"/>
    <col min="15918" max="15918" width="25" style="103" customWidth="1"/>
    <col min="15919" max="15919" width="11.7109375" style="103" customWidth="1"/>
    <col min="15920" max="15920" width="17.28515625" style="103" customWidth="1"/>
    <col min="15921" max="15936" width="7.28515625" style="103" customWidth="1"/>
    <col min="15937" max="15938" width="13.7109375" style="103" customWidth="1"/>
    <col min="15939" max="15939" width="20.85546875" style="103" customWidth="1"/>
    <col min="15940" max="16155" width="11.42578125" style="103"/>
    <col min="16156" max="16156" width="13.140625" style="103" customWidth="1"/>
    <col min="16157" max="16157" width="35.28515625" style="103" customWidth="1"/>
    <col min="16158" max="16158" width="12.85546875" style="103" customWidth="1"/>
    <col min="16159" max="16159" width="19.5703125" style="103" customWidth="1"/>
    <col min="16160" max="16160" width="12.28515625" style="103" customWidth="1"/>
    <col min="16161" max="16161" width="21.28515625" style="103" customWidth="1"/>
    <col min="16162" max="16162" width="11.5703125" style="103" customWidth="1"/>
    <col min="16163" max="16163" width="33.140625" style="103" customWidth="1"/>
    <col min="16164" max="16164" width="22.7109375" style="103" customWidth="1"/>
    <col min="16165" max="16165" width="10.7109375" style="103" customWidth="1"/>
    <col min="16166" max="16166" width="27.7109375" style="103" customWidth="1"/>
    <col min="16167" max="16167" width="21.42578125" style="103" customWidth="1"/>
    <col min="16168" max="16168" width="22.140625" style="103" customWidth="1"/>
    <col min="16169" max="16169" width="12.7109375" style="103" customWidth="1"/>
    <col min="16170" max="16170" width="16.42578125" style="103" customWidth="1"/>
    <col min="16171" max="16171" width="29.7109375" style="103" customWidth="1"/>
    <col min="16172" max="16172" width="29.140625" style="103" customWidth="1"/>
    <col min="16173" max="16173" width="33.5703125" style="103" customWidth="1"/>
    <col min="16174" max="16174" width="25" style="103" customWidth="1"/>
    <col min="16175" max="16175" width="11.7109375" style="103" customWidth="1"/>
    <col min="16176" max="16176" width="17.28515625" style="103" customWidth="1"/>
    <col min="16177" max="16192" width="7.28515625" style="103" customWidth="1"/>
    <col min="16193" max="16194" width="13.7109375" style="103" customWidth="1"/>
    <col min="16195" max="16195" width="20.85546875" style="103" customWidth="1"/>
    <col min="16196" max="16384" width="11.42578125" style="103"/>
  </cols>
  <sheetData>
    <row r="1" spans="1:87" ht="18" x14ac:dyDescent="0.25">
      <c r="A1" s="3333" t="s">
        <v>126</v>
      </c>
      <c r="B1" s="3893"/>
      <c r="C1" s="3893"/>
      <c r="D1" s="3893"/>
      <c r="E1" s="3893"/>
      <c r="F1" s="3893"/>
      <c r="G1" s="3893"/>
      <c r="H1" s="3893"/>
      <c r="I1" s="3893"/>
      <c r="J1" s="3893"/>
      <c r="K1" s="3893"/>
      <c r="L1" s="3893"/>
      <c r="M1" s="3893"/>
      <c r="N1" s="3893"/>
      <c r="O1" s="3893"/>
      <c r="P1" s="3893"/>
      <c r="Q1" s="3893"/>
      <c r="R1" s="3893"/>
      <c r="S1" s="3893"/>
      <c r="T1" s="3893"/>
      <c r="U1" s="3893"/>
      <c r="V1" s="3893"/>
      <c r="W1" s="3893"/>
      <c r="X1" s="3893"/>
      <c r="Y1" s="3893"/>
      <c r="Z1" s="3893"/>
      <c r="AA1" s="3893"/>
      <c r="AB1" s="3893"/>
      <c r="AC1" s="3893"/>
      <c r="AD1" s="3893"/>
      <c r="AE1" s="3893"/>
      <c r="AF1" s="3893"/>
      <c r="AG1" s="3893"/>
      <c r="AH1" s="3893"/>
      <c r="AI1" s="3893"/>
      <c r="AJ1" s="3893"/>
      <c r="AK1" s="3893"/>
      <c r="AL1" s="3893"/>
      <c r="AM1" s="3893"/>
      <c r="AN1" s="3893"/>
      <c r="AO1" s="3893"/>
      <c r="AP1" s="3893"/>
      <c r="AQ1" s="3893"/>
      <c r="AR1" s="3893"/>
      <c r="AS1" s="3893"/>
      <c r="AT1" s="3893"/>
      <c r="AU1" s="3893"/>
      <c r="AV1" s="3893"/>
      <c r="AW1" s="3893"/>
      <c r="AX1" s="3893"/>
      <c r="AY1" s="3893"/>
      <c r="AZ1" s="3893"/>
      <c r="BA1" s="3893"/>
      <c r="BB1" s="3893"/>
      <c r="BC1" s="3893"/>
      <c r="BD1" s="3893"/>
      <c r="BE1" s="3893"/>
      <c r="BF1" s="3893"/>
      <c r="BG1" s="3893"/>
      <c r="BH1" s="3893"/>
      <c r="BI1" s="3893"/>
      <c r="BJ1" s="3893"/>
      <c r="BK1" s="3893"/>
      <c r="BL1" s="99"/>
      <c r="BM1" s="100"/>
      <c r="BN1" s="101" t="s">
        <v>1</v>
      </c>
      <c r="BO1" s="101" t="s">
        <v>2</v>
      </c>
      <c r="BP1" s="102"/>
      <c r="BQ1" s="102"/>
      <c r="BR1" s="102"/>
      <c r="BS1" s="102"/>
      <c r="BT1" s="102"/>
      <c r="BU1" s="102"/>
      <c r="BV1" s="102"/>
      <c r="BW1" s="102"/>
      <c r="BX1" s="102"/>
      <c r="BY1" s="102"/>
      <c r="BZ1" s="102"/>
      <c r="CA1" s="102"/>
      <c r="CB1" s="102"/>
      <c r="CC1" s="102"/>
      <c r="CD1" s="102"/>
      <c r="CE1" s="102"/>
      <c r="CF1" s="102"/>
      <c r="CG1" s="102"/>
      <c r="CH1" s="102"/>
      <c r="CI1" s="102"/>
    </row>
    <row r="2" spans="1:87" ht="18" x14ac:dyDescent="0.25">
      <c r="A2" s="3893"/>
      <c r="B2" s="3893"/>
      <c r="C2" s="3893"/>
      <c r="D2" s="3893"/>
      <c r="E2" s="3893"/>
      <c r="F2" s="3893"/>
      <c r="G2" s="3893"/>
      <c r="H2" s="3893"/>
      <c r="I2" s="3893"/>
      <c r="J2" s="3893"/>
      <c r="K2" s="3893"/>
      <c r="L2" s="3893"/>
      <c r="M2" s="3893"/>
      <c r="N2" s="3893"/>
      <c r="O2" s="3893"/>
      <c r="P2" s="3893"/>
      <c r="Q2" s="3893"/>
      <c r="R2" s="3893"/>
      <c r="S2" s="3893"/>
      <c r="T2" s="3893"/>
      <c r="U2" s="3893"/>
      <c r="V2" s="3893"/>
      <c r="W2" s="3893"/>
      <c r="X2" s="3893"/>
      <c r="Y2" s="3893"/>
      <c r="Z2" s="3893"/>
      <c r="AA2" s="3893"/>
      <c r="AB2" s="3893"/>
      <c r="AC2" s="3893"/>
      <c r="AD2" s="3893"/>
      <c r="AE2" s="3893"/>
      <c r="AF2" s="3893"/>
      <c r="AG2" s="3893"/>
      <c r="AH2" s="3893"/>
      <c r="AI2" s="3893"/>
      <c r="AJ2" s="3893"/>
      <c r="AK2" s="3893"/>
      <c r="AL2" s="3893"/>
      <c r="AM2" s="3893"/>
      <c r="AN2" s="3893"/>
      <c r="AO2" s="3893"/>
      <c r="AP2" s="3893"/>
      <c r="AQ2" s="3893"/>
      <c r="AR2" s="3893"/>
      <c r="AS2" s="3893"/>
      <c r="AT2" s="3893"/>
      <c r="AU2" s="3893"/>
      <c r="AV2" s="3893"/>
      <c r="AW2" s="3893"/>
      <c r="AX2" s="3893"/>
      <c r="AY2" s="3893"/>
      <c r="AZ2" s="3893"/>
      <c r="BA2" s="3893"/>
      <c r="BB2" s="3893"/>
      <c r="BC2" s="3893"/>
      <c r="BD2" s="3893"/>
      <c r="BE2" s="3893"/>
      <c r="BF2" s="3893"/>
      <c r="BG2" s="3893"/>
      <c r="BH2" s="3893"/>
      <c r="BI2" s="3893"/>
      <c r="BJ2" s="3893"/>
      <c r="BK2" s="3893"/>
      <c r="BL2" s="99"/>
      <c r="BM2" s="100"/>
      <c r="BN2" s="104" t="s">
        <v>3</v>
      </c>
      <c r="BO2" s="101" t="s">
        <v>127</v>
      </c>
      <c r="BP2" s="102"/>
      <c r="BQ2" s="102"/>
      <c r="BR2" s="102"/>
      <c r="BS2" s="102"/>
      <c r="BT2" s="102"/>
      <c r="BU2" s="102"/>
      <c r="BV2" s="102"/>
      <c r="BW2" s="102"/>
      <c r="BX2" s="102"/>
      <c r="BY2" s="102"/>
      <c r="BZ2" s="102"/>
      <c r="CA2" s="102"/>
      <c r="CB2" s="102"/>
      <c r="CC2" s="102"/>
      <c r="CD2" s="102"/>
      <c r="CE2" s="102"/>
      <c r="CF2" s="102"/>
      <c r="CG2" s="102"/>
      <c r="CH2" s="102"/>
      <c r="CI2" s="102"/>
    </row>
    <row r="3" spans="1:87" ht="18" x14ac:dyDescent="0.25">
      <c r="A3" s="3893"/>
      <c r="B3" s="3893"/>
      <c r="C3" s="3893"/>
      <c r="D3" s="3893"/>
      <c r="E3" s="3893"/>
      <c r="F3" s="3893"/>
      <c r="G3" s="3893"/>
      <c r="H3" s="3893"/>
      <c r="I3" s="3893"/>
      <c r="J3" s="3893"/>
      <c r="K3" s="3893"/>
      <c r="L3" s="3893"/>
      <c r="M3" s="3893"/>
      <c r="N3" s="3893"/>
      <c r="O3" s="3893"/>
      <c r="P3" s="3893"/>
      <c r="Q3" s="3893"/>
      <c r="R3" s="3893"/>
      <c r="S3" s="3893"/>
      <c r="T3" s="3893"/>
      <c r="U3" s="3893"/>
      <c r="V3" s="3893"/>
      <c r="W3" s="3893"/>
      <c r="X3" s="3893"/>
      <c r="Y3" s="3893"/>
      <c r="Z3" s="3893"/>
      <c r="AA3" s="3893"/>
      <c r="AB3" s="3893"/>
      <c r="AC3" s="3893"/>
      <c r="AD3" s="3893"/>
      <c r="AE3" s="3893"/>
      <c r="AF3" s="3893"/>
      <c r="AG3" s="3893"/>
      <c r="AH3" s="3893"/>
      <c r="AI3" s="3893"/>
      <c r="AJ3" s="3893"/>
      <c r="AK3" s="3893"/>
      <c r="AL3" s="3893"/>
      <c r="AM3" s="3893"/>
      <c r="AN3" s="3893"/>
      <c r="AO3" s="3893"/>
      <c r="AP3" s="3893"/>
      <c r="AQ3" s="3893"/>
      <c r="AR3" s="3893"/>
      <c r="AS3" s="3893"/>
      <c r="AT3" s="3893"/>
      <c r="AU3" s="3893"/>
      <c r="AV3" s="3893"/>
      <c r="AW3" s="3893"/>
      <c r="AX3" s="3893"/>
      <c r="AY3" s="3893"/>
      <c r="AZ3" s="3893"/>
      <c r="BA3" s="3893"/>
      <c r="BB3" s="3893"/>
      <c r="BC3" s="3893"/>
      <c r="BD3" s="3893"/>
      <c r="BE3" s="3893"/>
      <c r="BF3" s="3893"/>
      <c r="BG3" s="3893"/>
      <c r="BH3" s="3893"/>
      <c r="BI3" s="3893"/>
      <c r="BJ3" s="3893"/>
      <c r="BK3" s="3893"/>
      <c r="BL3" s="99"/>
      <c r="BM3" s="100"/>
      <c r="BN3" s="101" t="s">
        <v>4</v>
      </c>
      <c r="BO3" s="105" t="s">
        <v>5</v>
      </c>
      <c r="BP3" s="102"/>
      <c r="BQ3" s="102"/>
      <c r="BR3" s="102"/>
      <c r="BS3" s="102"/>
      <c r="BT3" s="102"/>
      <c r="BU3" s="102"/>
      <c r="BV3" s="102"/>
      <c r="BW3" s="102"/>
      <c r="BX3" s="102"/>
      <c r="BY3" s="102"/>
      <c r="BZ3" s="102"/>
      <c r="CA3" s="102"/>
      <c r="CB3" s="102"/>
      <c r="CC3" s="102"/>
      <c r="CD3" s="102"/>
      <c r="CE3" s="102"/>
      <c r="CF3" s="102"/>
      <c r="CG3" s="102"/>
      <c r="CH3" s="102"/>
      <c r="CI3" s="102"/>
    </row>
    <row r="4" spans="1:87" ht="18" x14ac:dyDescent="0.25">
      <c r="A4" s="3894"/>
      <c r="B4" s="3894"/>
      <c r="C4" s="3894"/>
      <c r="D4" s="3894"/>
      <c r="E4" s="3894"/>
      <c r="F4" s="3894"/>
      <c r="G4" s="3894"/>
      <c r="H4" s="3894"/>
      <c r="I4" s="3894"/>
      <c r="J4" s="3894"/>
      <c r="K4" s="3894"/>
      <c r="L4" s="3894"/>
      <c r="M4" s="3894"/>
      <c r="N4" s="3894"/>
      <c r="O4" s="3894"/>
      <c r="P4" s="3894"/>
      <c r="Q4" s="3894"/>
      <c r="R4" s="3894"/>
      <c r="S4" s="3894"/>
      <c r="T4" s="3894"/>
      <c r="U4" s="3894"/>
      <c r="V4" s="3894"/>
      <c r="W4" s="3894"/>
      <c r="X4" s="3894"/>
      <c r="Y4" s="3894"/>
      <c r="Z4" s="3894"/>
      <c r="AA4" s="3894"/>
      <c r="AB4" s="3894"/>
      <c r="AC4" s="3894"/>
      <c r="AD4" s="3894"/>
      <c r="AE4" s="3894"/>
      <c r="AF4" s="3894"/>
      <c r="AG4" s="3894"/>
      <c r="AH4" s="3894"/>
      <c r="AI4" s="3894"/>
      <c r="AJ4" s="3894"/>
      <c r="AK4" s="3894"/>
      <c r="AL4" s="3894"/>
      <c r="AM4" s="3894"/>
      <c r="AN4" s="3894"/>
      <c r="AO4" s="3894"/>
      <c r="AP4" s="3894"/>
      <c r="AQ4" s="3894"/>
      <c r="AR4" s="3894"/>
      <c r="AS4" s="3894"/>
      <c r="AT4" s="3894"/>
      <c r="AU4" s="3894"/>
      <c r="AV4" s="3894"/>
      <c r="AW4" s="3894"/>
      <c r="AX4" s="3894"/>
      <c r="AY4" s="3894"/>
      <c r="AZ4" s="3894"/>
      <c r="BA4" s="3894"/>
      <c r="BB4" s="3894"/>
      <c r="BC4" s="3894"/>
      <c r="BD4" s="3894"/>
      <c r="BE4" s="3894"/>
      <c r="BF4" s="3894"/>
      <c r="BG4" s="3894"/>
      <c r="BH4" s="3894"/>
      <c r="BI4" s="3894"/>
      <c r="BJ4" s="3894"/>
      <c r="BK4" s="3894"/>
      <c r="BL4" s="106"/>
      <c r="BM4" s="107"/>
      <c r="BN4" s="101" t="s">
        <v>6</v>
      </c>
      <c r="BO4" s="108" t="s">
        <v>128</v>
      </c>
      <c r="BP4" s="102"/>
      <c r="BQ4" s="102"/>
      <c r="BR4" s="102"/>
      <c r="BS4" s="102"/>
      <c r="BT4" s="102"/>
      <c r="BU4" s="102"/>
      <c r="BV4" s="102"/>
      <c r="BW4" s="102"/>
      <c r="BX4" s="102"/>
      <c r="BY4" s="102"/>
      <c r="BZ4" s="102"/>
      <c r="CA4" s="102"/>
      <c r="CB4" s="102"/>
      <c r="CC4" s="102"/>
      <c r="CD4" s="102"/>
      <c r="CE4" s="102"/>
      <c r="CF4" s="102"/>
      <c r="CG4" s="102"/>
      <c r="CH4" s="102"/>
      <c r="CI4" s="102"/>
    </row>
    <row r="5" spans="1:87" ht="15" x14ac:dyDescent="0.25">
      <c r="A5" s="3128" t="s">
        <v>8</v>
      </c>
      <c r="B5" s="3128"/>
      <c r="C5" s="3128"/>
      <c r="D5" s="3128"/>
      <c r="E5" s="3128"/>
      <c r="F5" s="3128"/>
      <c r="G5" s="3128"/>
      <c r="H5" s="3128"/>
      <c r="I5" s="3128"/>
      <c r="J5" s="3128"/>
      <c r="K5" s="109"/>
      <c r="L5" s="3879" t="s">
        <v>9</v>
      </c>
      <c r="M5" s="3879"/>
      <c r="N5" s="3879"/>
      <c r="O5" s="3879"/>
      <c r="P5" s="3879"/>
      <c r="Q5" s="3879"/>
      <c r="R5" s="3879"/>
      <c r="S5" s="3879"/>
      <c r="T5" s="3879"/>
      <c r="U5" s="3879"/>
      <c r="V5" s="3879"/>
      <c r="W5" s="3879"/>
      <c r="X5" s="3879"/>
      <c r="Y5" s="3879"/>
      <c r="Z5" s="3879"/>
      <c r="AA5" s="3879"/>
      <c r="AB5" s="3879"/>
      <c r="AC5" s="3879"/>
      <c r="AD5" s="3879"/>
      <c r="AE5" s="3879"/>
      <c r="AF5" s="3879"/>
      <c r="AG5" s="3879"/>
      <c r="AH5" s="3879"/>
      <c r="AI5" s="3879"/>
      <c r="AJ5" s="3879"/>
      <c r="AK5" s="3879"/>
      <c r="AL5" s="3879"/>
      <c r="AM5" s="3879"/>
      <c r="AN5" s="3879"/>
      <c r="AO5" s="3879"/>
      <c r="AP5" s="3879"/>
      <c r="AQ5" s="3879"/>
      <c r="AR5" s="3879"/>
      <c r="AS5" s="3879"/>
      <c r="AT5" s="3879"/>
      <c r="AU5" s="3879"/>
      <c r="AV5" s="3879"/>
      <c r="AW5" s="3879"/>
      <c r="AX5" s="3879"/>
      <c r="AY5" s="3879"/>
      <c r="AZ5" s="3879"/>
      <c r="BA5" s="3879"/>
      <c r="BB5" s="3879"/>
      <c r="BC5" s="3879"/>
      <c r="BD5" s="3879"/>
      <c r="BE5" s="3879"/>
      <c r="BF5" s="3879"/>
      <c r="BG5" s="3879"/>
      <c r="BH5" s="3879"/>
      <c r="BI5" s="3879"/>
      <c r="BJ5" s="3879"/>
      <c r="BK5" s="3879"/>
      <c r="BL5" s="3879"/>
      <c r="BM5" s="3879"/>
      <c r="BN5" s="3879"/>
      <c r="BO5" s="3879"/>
      <c r="BP5" s="102"/>
      <c r="BQ5" s="102"/>
      <c r="BR5" s="102"/>
      <c r="BS5" s="102"/>
      <c r="BT5" s="102"/>
      <c r="BU5" s="102"/>
      <c r="BV5" s="102"/>
      <c r="BW5" s="102"/>
      <c r="BX5" s="102"/>
      <c r="BY5" s="102"/>
      <c r="BZ5" s="102"/>
      <c r="CA5" s="102"/>
      <c r="CB5" s="102"/>
      <c r="CC5" s="102"/>
      <c r="CD5" s="102"/>
      <c r="CE5" s="102"/>
      <c r="CF5" s="102"/>
      <c r="CG5" s="102"/>
      <c r="CH5" s="102"/>
      <c r="CI5" s="102"/>
    </row>
    <row r="6" spans="1:87" ht="15.75" thickBot="1" x14ac:dyDescent="0.3">
      <c r="A6" s="3134"/>
      <c r="B6" s="3134"/>
      <c r="C6" s="3134"/>
      <c r="D6" s="3134"/>
      <c r="E6" s="3134"/>
      <c r="F6" s="3134"/>
      <c r="G6" s="3134"/>
      <c r="H6" s="3134"/>
      <c r="I6" s="3134"/>
      <c r="J6" s="3134"/>
      <c r="K6" s="110"/>
      <c r="L6" s="111"/>
      <c r="M6" s="112"/>
      <c r="N6" s="112"/>
      <c r="O6" s="113"/>
      <c r="P6" s="112"/>
      <c r="Q6" s="112"/>
      <c r="R6" s="112"/>
      <c r="S6" s="112"/>
      <c r="T6" s="112"/>
      <c r="U6" s="112"/>
      <c r="V6" s="112"/>
      <c r="W6" s="112"/>
      <c r="X6" s="112"/>
      <c r="Y6" s="3133" t="s">
        <v>129</v>
      </c>
      <c r="Z6" s="3134"/>
      <c r="AA6" s="3134"/>
      <c r="AB6" s="3134"/>
      <c r="AC6" s="3134"/>
      <c r="AD6" s="3134"/>
      <c r="AE6" s="3134"/>
      <c r="AF6" s="3134"/>
      <c r="AG6" s="3134"/>
      <c r="AH6" s="3134"/>
      <c r="AI6" s="3134"/>
      <c r="AJ6" s="3134"/>
      <c r="AK6" s="3134"/>
      <c r="AL6" s="3134"/>
      <c r="AM6" s="3134"/>
      <c r="AN6" s="3134"/>
      <c r="AO6" s="3134"/>
      <c r="AP6" s="3134"/>
      <c r="AQ6" s="3134"/>
      <c r="AR6" s="3134"/>
      <c r="AS6" s="3134"/>
      <c r="AT6" s="3134"/>
      <c r="AU6" s="3134"/>
      <c r="AV6" s="3134"/>
      <c r="AW6" s="3134"/>
      <c r="AX6" s="3134"/>
      <c r="AY6" s="3134"/>
      <c r="AZ6" s="3134"/>
      <c r="BA6" s="3135"/>
      <c r="BB6" s="110"/>
      <c r="BC6" s="110"/>
      <c r="BD6" s="110"/>
      <c r="BE6" s="110"/>
      <c r="BF6" s="114"/>
      <c r="BG6" s="114"/>
      <c r="BH6" s="110"/>
      <c r="BI6" s="110"/>
      <c r="BJ6" s="110"/>
      <c r="BK6" s="112"/>
      <c r="BL6" s="112"/>
      <c r="BM6" s="112"/>
      <c r="BN6" s="112"/>
      <c r="BO6" s="115"/>
      <c r="BP6" s="102"/>
      <c r="BQ6" s="102"/>
      <c r="BR6" s="102"/>
      <c r="BS6" s="102"/>
      <c r="BT6" s="102"/>
      <c r="BU6" s="102"/>
      <c r="BV6" s="102"/>
      <c r="BW6" s="102"/>
      <c r="BX6" s="102"/>
      <c r="BY6" s="102"/>
      <c r="BZ6" s="102"/>
      <c r="CA6" s="102"/>
      <c r="CB6" s="102"/>
      <c r="CC6" s="102"/>
      <c r="CD6" s="102"/>
      <c r="CE6" s="102"/>
      <c r="CF6" s="102"/>
      <c r="CG6" s="102"/>
      <c r="CH6" s="102"/>
      <c r="CI6" s="102"/>
    </row>
    <row r="7" spans="1:87" ht="60" customHeight="1" x14ac:dyDescent="0.25">
      <c r="A7" s="3895" t="s">
        <v>10</v>
      </c>
      <c r="B7" s="3849" t="s">
        <v>11</v>
      </c>
      <c r="C7" s="3849" t="s">
        <v>10</v>
      </c>
      <c r="D7" s="3849" t="s">
        <v>12</v>
      </c>
      <c r="E7" s="3849" t="s">
        <v>10</v>
      </c>
      <c r="F7" s="3849" t="s">
        <v>13</v>
      </c>
      <c r="G7" s="3849" t="s">
        <v>10</v>
      </c>
      <c r="H7" s="3925" t="s">
        <v>14</v>
      </c>
      <c r="I7" s="3849" t="s">
        <v>15</v>
      </c>
      <c r="J7" s="3849" t="s">
        <v>16</v>
      </c>
      <c r="K7" s="3849"/>
      <c r="L7" s="3849" t="s">
        <v>17</v>
      </c>
      <c r="M7" s="3849" t="s">
        <v>130</v>
      </c>
      <c r="N7" s="3849" t="s">
        <v>9</v>
      </c>
      <c r="O7" s="3924" t="s">
        <v>19</v>
      </c>
      <c r="P7" s="3848" t="s">
        <v>20</v>
      </c>
      <c r="Q7" s="3925" t="s">
        <v>21</v>
      </c>
      <c r="R7" s="3849" t="s">
        <v>22</v>
      </c>
      <c r="S7" s="3849" t="s">
        <v>23</v>
      </c>
      <c r="T7" s="3848" t="s">
        <v>20</v>
      </c>
      <c r="U7" s="3848"/>
      <c r="V7" s="3848"/>
      <c r="W7" s="116"/>
      <c r="X7" s="3849" t="s">
        <v>24</v>
      </c>
      <c r="Y7" s="3899" t="s">
        <v>25</v>
      </c>
      <c r="Z7" s="3899"/>
      <c r="AA7" s="3899"/>
      <c r="AB7" s="3899"/>
      <c r="AC7" s="3900" t="s">
        <v>26</v>
      </c>
      <c r="AD7" s="3900"/>
      <c r="AE7" s="3900"/>
      <c r="AF7" s="3900"/>
      <c r="AG7" s="3900"/>
      <c r="AH7" s="3900"/>
      <c r="AI7" s="3900"/>
      <c r="AJ7" s="3900"/>
      <c r="AK7" s="3901" t="s">
        <v>27</v>
      </c>
      <c r="AL7" s="3901"/>
      <c r="AM7" s="3901"/>
      <c r="AN7" s="3901"/>
      <c r="AO7" s="3901"/>
      <c r="AP7" s="3901"/>
      <c r="AQ7" s="3901"/>
      <c r="AR7" s="3901"/>
      <c r="AS7" s="3901"/>
      <c r="AT7" s="3901"/>
      <c r="AU7" s="3901"/>
      <c r="AV7" s="3901"/>
      <c r="AW7" s="3900" t="s">
        <v>28</v>
      </c>
      <c r="AX7" s="3900"/>
      <c r="AY7" s="3900"/>
      <c r="AZ7" s="3900"/>
      <c r="BA7" s="3900"/>
      <c r="BB7" s="3900"/>
      <c r="BC7" s="3904" t="s">
        <v>29</v>
      </c>
      <c r="BD7" s="3905"/>
      <c r="BE7" s="3890" t="s">
        <v>30</v>
      </c>
      <c r="BF7" s="3891"/>
      <c r="BG7" s="3891"/>
      <c r="BH7" s="3891"/>
      <c r="BI7" s="3891"/>
      <c r="BJ7" s="3892"/>
      <c r="BK7" s="3896" t="s">
        <v>31</v>
      </c>
      <c r="BL7" s="3896"/>
      <c r="BM7" s="3896" t="s">
        <v>32</v>
      </c>
      <c r="BN7" s="3896"/>
      <c r="BO7" s="3897" t="s">
        <v>33</v>
      </c>
      <c r="BP7" s="102"/>
      <c r="BQ7" s="102"/>
      <c r="BR7" s="102"/>
      <c r="BS7" s="102"/>
      <c r="BT7" s="102"/>
      <c r="BU7" s="102"/>
      <c r="BV7" s="102"/>
      <c r="BW7" s="102"/>
      <c r="BX7" s="102"/>
      <c r="BY7" s="102"/>
      <c r="BZ7" s="102"/>
      <c r="CA7" s="102"/>
      <c r="CB7" s="102"/>
      <c r="CC7" s="102"/>
      <c r="CD7" s="102"/>
      <c r="CE7" s="102"/>
      <c r="CF7" s="102"/>
      <c r="CG7" s="102"/>
      <c r="CH7" s="102"/>
      <c r="CI7" s="102"/>
    </row>
    <row r="8" spans="1:87" s="121" customFormat="1" ht="112.5" customHeight="1" x14ac:dyDescent="0.25">
      <c r="A8" s="3895"/>
      <c r="B8" s="3849"/>
      <c r="C8" s="3849"/>
      <c r="D8" s="3849"/>
      <c r="E8" s="3849"/>
      <c r="F8" s="3849"/>
      <c r="G8" s="3849"/>
      <c r="H8" s="3925"/>
      <c r="I8" s="3849"/>
      <c r="J8" s="117" t="s">
        <v>55</v>
      </c>
      <c r="K8" s="117" t="s">
        <v>56</v>
      </c>
      <c r="L8" s="3849"/>
      <c r="M8" s="3849"/>
      <c r="N8" s="3849"/>
      <c r="O8" s="3924"/>
      <c r="P8" s="3848"/>
      <c r="Q8" s="3925"/>
      <c r="R8" s="3849"/>
      <c r="S8" s="3849"/>
      <c r="T8" s="118" t="s">
        <v>57</v>
      </c>
      <c r="U8" s="118" t="s">
        <v>58</v>
      </c>
      <c r="V8" s="118" t="s">
        <v>59</v>
      </c>
      <c r="W8" s="119" t="s">
        <v>10</v>
      </c>
      <c r="X8" s="3849"/>
      <c r="Y8" s="3898" t="s">
        <v>34</v>
      </c>
      <c r="Z8" s="3898"/>
      <c r="AA8" s="3898" t="s">
        <v>35</v>
      </c>
      <c r="AB8" s="3898"/>
      <c r="AC8" s="3898" t="s">
        <v>36</v>
      </c>
      <c r="AD8" s="3898"/>
      <c r="AE8" s="3898" t="s">
        <v>37</v>
      </c>
      <c r="AF8" s="3898"/>
      <c r="AG8" s="3898" t="s">
        <v>131</v>
      </c>
      <c r="AH8" s="3898"/>
      <c r="AI8" s="3898" t="s">
        <v>39</v>
      </c>
      <c r="AJ8" s="3898"/>
      <c r="AK8" s="3898" t="s">
        <v>40</v>
      </c>
      <c r="AL8" s="3898"/>
      <c r="AM8" s="3898" t="s">
        <v>41</v>
      </c>
      <c r="AN8" s="3898"/>
      <c r="AO8" s="3898" t="s">
        <v>42</v>
      </c>
      <c r="AP8" s="3898"/>
      <c r="AQ8" s="3898" t="s">
        <v>43</v>
      </c>
      <c r="AR8" s="3898"/>
      <c r="AS8" s="3898" t="s">
        <v>44</v>
      </c>
      <c r="AT8" s="3898"/>
      <c r="AU8" s="3898" t="s">
        <v>45</v>
      </c>
      <c r="AV8" s="3898"/>
      <c r="AW8" s="3898" t="s">
        <v>46</v>
      </c>
      <c r="AX8" s="3898"/>
      <c r="AY8" s="3898" t="s">
        <v>47</v>
      </c>
      <c r="AZ8" s="3898"/>
      <c r="BA8" s="3898" t="s">
        <v>48</v>
      </c>
      <c r="BB8" s="3898"/>
      <c r="BC8" s="3166"/>
      <c r="BD8" s="3167"/>
      <c r="BE8" s="3861" t="s">
        <v>49</v>
      </c>
      <c r="BF8" s="3902" t="s">
        <v>50</v>
      </c>
      <c r="BG8" s="3902" t="s">
        <v>51</v>
      </c>
      <c r="BH8" s="3903" t="s">
        <v>52</v>
      </c>
      <c r="BI8" s="3861" t="s">
        <v>53</v>
      </c>
      <c r="BJ8" s="3155" t="s">
        <v>54</v>
      </c>
      <c r="BK8" s="117" t="s">
        <v>55</v>
      </c>
      <c r="BL8" s="117" t="s">
        <v>56</v>
      </c>
      <c r="BM8" s="117" t="s">
        <v>55</v>
      </c>
      <c r="BN8" s="117" t="s">
        <v>56</v>
      </c>
      <c r="BO8" s="3897"/>
      <c r="BP8" s="120"/>
      <c r="BQ8" s="120"/>
      <c r="BR8" s="120"/>
      <c r="BS8" s="120"/>
      <c r="BT8" s="120"/>
      <c r="BU8" s="120"/>
      <c r="BV8" s="120"/>
      <c r="BW8" s="120"/>
      <c r="BX8" s="120"/>
      <c r="BY8" s="120"/>
      <c r="BZ8" s="120"/>
      <c r="CA8" s="120"/>
      <c r="CB8" s="120"/>
      <c r="CC8" s="120"/>
      <c r="CD8" s="120"/>
      <c r="CE8" s="120"/>
      <c r="CF8" s="120"/>
      <c r="CG8" s="120"/>
      <c r="CH8" s="120"/>
      <c r="CI8" s="120"/>
    </row>
    <row r="9" spans="1:87" s="121" customFormat="1" ht="30.75" customHeight="1" x14ac:dyDescent="0.25">
      <c r="A9" s="122"/>
      <c r="B9" s="123"/>
      <c r="C9" s="124"/>
      <c r="D9" s="123"/>
      <c r="E9" s="123"/>
      <c r="F9" s="123"/>
      <c r="G9" s="124"/>
      <c r="H9" s="125"/>
      <c r="I9" s="124"/>
      <c r="J9" s="123"/>
      <c r="K9" s="123"/>
      <c r="L9" s="124"/>
      <c r="M9" s="124"/>
      <c r="N9" s="124"/>
      <c r="O9" s="126"/>
      <c r="P9" s="127"/>
      <c r="Q9" s="125"/>
      <c r="R9" s="124"/>
      <c r="S9" s="124"/>
      <c r="T9" s="128"/>
      <c r="U9" s="128"/>
      <c r="V9" s="128"/>
      <c r="W9" s="129"/>
      <c r="X9" s="124"/>
      <c r="Y9" s="130" t="s">
        <v>55</v>
      </c>
      <c r="Z9" s="130" t="s">
        <v>56</v>
      </c>
      <c r="AA9" s="130" t="s">
        <v>55</v>
      </c>
      <c r="AB9" s="130" t="s">
        <v>56</v>
      </c>
      <c r="AC9" s="130" t="s">
        <v>55</v>
      </c>
      <c r="AD9" s="130" t="s">
        <v>56</v>
      </c>
      <c r="AE9" s="130" t="s">
        <v>55</v>
      </c>
      <c r="AF9" s="130" t="s">
        <v>56</v>
      </c>
      <c r="AG9" s="130" t="s">
        <v>55</v>
      </c>
      <c r="AH9" s="130" t="s">
        <v>56</v>
      </c>
      <c r="AI9" s="130" t="s">
        <v>55</v>
      </c>
      <c r="AJ9" s="130" t="s">
        <v>56</v>
      </c>
      <c r="AK9" s="130" t="s">
        <v>55</v>
      </c>
      <c r="AL9" s="130" t="s">
        <v>56</v>
      </c>
      <c r="AM9" s="130" t="s">
        <v>55</v>
      </c>
      <c r="AN9" s="130" t="s">
        <v>56</v>
      </c>
      <c r="AO9" s="130" t="s">
        <v>55</v>
      </c>
      <c r="AP9" s="130" t="s">
        <v>56</v>
      </c>
      <c r="AQ9" s="130" t="s">
        <v>55</v>
      </c>
      <c r="AR9" s="130" t="s">
        <v>56</v>
      </c>
      <c r="AS9" s="130" t="s">
        <v>55</v>
      </c>
      <c r="AT9" s="130" t="s">
        <v>56</v>
      </c>
      <c r="AU9" s="130" t="s">
        <v>55</v>
      </c>
      <c r="AV9" s="130" t="s">
        <v>56</v>
      </c>
      <c r="AW9" s="130" t="s">
        <v>55</v>
      </c>
      <c r="AX9" s="130" t="s">
        <v>56</v>
      </c>
      <c r="AY9" s="130" t="s">
        <v>55</v>
      </c>
      <c r="AZ9" s="130" t="s">
        <v>56</v>
      </c>
      <c r="BA9" s="130" t="s">
        <v>55</v>
      </c>
      <c r="BB9" s="130" t="s">
        <v>56</v>
      </c>
      <c r="BC9" s="130" t="s">
        <v>55</v>
      </c>
      <c r="BD9" s="130" t="s">
        <v>56</v>
      </c>
      <c r="BE9" s="3861"/>
      <c r="BF9" s="3902"/>
      <c r="BG9" s="3902"/>
      <c r="BH9" s="3903"/>
      <c r="BI9" s="3861"/>
      <c r="BJ9" s="3156"/>
      <c r="BK9" s="131"/>
      <c r="BL9" s="131"/>
      <c r="BM9" s="131"/>
      <c r="BN9" s="131"/>
      <c r="BO9" s="132"/>
      <c r="BP9" s="120"/>
      <c r="BQ9" s="120"/>
      <c r="BR9" s="120"/>
      <c r="BS9" s="120"/>
      <c r="BT9" s="120"/>
      <c r="BU9" s="120"/>
      <c r="BV9" s="120"/>
      <c r="BW9" s="120"/>
      <c r="BX9" s="120"/>
      <c r="BY9" s="120"/>
      <c r="BZ9" s="120"/>
      <c r="CA9" s="120"/>
      <c r="CB9" s="120"/>
      <c r="CC9" s="120"/>
      <c r="CD9" s="120"/>
      <c r="CE9" s="120"/>
      <c r="CF9" s="120"/>
      <c r="CG9" s="120"/>
      <c r="CH9" s="120"/>
      <c r="CI9" s="120"/>
    </row>
    <row r="10" spans="1:87" ht="15" x14ac:dyDescent="0.25">
      <c r="A10" s="133">
        <v>1</v>
      </c>
      <c r="B10" s="3906" t="s">
        <v>132</v>
      </c>
      <c r="C10" s="3907"/>
      <c r="D10" s="3906"/>
      <c r="E10" s="134"/>
      <c r="F10" s="134"/>
      <c r="G10" s="135"/>
      <c r="H10" s="134"/>
      <c r="I10" s="134"/>
      <c r="J10" s="134"/>
      <c r="K10" s="134"/>
      <c r="L10" s="134"/>
      <c r="M10" s="134"/>
      <c r="N10" s="134"/>
      <c r="O10" s="136"/>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7"/>
      <c r="BG10" s="137"/>
      <c r="BH10" s="134"/>
      <c r="BI10" s="134"/>
      <c r="BJ10" s="134"/>
      <c r="BK10" s="134"/>
      <c r="BL10" s="134"/>
      <c r="BM10" s="134"/>
      <c r="BN10" s="134"/>
      <c r="BO10" s="138"/>
      <c r="BP10" s="102"/>
      <c r="BQ10" s="102"/>
      <c r="BR10" s="102"/>
      <c r="BS10" s="102"/>
      <c r="BT10" s="102"/>
      <c r="BU10" s="102"/>
      <c r="BV10" s="102"/>
      <c r="BW10" s="102"/>
      <c r="BX10" s="102"/>
      <c r="BY10" s="102"/>
      <c r="BZ10" s="102"/>
      <c r="CA10" s="102"/>
      <c r="CB10" s="102"/>
      <c r="CC10" s="102"/>
      <c r="CD10" s="102"/>
      <c r="CE10" s="102"/>
      <c r="CF10" s="102"/>
      <c r="CG10" s="102"/>
      <c r="CH10" s="102"/>
      <c r="CI10" s="102"/>
    </row>
    <row r="11" spans="1:87" s="102" customFormat="1" ht="15" x14ac:dyDescent="0.25">
      <c r="A11" s="3908"/>
      <c r="B11" s="3908"/>
      <c r="C11" s="139">
        <v>1</v>
      </c>
      <c r="D11" s="140" t="s">
        <v>133</v>
      </c>
      <c r="E11" s="140"/>
      <c r="F11" s="140"/>
      <c r="G11" s="141"/>
      <c r="H11" s="142"/>
      <c r="I11" s="140"/>
      <c r="J11" s="140"/>
      <c r="K11" s="140"/>
      <c r="L11" s="140"/>
      <c r="M11" s="141"/>
      <c r="N11" s="142"/>
      <c r="O11" s="143"/>
      <c r="P11" s="144"/>
      <c r="Q11" s="142"/>
      <c r="R11" s="142"/>
      <c r="S11" s="142"/>
      <c r="T11" s="145"/>
      <c r="U11" s="145"/>
      <c r="V11" s="145"/>
      <c r="W11" s="146"/>
      <c r="X11" s="141"/>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7"/>
      <c r="BG11" s="147"/>
      <c r="BH11" s="140"/>
      <c r="BI11" s="140"/>
      <c r="BJ11" s="140"/>
      <c r="BK11" s="148"/>
      <c r="BL11" s="148"/>
      <c r="BM11" s="148"/>
      <c r="BN11" s="148"/>
      <c r="BO11" s="149"/>
    </row>
    <row r="12" spans="1:87" s="102" customFormat="1" ht="15" x14ac:dyDescent="0.25">
      <c r="A12" s="3909"/>
      <c r="B12" s="3909"/>
      <c r="C12" s="3910"/>
      <c r="D12" s="3911"/>
      <c r="E12" s="150">
        <v>1</v>
      </c>
      <c r="F12" s="151" t="s">
        <v>134</v>
      </c>
      <c r="G12" s="152"/>
      <c r="H12" s="153"/>
      <c r="I12" s="151"/>
      <c r="J12" s="151"/>
      <c r="K12" s="151"/>
      <c r="L12" s="151"/>
      <c r="M12" s="152"/>
      <c r="N12" s="153"/>
      <c r="O12" s="154"/>
      <c r="P12" s="155"/>
      <c r="Q12" s="153"/>
      <c r="R12" s="153"/>
      <c r="S12" s="153"/>
      <c r="T12" s="156"/>
      <c r="U12" s="156"/>
      <c r="V12" s="156"/>
      <c r="W12" s="157"/>
      <c r="X12" s="152"/>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8"/>
      <c r="BG12" s="158"/>
      <c r="BH12" s="151"/>
      <c r="BI12" s="151"/>
      <c r="BJ12" s="151"/>
      <c r="BK12" s="159"/>
      <c r="BL12" s="159"/>
      <c r="BM12" s="159"/>
      <c r="BN12" s="159"/>
      <c r="BO12" s="160"/>
    </row>
    <row r="13" spans="1:87" s="102" customFormat="1" ht="39" customHeight="1" x14ac:dyDescent="0.25">
      <c r="A13" s="3909"/>
      <c r="B13" s="3909"/>
      <c r="C13" s="3912"/>
      <c r="D13" s="3913"/>
      <c r="E13" s="3914"/>
      <c r="F13" s="3915"/>
      <c r="G13" s="3202">
        <v>1</v>
      </c>
      <c r="H13" s="3919" t="s">
        <v>135</v>
      </c>
      <c r="I13" s="3919" t="s">
        <v>136</v>
      </c>
      <c r="J13" s="3202">
        <v>1</v>
      </c>
      <c r="K13" s="3934">
        <v>0.7</v>
      </c>
      <c r="L13" s="3249" t="s">
        <v>137</v>
      </c>
      <c r="M13" s="3936" t="s">
        <v>138</v>
      </c>
      <c r="N13" s="3919" t="s">
        <v>139</v>
      </c>
      <c r="O13" s="3926">
        <f>+(T13+T14)/P13</f>
        <v>7.0570319609263285E-2</v>
      </c>
      <c r="P13" s="3928">
        <v>134617500</v>
      </c>
      <c r="Q13" s="3919" t="s">
        <v>140</v>
      </c>
      <c r="R13" s="3919" t="s">
        <v>141</v>
      </c>
      <c r="S13" s="161" t="s">
        <v>142</v>
      </c>
      <c r="T13" s="162">
        <v>4500000</v>
      </c>
      <c r="U13" s="162">
        <v>4500000</v>
      </c>
      <c r="V13" s="163">
        <v>3200000</v>
      </c>
      <c r="W13" s="164">
        <v>20</v>
      </c>
      <c r="X13" s="165" t="s">
        <v>143</v>
      </c>
      <c r="Y13" s="3930">
        <v>35373</v>
      </c>
      <c r="Z13" s="3931"/>
      <c r="AA13" s="3936">
        <v>33985</v>
      </c>
      <c r="AB13" s="3931"/>
      <c r="AC13" s="3931">
        <v>16632</v>
      </c>
      <c r="AD13" s="3931"/>
      <c r="AE13" s="3931">
        <v>3361</v>
      </c>
      <c r="AF13" s="3931"/>
      <c r="AG13" s="3931">
        <v>39432</v>
      </c>
      <c r="AH13" s="3931"/>
      <c r="AI13" s="3931">
        <v>9933</v>
      </c>
      <c r="AJ13" s="3931"/>
      <c r="AK13" s="3931"/>
      <c r="AL13" s="3931"/>
      <c r="AM13" s="3931"/>
      <c r="AN13" s="3931"/>
      <c r="AO13" s="3931"/>
      <c r="AP13" s="3931"/>
      <c r="AQ13" s="3931"/>
      <c r="AR13" s="3931"/>
      <c r="AS13" s="3931"/>
      <c r="AT13" s="3931"/>
      <c r="AU13" s="3931"/>
      <c r="AV13" s="3931"/>
      <c r="AW13" s="3931"/>
      <c r="AX13" s="3931"/>
      <c r="AY13" s="3931"/>
      <c r="AZ13" s="3931"/>
      <c r="BA13" s="3931"/>
      <c r="BB13" s="3931"/>
      <c r="BC13" s="3931">
        <f>Y13+AA13</f>
        <v>69358</v>
      </c>
      <c r="BD13" s="3931"/>
      <c r="BE13" s="3931">
        <v>8</v>
      </c>
      <c r="BF13" s="3943">
        <v>74883000</v>
      </c>
      <c r="BG13" s="3943">
        <v>9920400</v>
      </c>
      <c r="BH13" s="3946">
        <f>+BG13/BF13</f>
        <v>0.13247866672008332</v>
      </c>
      <c r="BI13" s="3931" t="s">
        <v>143</v>
      </c>
      <c r="BJ13" s="3931" t="s">
        <v>144</v>
      </c>
      <c r="BK13" s="3938">
        <v>43466</v>
      </c>
      <c r="BL13" s="3938">
        <v>43482</v>
      </c>
      <c r="BM13" s="3938">
        <v>43830</v>
      </c>
      <c r="BN13" s="3938">
        <v>43639</v>
      </c>
      <c r="BO13" s="3940" t="s">
        <v>145</v>
      </c>
    </row>
    <row r="14" spans="1:87" s="102" customFormat="1" ht="59.25" customHeight="1" x14ac:dyDescent="0.25">
      <c r="A14" s="3909"/>
      <c r="B14" s="3909"/>
      <c r="C14" s="3912"/>
      <c r="D14" s="3913"/>
      <c r="E14" s="3398"/>
      <c r="F14" s="3916"/>
      <c r="G14" s="3204"/>
      <c r="H14" s="3920"/>
      <c r="I14" s="3920"/>
      <c r="J14" s="3204"/>
      <c r="K14" s="3935"/>
      <c r="L14" s="3249"/>
      <c r="M14" s="3936"/>
      <c r="N14" s="3929"/>
      <c r="O14" s="3927"/>
      <c r="P14" s="3928"/>
      <c r="Q14" s="3929"/>
      <c r="R14" s="3929"/>
      <c r="S14" s="166" t="s">
        <v>146</v>
      </c>
      <c r="T14" s="167">
        <v>5000000</v>
      </c>
      <c r="U14" s="162">
        <v>5000000</v>
      </c>
      <c r="V14" s="163">
        <v>3360200</v>
      </c>
      <c r="W14" s="168">
        <v>20</v>
      </c>
      <c r="X14" s="169" t="s">
        <v>143</v>
      </c>
      <c r="Y14" s="3930"/>
      <c r="Z14" s="3932"/>
      <c r="AA14" s="3936"/>
      <c r="AB14" s="3932"/>
      <c r="AC14" s="3932"/>
      <c r="AD14" s="3932"/>
      <c r="AE14" s="3932"/>
      <c r="AF14" s="3932"/>
      <c r="AG14" s="3932"/>
      <c r="AH14" s="3932"/>
      <c r="AI14" s="3932"/>
      <c r="AJ14" s="3932"/>
      <c r="AK14" s="3932"/>
      <c r="AL14" s="3932"/>
      <c r="AM14" s="3932"/>
      <c r="AN14" s="3932"/>
      <c r="AO14" s="3932"/>
      <c r="AP14" s="3932"/>
      <c r="AQ14" s="3932"/>
      <c r="AR14" s="3932"/>
      <c r="AS14" s="3932"/>
      <c r="AT14" s="3932"/>
      <c r="AU14" s="3932"/>
      <c r="AV14" s="3932"/>
      <c r="AW14" s="3932"/>
      <c r="AX14" s="3932"/>
      <c r="AY14" s="3932"/>
      <c r="AZ14" s="3932"/>
      <c r="BA14" s="3932"/>
      <c r="BB14" s="3932"/>
      <c r="BC14" s="3932"/>
      <c r="BD14" s="3932"/>
      <c r="BE14" s="3932"/>
      <c r="BF14" s="3944"/>
      <c r="BG14" s="3944"/>
      <c r="BH14" s="3947"/>
      <c r="BI14" s="3932"/>
      <c r="BJ14" s="3932"/>
      <c r="BK14" s="3938"/>
      <c r="BL14" s="3938"/>
      <c r="BM14" s="3938"/>
      <c r="BN14" s="3938"/>
      <c r="BO14" s="3940"/>
    </row>
    <row r="15" spans="1:87" s="102" customFormat="1" ht="42.75" x14ac:dyDescent="0.25">
      <c r="A15" s="3909"/>
      <c r="B15" s="3909"/>
      <c r="C15" s="3912"/>
      <c r="D15" s="3913"/>
      <c r="E15" s="3398"/>
      <c r="F15" s="3916"/>
      <c r="G15" s="169">
        <v>2</v>
      </c>
      <c r="H15" s="170" t="s">
        <v>147</v>
      </c>
      <c r="I15" s="170" t="s">
        <v>148</v>
      </c>
      <c r="J15" s="171">
        <v>4</v>
      </c>
      <c r="K15" s="172">
        <v>0.5</v>
      </c>
      <c r="L15" s="3249"/>
      <c r="M15" s="3936"/>
      <c r="N15" s="3929"/>
      <c r="O15" s="173">
        <f>+(T15)/P13</f>
        <v>0.19982543131465078</v>
      </c>
      <c r="P15" s="3928"/>
      <c r="Q15" s="3929"/>
      <c r="R15" s="3929"/>
      <c r="S15" s="174" t="s">
        <v>149</v>
      </c>
      <c r="T15" s="162">
        <v>26900000</v>
      </c>
      <c r="U15" s="162">
        <v>22385000</v>
      </c>
      <c r="V15" s="162">
        <v>3360200</v>
      </c>
      <c r="W15" s="168">
        <v>20</v>
      </c>
      <c r="X15" s="169" t="s">
        <v>143</v>
      </c>
      <c r="Y15" s="3930"/>
      <c r="Z15" s="3932"/>
      <c r="AA15" s="3936"/>
      <c r="AB15" s="3932"/>
      <c r="AC15" s="3932"/>
      <c r="AD15" s="3932"/>
      <c r="AE15" s="3932"/>
      <c r="AF15" s="3932"/>
      <c r="AG15" s="3932"/>
      <c r="AH15" s="3932"/>
      <c r="AI15" s="3932"/>
      <c r="AJ15" s="3932"/>
      <c r="AK15" s="3932"/>
      <c r="AL15" s="3932"/>
      <c r="AM15" s="3932"/>
      <c r="AN15" s="3932"/>
      <c r="AO15" s="3932"/>
      <c r="AP15" s="3932"/>
      <c r="AQ15" s="3932"/>
      <c r="AR15" s="3932"/>
      <c r="AS15" s="3932"/>
      <c r="AT15" s="3932"/>
      <c r="AU15" s="3932"/>
      <c r="AV15" s="3932"/>
      <c r="AW15" s="3932"/>
      <c r="AX15" s="3932"/>
      <c r="AY15" s="3932"/>
      <c r="AZ15" s="3932"/>
      <c r="BA15" s="3932"/>
      <c r="BB15" s="3932"/>
      <c r="BC15" s="3932"/>
      <c r="BD15" s="3932"/>
      <c r="BE15" s="3932"/>
      <c r="BF15" s="3944"/>
      <c r="BG15" s="3944"/>
      <c r="BH15" s="3947"/>
      <c r="BI15" s="3932"/>
      <c r="BJ15" s="3932"/>
      <c r="BK15" s="3938"/>
      <c r="BL15" s="3938"/>
      <c r="BM15" s="3938"/>
      <c r="BN15" s="3938"/>
      <c r="BO15" s="3940"/>
    </row>
    <row r="16" spans="1:87" s="102" customFormat="1" ht="57" x14ac:dyDescent="0.25">
      <c r="A16" s="3909"/>
      <c r="B16" s="3909"/>
      <c r="C16" s="3912"/>
      <c r="D16" s="3913"/>
      <c r="E16" s="3398"/>
      <c r="F16" s="3916"/>
      <c r="G16" s="169">
        <v>3</v>
      </c>
      <c r="H16" s="170" t="s">
        <v>150</v>
      </c>
      <c r="I16" s="170" t="s">
        <v>151</v>
      </c>
      <c r="J16" s="171">
        <v>1</v>
      </c>
      <c r="K16" s="172">
        <v>0.2</v>
      </c>
      <c r="L16" s="3249"/>
      <c r="M16" s="3936"/>
      <c r="N16" s="3929"/>
      <c r="O16" s="173">
        <f>+(T16)/P13</f>
        <v>0.15228332126209446</v>
      </c>
      <c r="P16" s="3928"/>
      <c r="Q16" s="3929"/>
      <c r="R16" s="3942" t="s">
        <v>152</v>
      </c>
      <c r="S16" s="174" t="s">
        <v>153</v>
      </c>
      <c r="T16" s="167">
        <v>20500000</v>
      </c>
      <c r="U16" s="167">
        <v>14980000</v>
      </c>
      <c r="V16" s="167">
        <v>0</v>
      </c>
      <c r="W16" s="175">
        <v>20</v>
      </c>
      <c r="X16" s="176" t="s">
        <v>143</v>
      </c>
      <c r="Y16" s="3930"/>
      <c r="Z16" s="3932"/>
      <c r="AA16" s="3936"/>
      <c r="AB16" s="3932"/>
      <c r="AC16" s="3932"/>
      <c r="AD16" s="3932"/>
      <c r="AE16" s="3932"/>
      <c r="AF16" s="3932"/>
      <c r="AG16" s="3932"/>
      <c r="AH16" s="3932"/>
      <c r="AI16" s="3932"/>
      <c r="AJ16" s="3932"/>
      <c r="AK16" s="3932"/>
      <c r="AL16" s="3932"/>
      <c r="AM16" s="3932"/>
      <c r="AN16" s="3932"/>
      <c r="AO16" s="3932"/>
      <c r="AP16" s="3932"/>
      <c r="AQ16" s="3932"/>
      <c r="AR16" s="3932"/>
      <c r="AS16" s="3932"/>
      <c r="AT16" s="3932"/>
      <c r="AU16" s="3932"/>
      <c r="AV16" s="3932"/>
      <c r="AW16" s="3932"/>
      <c r="AX16" s="3932"/>
      <c r="AY16" s="3932"/>
      <c r="AZ16" s="3932"/>
      <c r="BA16" s="3932"/>
      <c r="BB16" s="3932"/>
      <c r="BC16" s="3932"/>
      <c r="BD16" s="3932"/>
      <c r="BE16" s="3932"/>
      <c r="BF16" s="3944"/>
      <c r="BG16" s="3944"/>
      <c r="BH16" s="3947"/>
      <c r="BI16" s="3932"/>
      <c r="BJ16" s="3932"/>
      <c r="BK16" s="3938"/>
      <c r="BL16" s="3938"/>
      <c r="BM16" s="3938"/>
      <c r="BN16" s="3938"/>
      <c r="BO16" s="3940"/>
    </row>
    <row r="17" spans="1:67" s="102" customFormat="1" ht="71.25" x14ac:dyDescent="0.25">
      <c r="A17" s="3909"/>
      <c r="B17" s="3909"/>
      <c r="C17" s="3912"/>
      <c r="D17" s="3913"/>
      <c r="E17" s="3398"/>
      <c r="F17" s="3916"/>
      <c r="G17" s="169">
        <v>4</v>
      </c>
      <c r="H17" s="170" t="s">
        <v>154</v>
      </c>
      <c r="I17" s="170" t="s">
        <v>155</v>
      </c>
      <c r="J17" s="171">
        <v>1</v>
      </c>
      <c r="K17" s="172">
        <v>0.3</v>
      </c>
      <c r="L17" s="3249"/>
      <c r="M17" s="3936"/>
      <c r="N17" s="3929"/>
      <c r="O17" s="173">
        <f>+(T17)/P13</f>
        <v>0.49399223726484298</v>
      </c>
      <c r="P17" s="3928"/>
      <c r="Q17" s="3929"/>
      <c r="R17" s="3942"/>
      <c r="S17" s="174" t="s">
        <v>156</v>
      </c>
      <c r="T17" s="167">
        <v>66500000</v>
      </c>
      <c r="U17" s="167">
        <v>16801000</v>
      </c>
      <c r="V17" s="167">
        <v>0</v>
      </c>
      <c r="W17" s="175">
        <v>20</v>
      </c>
      <c r="X17" s="176" t="s">
        <v>143</v>
      </c>
      <c r="Y17" s="3930"/>
      <c r="Z17" s="3932"/>
      <c r="AA17" s="3936"/>
      <c r="AB17" s="3932"/>
      <c r="AC17" s="3932"/>
      <c r="AD17" s="3932"/>
      <c r="AE17" s="3932"/>
      <c r="AF17" s="3932"/>
      <c r="AG17" s="3932"/>
      <c r="AH17" s="3932"/>
      <c r="AI17" s="3932"/>
      <c r="AJ17" s="3932"/>
      <c r="AK17" s="3932"/>
      <c r="AL17" s="3932"/>
      <c r="AM17" s="3932"/>
      <c r="AN17" s="3932"/>
      <c r="AO17" s="3932"/>
      <c r="AP17" s="3932"/>
      <c r="AQ17" s="3932"/>
      <c r="AR17" s="3932"/>
      <c r="AS17" s="3932"/>
      <c r="AT17" s="3932"/>
      <c r="AU17" s="3932"/>
      <c r="AV17" s="3932"/>
      <c r="AW17" s="3932"/>
      <c r="AX17" s="3932"/>
      <c r="AY17" s="3932"/>
      <c r="AZ17" s="3932"/>
      <c r="BA17" s="3932"/>
      <c r="BB17" s="3932"/>
      <c r="BC17" s="3932"/>
      <c r="BD17" s="3932"/>
      <c r="BE17" s="3932"/>
      <c r="BF17" s="3944"/>
      <c r="BG17" s="3944"/>
      <c r="BH17" s="3947"/>
      <c r="BI17" s="3932"/>
      <c r="BJ17" s="3932"/>
      <c r="BK17" s="3938"/>
      <c r="BL17" s="3938"/>
      <c r="BM17" s="3938"/>
      <c r="BN17" s="3938"/>
      <c r="BO17" s="3940"/>
    </row>
    <row r="18" spans="1:67" s="102" customFormat="1" ht="71.25" x14ac:dyDescent="0.25">
      <c r="A18" s="3909"/>
      <c r="B18" s="3909"/>
      <c r="C18" s="3912"/>
      <c r="D18" s="3913"/>
      <c r="E18" s="3917"/>
      <c r="F18" s="3918"/>
      <c r="G18" s="165">
        <v>6</v>
      </c>
      <c r="H18" s="177" t="s">
        <v>157</v>
      </c>
      <c r="I18" s="177" t="s">
        <v>158</v>
      </c>
      <c r="J18" s="171">
        <v>12</v>
      </c>
      <c r="K18" s="172">
        <v>0.5</v>
      </c>
      <c r="L18" s="3202"/>
      <c r="M18" s="3937"/>
      <c r="N18" s="3920"/>
      <c r="O18" s="173">
        <f>+T18/P13</f>
        <v>8.3328690549148515E-2</v>
      </c>
      <c r="P18" s="3475"/>
      <c r="Q18" s="3929"/>
      <c r="R18" s="3919"/>
      <c r="S18" s="178" t="s">
        <v>159</v>
      </c>
      <c r="T18" s="179">
        <v>11217500</v>
      </c>
      <c r="U18" s="179">
        <v>11217000</v>
      </c>
      <c r="V18" s="179">
        <v>0</v>
      </c>
      <c r="W18" s="180">
        <v>20</v>
      </c>
      <c r="X18" s="181" t="s">
        <v>143</v>
      </c>
      <c r="Y18" s="3931"/>
      <c r="Z18" s="3933"/>
      <c r="AA18" s="3937"/>
      <c r="AB18" s="3933"/>
      <c r="AC18" s="3933"/>
      <c r="AD18" s="3933"/>
      <c r="AE18" s="3933"/>
      <c r="AF18" s="3933"/>
      <c r="AG18" s="3933"/>
      <c r="AH18" s="3933"/>
      <c r="AI18" s="3933"/>
      <c r="AJ18" s="3933"/>
      <c r="AK18" s="3933"/>
      <c r="AL18" s="3933"/>
      <c r="AM18" s="3933"/>
      <c r="AN18" s="3933"/>
      <c r="AO18" s="3933"/>
      <c r="AP18" s="3933"/>
      <c r="AQ18" s="3933"/>
      <c r="AR18" s="3933"/>
      <c r="AS18" s="3933"/>
      <c r="AT18" s="3933"/>
      <c r="AU18" s="3933"/>
      <c r="AV18" s="3933"/>
      <c r="AW18" s="3933"/>
      <c r="AX18" s="3933"/>
      <c r="AY18" s="3933"/>
      <c r="AZ18" s="3933"/>
      <c r="BA18" s="3933"/>
      <c r="BB18" s="3933"/>
      <c r="BC18" s="3933"/>
      <c r="BD18" s="3933"/>
      <c r="BE18" s="3933"/>
      <c r="BF18" s="3945"/>
      <c r="BG18" s="3945"/>
      <c r="BH18" s="3948"/>
      <c r="BI18" s="3933"/>
      <c r="BJ18" s="3933"/>
      <c r="BK18" s="3939"/>
      <c r="BL18" s="3939"/>
      <c r="BM18" s="3939"/>
      <c r="BN18" s="3939"/>
      <c r="BO18" s="3941"/>
    </row>
    <row r="19" spans="1:67" s="102" customFormat="1" ht="22.5" customHeight="1" x14ac:dyDescent="0.25">
      <c r="A19" s="3909"/>
      <c r="B19" s="3909"/>
      <c r="C19" s="3912"/>
      <c r="D19" s="3913"/>
      <c r="E19" s="182">
        <v>2</v>
      </c>
      <c r="F19" s="3921" t="s">
        <v>160</v>
      </c>
      <c r="G19" s="3922"/>
      <c r="H19" s="3922"/>
      <c r="I19" s="3923"/>
      <c r="J19" s="183"/>
      <c r="K19" s="184"/>
      <c r="L19" s="183"/>
      <c r="M19" s="183"/>
      <c r="N19" s="185"/>
      <c r="O19" s="186"/>
      <c r="P19" s="187"/>
      <c r="Q19" s="185"/>
      <c r="R19" s="185"/>
      <c r="S19" s="185"/>
      <c r="T19" s="188"/>
      <c r="U19" s="188"/>
      <c r="V19" s="188"/>
      <c r="W19" s="189"/>
      <c r="X19" s="190"/>
      <c r="Y19" s="191"/>
      <c r="Z19" s="191"/>
      <c r="AA19" s="192"/>
      <c r="AB19" s="192"/>
      <c r="AC19" s="192"/>
      <c r="AD19" s="192"/>
      <c r="AE19" s="192"/>
      <c r="AF19" s="192"/>
      <c r="AG19" s="192"/>
      <c r="AH19" s="192"/>
      <c r="AI19" s="192"/>
      <c r="AJ19" s="192"/>
      <c r="AK19" s="193"/>
      <c r="AL19" s="193"/>
      <c r="AM19" s="193"/>
      <c r="AN19" s="193"/>
      <c r="AO19" s="193"/>
      <c r="AP19" s="193"/>
      <c r="AQ19" s="194"/>
      <c r="AR19" s="194"/>
      <c r="AS19" s="194"/>
      <c r="AT19" s="194"/>
      <c r="AU19" s="194"/>
      <c r="AV19" s="194"/>
      <c r="AW19" s="193"/>
      <c r="AX19" s="193"/>
      <c r="AY19" s="193"/>
      <c r="AZ19" s="193"/>
      <c r="BA19" s="192"/>
      <c r="BB19" s="192"/>
      <c r="BC19" s="195"/>
      <c r="BD19" s="195"/>
      <c r="BE19" s="195"/>
      <c r="BF19" s="196"/>
      <c r="BG19" s="196"/>
      <c r="BH19" s="195"/>
      <c r="BI19" s="195"/>
      <c r="BJ19" s="195"/>
      <c r="BK19" s="197"/>
      <c r="BL19" s="197"/>
      <c r="BM19" s="197"/>
      <c r="BN19" s="197"/>
      <c r="BO19" s="198"/>
    </row>
    <row r="20" spans="1:67" s="102" customFormat="1" ht="49.5" customHeight="1" x14ac:dyDescent="0.25">
      <c r="A20" s="3909"/>
      <c r="B20" s="3909"/>
      <c r="C20" s="3912"/>
      <c r="D20" s="3913"/>
      <c r="E20" s="3249"/>
      <c r="F20" s="3249"/>
      <c r="G20" s="181">
        <v>7</v>
      </c>
      <c r="H20" s="177" t="s">
        <v>161</v>
      </c>
      <c r="I20" s="199" t="s">
        <v>162</v>
      </c>
      <c r="J20" s="171">
        <v>1</v>
      </c>
      <c r="K20" s="172">
        <v>0.1</v>
      </c>
      <c r="L20" s="3249" t="s">
        <v>163</v>
      </c>
      <c r="M20" s="3202" t="s">
        <v>164</v>
      </c>
      <c r="N20" s="3919" t="s">
        <v>165</v>
      </c>
      <c r="O20" s="200">
        <f>+T20/P20</f>
        <v>0.79984028770363513</v>
      </c>
      <c r="P20" s="3475">
        <v>158373529</v>
      </c>
      <c r="Q20" s="3949" t="s">
        <v>166</v>
      </c>
      <c r="R20" s="3949" t="s">
        <v>167</v>
      </c>
      <c r="S20" s="199" t="s">
        <v>168</v>
      </c>
      <c r="T20" s="179">
        <v>126673529</v>
      </c>
      <c r="U20" s="179">
        <v>35374000</v>
      </c>
      <c r="V20" s="179">
        <v>11208000</v>
      </c>
      <c r="W20" s="180">
        <v>20</v>
      </c>
      <c r="X20" s="181" t="s">
        <v>143</v>
      </c>
      <c r="Y20" s="3931">
        <v>252568</v>
      </c>
      <c r="Z20" s="201"/>
      <c r="AA20" s="3937">
        <v>243650</v>
      </c>
      <c r="AB20" s="164"/>
      <c r="AC20" s="3937">
        <v>97896</v>
      </c>
      <c r="AD20" s="164"/>
      <c r="AE20" s="3937">
        <v>53351</v>
      </c>
      <c r="AF20" s="164"/>
      <c r="AG20" s="3937">
        <v>140316</v>
      </c>
      <c r="AH20" s="164"/>
      <c r="AI20" s="3937">
        <v>30825</v>
      </c>
      <c r="AJ20" s="164"/>
      <c r="AK20" s="3937"/>
      <c r="AL20" s="164"/>
      <c r="AM20" s="3937"/>
      <c r="AN20" s="164"/>
      <c r="AO20" s="3937"/>
      <c r="AP20" s="164"/>
      <c r="AQ20" s="3937"/>
      <c r="AR20" s="164"/>
      <c r="AS20" s="3937"/>
      <c r="AT20" s="164"/>
      <c r="AU20" s="3937"/>
      <c r="AV20" s="164"/>
      <c r="AW20" s="3937"/>
      <c r="AX20" s="164"/>
      <c r="AY20" s="3937"/>
      <c r="AZ20" s="164"/>
      <c r="BA20" s="3937"/>
      <c r="BB20" s="164"/>
      <c r="BC20" s="3937">
        <f>Y20+AA20</f>
        <v>496218</v>
      </c>
      <c r="BD20" s="164"/>
      <c r="BE20" s="3937">
        <v>4</v>
      </c>
      <c r="BF20" s="3943">
        <v>52175000</v>
      </c>
      <c r="BG20" s="3943">
        <v>11208000</v>
      </c>
      <c r="BH20" s="3926">
        <f>+BG20/BF20</f>
        <v>0.21481552467656923</v>
      </c>
      <c r="BI20" s="3937" t="s">
        <v>143</v>
      </c>
      <c r="BJ20" s="3937" t="s">
        <v>144</v>
      </c>
      <c r="BK20" s="3406">
        <v>43466</v>
      </c>
      <c r="BL20" s="3406">
        <v>43482</v>
      </c>
      <c r="BM20" s="3952">
        <v>43830</v>
      </c>
      <c r="BN20" s="3952" t="s">
        <v>169</v>
      </c>
      <c r="BO20" s="3190" t="s">
        <v>144</v>
      </c>
    </row>
    <row r="21" spans="1:67" ht="85.5" x14ac:dyDescent="0.25">
      <c r="A21" s="3909"/>
      <c r="B21" s="3909"/>
      <c r="C21" s="3912"/>
      <c r="D21" s="3913"/>
      <c r="E21" s="3249"/>
      <c r="F21" s="3249"/>
      <c r="G21" s="202">
        <v>8</v>
      </c>
      <c r="H21" s="170" t="s">
        <v>170</v>
      </c>
      <c r="I21" s="170" t="s">
        <v>171</v>
      </c>
      <c r="J21" s="171">
        <v>1</v>
      </c>
      <c r="K21" s="172">
        <v>0.1</v>
      </c>
      <c r="L21" s="3249"/>
      <c r="M21" s="3204"/>
      <c r="N21" s="3920"/>
      <c r="O21" s="203">
        <f>+T21/P20</f>
        <v>0.20015971229636487</v>
      </c>
      <c r="P21" s="3477"/>
      <c r="Q21" s="3950"/>
      <c r="R21" s="3950"/>
      <c r="S21" s="170" t="s">
        <v>172</v>
      </c>
      <c r="T21" s="204">
        <v>31700000</v>
      </c>
      <c r="U21" s="204">
        <v>16801000</v>
      </c>
      <c r="V21" s="204">
        <v>0</v>
      </c>
      <c r="W21" s="205">
        <v>20</v>
      </c>
      <c r="X21" s="206" t="s">
        <v>143</v>
      </c>
      <c r="Y21" s="3933"/>
      <c r="Z21" s="207"/>
      <c r="AA21" s="3951"/>
      <c r="AB21" s="175"/>
      <c r="AC21" s="3951"/>
      <c r="AD21" s="175"/>
      <c r="AE21" s="3951"/>
      <c r="AF21" s="175"/>
      <c r="AG21" s="3951"/>
      <c r="AH21" s="175"/>
      <c r="AI21" s="3951"/>
      <c r="AJ21" s="175"/>
      <c r="AK21" s="3951"/>
      <c r="AL21" s="175"/>
      <c r="AM21" s="3951"/>
      <c r="AN21" s="175"/>
      <c r="AO21" s="3951"/>
      <c r="AP21" s="175"/>
      <c r="AQ21" s="3951"/>
      <c r="AR21" s="175"/>
      <c r="AS21" s="3951"/>
      <c r="AT21" s="175"/>
      <c r="AU21" s="3951"/>
      <c r="AV21" s="175"/>
      <c r="AW21" s="3951"/>
      <c r="AX21" s="175"/>
      <c r="AY21" s="3951"/>
      <c r="AZ21" s="175"/>
      <c r="BA21" s="3951"/>
      <c r="BB21" s="175"/>
      <c r="BC21" s="3951"/>
      <c r="BD21" s="175"/>
      <c r="BE21" s="3951"/>
      <c r="BF21" s="3945"/>
      <c r="BG21" s="3945"/>
      <c r="BH21" s="3927"/>
      <c r="BI21" s="3951"/>
      <c r="BJ21" s="3951"/>
      <c r="BK21" s="3407"/>
      <c r="BL21" s="3407"/>
      <c r="BM21" s="3953"/>
      <c r="BN21" s="3953"/>
      <c r="BO21" s="3192"/>
    </row>
    <row r="22" spans="1:67" ht="15" x14ac:dyDescent="0.25">
      <c r="A22" s="3909"/>
      <c r="B22" s="3909"/>
      <c r="C22" s="3912"/>
      <c r="D22" s="3913"/>
      <c r="E22" s="208">
        <v>3</v>
      </c>
      <c r="F22" s="209" t="s">
        <v>173</v>
      </c>
      <c r="G22" s="210"/>
      <c r="H22" s="211"/>
      <c r="I22" s="212"/>
      <c r="J22" s="212"/>
      <c r="K22" s="213"/>
      <c r="L22" s="214"/>
      <c r="M22" s="210"/>
      <c r="N22" s="211"/>
      <c r="O22" s="215"/>
      <c r="P22" s="216"/>
      <c r="Q22" s="217"/>
      <c r="R22" s="217"/>
      <c r="S22" s="217"/>
      <c r="T22" s="218"/>
      <c r="U22" s="218"/>
      <c r="V22" s="218"/>
      <c r="W22" s="219"/>
      <c r="X22" s="210"/>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2"/>
      <c r="BA22" s="212"/>
      <c r="BB22" s="212"/>
      <c r="BC22" s="212"/>
      <c r="BD22" s="212"/>
      <c r="BE22" s="212"/>
      <c r="BF22" s="220"/>
      <c r="BG22" s="220"/>
      <c r="BH22" s="212"/>
      <c r="BI22" s="212"/>
      <c r="BJ22" s="212"/>
      <c r="BK22" s="221"/>
      <c r="BL22" s="221"/>
      <c r="BM22" s="221"/>
      <c r="BN22" s="221"/>
      <c r="BO22" s="222"/>
    </row>
    <row r="23" spans="1:67" ht="36" customHeight="1" x14ac:dyDescent="0.25">
      <c r="A23" s="3909"/>
      <c r="B23" s="3909"/>
      <c r="C23" s="3912"/>
      <c r="D23" s="3913"/>
      <c r="E23" s="3127"/>
      <c r="F23" s="3129"/>
      <c r="G23" s="3289">
        <v>14</v>
      </c>
      <c r="H23" s="3954" t="s">
        <v>174</v>
      </c>
      <c r="I23" s="3955" t="s">
        <v>175</v>
      </c>
      <c r="J23" s="3211">
        <v>6</v>
      </c>
      <c r="K23" s="3957">
        <v>0.6</v>
      </c>
      <c r="L23" s="3190" t="s">
        <v>176</v>
      </c>
      <c r="M23" s="3202" t="s">
        <v>177</v>
      </c>
      <c r="N23" s="3959" t="s">
        <v>178</v>
      </c>
      <c r="O23" s="3962">
        <f>+(T23+T24)/P23</f>
        <v>0.32708905525881032</v>
      </c>
      <c r="P23" s="3408">
        <v>817514361</v>
      </c>
      <c r="Q23" s="3955" t="s">
        <v>179</v>
      </c>
      <c r="R23" s="3955" t="s">
        <v>141</v>
      </c>
      <c r="S23" s="166" t="s">
        <v>180</v>
      </c>
      <c r="T23" s="223">
        <v>133700000</v>
      </c>
      <c r="U23" s="223">
        <v>80560000</v>
      </c>
      <c r="V23" s="223">
        <v>13568000</v>
      </c>
      <c r="W23" s="224">
        <v>20</v>
      </c>
      <c r="X23" s="225" t="s">
        <v>181</v>
      </c>
      <c r="Y23" s="3594">
        <v>35373</v>
      </c>
      <c r="Z23" s="3594"/>
      <c r="AA23" s="3594">
        <v>33985</v>
      </c>
      <c r="AB23" s="3594"/>
      <c r="AC23" s="3594">
        <v>16632</v>
      </c>
      <c r="AD23" s="3594"/>
      <c r="AE23" s="3594">
        <v>3361</v>
      </c>
      <c r="AF23" s="3594"/>
      <c r="AG23" s="3594">
        <v>39432</v>
      </c>
      <c r="AH23" s="3594"/>
      <c r="AI23" s="3594">
        <v>9933</v>
      </c>
      <c r="AJ23" s="3594"/>
      <c r="AK23" s="3594"/>
      <c r="AL23" s="3594"/>
      <c r="AM23" s="3594"/>
      <c r="AN23" s="3594"/>
      <c r="AO23" s="3594"/>
      <c r="AP23" s="3594"/>
      <c r="AQ23" s="3594"/>
      <c r="AR23" s="3594"/>
      <c r="AS23" s="3594"/>
      <c r="AT23" s="3594"/>
      <c r="AU23" s="3594"/>
      <c r="AV23" s="3594"/>
      <c r="AW23" s="3594"/>
      <c r="AX23" s="3594"/>
      <c r="AY23" s="3594"/>
      <c r="AZ23" s="3594"/>
      <c r="BA23" s="3594"/>
      <c r="BB23" s="3594"/>
      <c r="BC23" s="3594">
        <f>Y23+AA23</f>
        <v>69358</v>
      </c>
      <c r="BD23" s="3594"/>
      <c r="BE23" s="3594">
        <v>16</v>
      </c>
      <c r="BF23" s="3971">
        <v>165678000</v>
      </c>
      <c r="BG23" s="3971">
        <v>25440000</v>
      </c>
      <c r="BH23" s="3974">
        <f>+BG23/BF23</f>
        <v>0.15355086372360843</v>
      </c>
      <c r="BI23" s="3594" t="s">
        <v>143</v>
      </c>
      <c r="BJ23" s="3190" t="s">
        <v>144</v>
      </c>
      <c r="BK23" s="3406">
        <v>43466</v>
      </c>
      <c r="BL23" s="3406">
        <v>43489</v>
      </c>
      <c r="BM23" s="3952">
        <v>43830</v>
      </c>
      <c r="BN23" s="3952">
        <v>43646</v>
      </c>
      <c r="BO23" s="3941" t="s">
        <v>144</v>
      </c>
    </row>
    <row r="24" spans="1:67" ht="42.75" x14ac:dyDescent="0.25">
      <c r="A24" s="3909"/>
      <c r="B24" s="3909"/>
      <c r="C24" s="3912"/>
      <c r="D24" s="3913"/>
      <c r="E24" s="3130"/>
      <c r="F24" s="3132"/>
      <c r="G24" s="3289"/>
      <c r="H24" s="3954"/>
      <c r="I24" s="3956"/>
      <c r="J24" s="3213"/>
      <c r="K24" s="3958"/>
      <c r="L24" s="3191"/>
      <c r="M24" s="3203"/>
      <c r="N24" s="3960"/>
      <c r="O24" s="3962"/>
      <c r="P24" s="3409"/>
      <c r="Q24" s="3963"/>
      <c r="R24" s="3963"/>
      <c r="S24" s="166" t="s">
        <v>182</v>
      </c>
      <c r="T24" s="223">
        <v>133700000</v>
      </c>
      <c r="U24" s="223">
        <v>85118000</v>
      </c>
      <c r="V24" s="223">
        <v>11872000</v>
      </c>
      <c r="W24" s="224">
        <v>20</v>
      </c>
      <c r="X24" s="225" t="s">
        <v>181</v>
      </c>
      <c r="Y24" s="3595"/>
      <c r="Z24" s="3595"/>
      <c r="AA24" s="3595"/>
      <c r="AB24" s="3595"/>
      <c r="AC24" s="3595"/>
      <c r="AD24" s="3595"/>
      <c r="AE24" s="3595"/>
      <c r="AF24" s="3595"/>
      <c r="AG24" s="3595"/>
      <c r="AH24" s="3595"/>
      <c r="AI24" s="3595"/>
      <c r="AJ24" s="3595"/>
      <c r="AK24" s="3595"/>
      <c r="AL24" s="3595"/>
      <c r="AM24" s="3595"/>
      <c r="AN24" s="3595"/>
      <c r="AO24" s="3595"/>
      <c r="AP24" s="3595"/>
      <c r="AQ24" s="3595"/>
      <c r="AR24" s="3595"/>
      <c r="AS24" s="3595"/>
      <c r="AT24" s="3595"/>
      <c r="AU24" s="3595"/>
      <c r="AV24" s="3595"/>
      <c r="AW24" s="3595"/>
      <c r="AX24" s="3595"/>
      <c r="AY24" s="3595"/>
      <c r="AZ24" s="3595"/>
      <c r="BA24" s="3595"/>
      <c r="BB24" s="3595"/>
      <c r="BC24" s="3595"/>
      <c r="BD24" s="3595"/>
      <c r="BE24" s="3595"/>
      <c r="BF24" s="3972"/>
      <c r="BG24" s="3972"/>
      <c r="BH24" s="3975"/>
      <c r="BI24" s="3595"/>
      <c r="BJ24" s="3191"/>
      <c r="BK24" s="3969"/>
      <c r="BL24" s="3969"/>
      <c r="BM24" s="3970"/>
      <c r="BN24" s="3970"/>
      <c r="BO24" s="3964"/>
    </row>
    <row r="25" spans="1:67" ht="88.5" customHeight="1" x14ac:dyDescent="0.25">
      <c r="A25" s="3909"/>
      <c r="B25" s="3909"/>
      <c r="C25" s="3912"/>
      <c r="D25" s="3913"/>
      <c r="E25" s="3130"/>
      <c r="F25" s="3132"/>
      <c r="G25" s="202">
        <v>17</v>
      </c>
      <c r="H25" s="226" t="s">
        <v>183</v>
      </c>
      <c r="I25" s="170" t="s">
        <v>184</v>
      </c>
      <c r="J25" s="171">
        <v>270</v>
      </c>
      <c r="K25" s="227">
        <v>0</v>
      </c>
      <c r="L25" s="3192"/>
      <c r="M25" s="3204"/>
      <c r="N25" s="3961"/>
      <c r="O25" s="228">
        <f>T25/P23</f>
        <v>0.67291094474118973</v>
      </c>
      <c r="P25" s="3410"/>
      <c r="Q25" s="3956"/>
      <c r="R25" s="3956"/>
      <c r="S25" s="166" t="s">
        <v>185</v>
      </c>
      <c r="T25" s="223">
        <v>550114361</v>
      </c>
      <c r="U25" s="223">
        <v>0</v>
      </c>
      <c r="V25" s="223">
        <v>0</v>
      </c>
      <c r="W25" s="224">
        <v>20</v>
      </c>
      <c r="X25" s="225" t="s">
        <v>181</v>
      </c>
      <c r="Y25" s="3596"/>
      <c r="Z25" s="3596"/>
      <c r="AA25" s="3596"/>
      <c r="AB25" s="3596"/>
      <c r="AC25" s="3596"/>
      <c r="AD25" s="3596"/>
      <c r="AE25" s="3596"/>
      <c r="AF25" s="3596"/>
      <c r="AG25" s="3596"/>
      <c r="AH25" s="3596"/>
      <c r="AI25" s="3596"/>
      <c r="AJ25" s="3596"/>
      <c r="AK25" s="3596"/>
      <c r="AL25" s="3596"/>
      <c r="AM25" s="3596"/>
      <c r="AN25" s="3596"/>
      <c r="AO25" s="3596"/>
      <c r="AP25" s="3596"/>
      <c r="AQ25" s="3596"/>
      <c r="AR25" s="3596"/>
      <c r="AS25" s="3596"/>
      <c r="AT25" s="3596"/>
      <c r="AU25" s="3596"/>
      <c r="AV25" s="3596"/>
      <c r="AW25" s="3596"/>
      <c r="AX25" s="3596"/>
      <c r="AY25" s="3596"/>
      <c r="AZ25" s="3596"/>
      <c r="BA25" s="3596"/>
      <c r="BB25" s="3596"/>
      <c r="BC25" s="3596"/>
      <c r="BD25" s="3596"/>
      <c r="BE25" s="3596"/>
      <c r="BF25" s="3973"/>
      <c r="BG25" s="3973"/>
      <c r="BH25" s="3976"/>
      <c r="BI25" s="3596"/>
      <c r="BJ25" s="3192"/>
      <c r="BK25" s="3407"/>
      <c r="BL25" s="3407"/>
      <c r="BM25" s="3953"/>
      <c r="BN25" s="3953"/>
      <c r="BO25" s="3965"/>
    </row>
    <row r="26" spans="1:67" ht="77.25" customHeight="1" x14ac:dyDescent="0.25">
      <c r="A26" s="3909"/>
      <c r="B26" s="3909"/>
      <c r="C26" s="3912"/>
      <c r="D26" s="3913"/>
      <c r="E26" s="3130"/>
      <c r="F26" s="3132"/>
      <c r="G26" s="202">
        <v>15</v>
      </c>
      <c r="H26" s="170" t="s">
        <v>186</v>
      </c>
      <c r="I26" s="170" t="s">
        <v>187</v>
      </c>
      <c r="J26" s="229">
        <v>2</v>
      </c>
      <c r="K26" s="227">
        <v>0</v>
      </c>
      <c r="L26" s="3202" t="s">
        <v>188</v>
      </c>
      <c r="M26" s="3202" t="s">
        <v>189</v>
      </c>
      <c r="N26" s="3966" t="s">
        <v>190</v>
      </c>
      <c r="O26" s="230">
        <f>T26/P26</f>
        <v>0.28450497361810312</v>
      </c>
      <c r="P26" s="3524">
        <f>SUM(T26:T30)</f>
        <v>63061235</v>
      </c>
      <c r="Q26" s="3919" t="s">
        <v>191</v>
      </c>
      <c r="R26" s="3919" t="s">
        <v>192</v>
      </c>
      <c r="S26" s="231" t="s">
        <v>193</v>
      </c>
      <c r="T26" s="232">
        <v>17941235</v>
      </c>
      <c r="U26" s="232">
        <v>0</v>
      </c>
      <c r="V26" s="232">
        <v>0</v>
      </c>
      <c r="W26" s="205">
        <v>20</v>
      </c>
      <c r="X26" s="169" t="s">
        <v>181</v>
      </c>
      <c r="Y26" s="3594">
        <v>40906</v>
      </c>
      <c r="Z26" s="3594"/>
      <c r="AA26" s="3594">
        <v>37728</v>
      </c>
      <c r="AB26" s="3594"/>
      <c r="AC26" s="3594">
        <v>16790</v>
      </c>
      <c r="AD26" s="3594"/>
      <c r="AE26" s="3594">
        <v>8871</v>
      </c>
      <c r="AF26" s="3594"/>
      <c r="AG26" s="3594">
        <v>46240</v>
      </c>
      <c r="AH26" s="3594"/>
      <c r="AI26" s="3594">
        <v>10814</v>
      </c>
      <c r="AJ26" s="3594"/>
      <c r="AK26" s="3594"/>
      <c r="AL26" s="3594"/>
      <c r="AM26" s="3594"/>
      <c r="AN26" s="3594"/>
      <c r="AO26" s="3594"/>
      <c r="AP26" s="3594"/>
      <c r="AQ26" s="3594"/>
      <c r="AR26" s="3594"/>
      <c r="AS26" s="3594"/>
      <c r="AT26" s="3594"/>
      <c r="AU26" s="3594"/>
      <c r="AV26" s="3594"/>
      <c r="AW26" s="3594"/>
      <c r="AX26" s="3594"/>
      <c r="AY26" s="3594"/>
      <c r="AZ26" s="3594"/>
      <c r="BA26" s="3594"/>
      <c r="BB26" s="3594"/>
      <c r="BC26" s="3594">
        <f>Y26+AA26</f>
        <v>78634</v>
      </c>
      <c r="BD26" s="3594"/>
      <c r="BE26" s="3594">
        <v>3</v>
      </c>
      <c r="BF26" s="3971">
        <v>27791080</v>
      </c>
      <c r="BG26" s="3971">
        <v>5936000</v>
      </c>
      <c r="BH26" s="3974">
        <f>+BG26/BF26</f>
        <v>0.21359371424212373</v>
      </c>
      <c r="BI26" s="3594" t="s">
        <v>143</v>
      </c>
      <c r="BJ26" s="3190" t="s">
        <v>144</v>
      </c>
      <c r="BK26" s="3406">
        <v>43466</v>
      </c>
      <c r="BL26" s="3406">
        <v>43515</v>
      </c>
      <c r="BM26" s="3952">
        <v>43830</v>
      </c>
      <c r="BN26" s="3952">
        <v>43304</v>
      </c>
      <c r="BO26" s="3941" t="s">
        <v>144</v>
      </c>
    </row>
    <row r="27" spans="1:67" ht="87.75" customHeight="1" x14ac:dyDescent="0.25">
      <c r="A27" s="3909"/>
      <c r="B27" s="3909"/>
      <c r="C27" s="3912"/>
      <c r="D27" s="3913"/>
      <c r="E27" s="3130"/>
      <c r="F27" s="3132"/>
      <c r="G27" s="202">
        <v>16</v>
      </c>
      <c r="H27" s="170" t="s">
        <v>194</v>
      </c>
      <c r="I27" s="170" t="s">
        <v>195</v>
      </c>
      <c r="J27" s="233">
        <v>5</v>
      </c>
      <c r="K27" s="172">
        <v>2</v>
      </c>
      <c r="L27" s="3203"/>
      <c r="M27" s="3203"/>
      <c r="N27" s="3967"/>
      <c r="O27" s="230">
        <f>T27/P26</f>
        <v>0.15064722408306783</v>
      </c>
      <c r="P27" s="3525"/>
      <c r="Q27" s="3929"/>
      <c r="R27" s="3929"/>
      <c r="S27" s="170" t="s">
        <v>196</v>
      </c>
      <c r="T27" s="232">
        <v>9500000</v>
      </c>
      <c r="U27" s="232">
        <v>5801000</v>
      </c>
      <c r="V27" s="232">
        <v>3360200</v>
      </c>
      <c r="W27" s="205">
        <v>20</v>
      </c>
      <c r="X27" s="169" t="s">
        <v>181</v>
      </c>
      <c r="Y27" s="3595"/>
      <c r="Z27" s="3595"/>
      <c r="AA27" s="3595"/>
      <c r="AB27" s="3595"/>
      <c r="AC27" s="3595"/>
      <c r="AD27" s="3595"/>
      <c r="AE27" s="3595"/>
      <c r="AF27" s="3595"/>
      <c r="AG27" s="3595"/>
      <c r="AH27" s="3595"/>
      <c r="AI27" s="3595"/>
      <c r="AJ27" s="3595"/>
      <c r="AK27" s="3595"/>
      <c r="AL27" s="3595"/>
      <c r="AM27" s="3595"/>
      <c r="AN27" s="3595"/>
      <c r="AO27" s="3595"/>
      <c r="AP27" s="3595"/>
      <c r="AQ27" s="3595"/>
      <c r="AR27" s="3595"/>
      <c r="AS27" s="3595"/>
      <c r="AT27" s="3595"/>
      <c r="AU27" s="3595"/>
      <c r="AV27" s="3595"/>
      <c r="AW27" s="3595"/>
      <c r="AX27" s="3595"/>
      <c r="AY27" s="3595"/>
      <c r="AZ27" s="3595"/>
      <c r="BA27" s="3595"/>
      <c r="BB27" s="3595"/>
      <c r="BC27" s="3595"/>
      <c r="BD27" s="3595"/>
      <c r="BE27" s="3595"/>
      <c r="BF27" s="3972"/>
      <c r="BG27" s="3972"/>
      <c r="BH27" s="3975"/>
      <c r="BI27" s="3595"/>
      <c r="BJ27" s="3191"/>
      <c r="BK27" s="3969"/>
      <c r="BL27" s="3969"/>
      <c r="BM27" s="3970"/>
      <c r="BN27" s="3970"/>
      <c r="BO27" s="3964"/>
    </row>
    <row r="28" spans="1:67" ht="70.5" customHeight="1" x14ac:dyDescent="0.25">
      <c r="A28" s="3909"/>
      <c r="B28" s="3909"/>
      <c r="C28" s="3912"/>
      <c r="D28" s="3913"/>
      <c r="E28" s="3130"/>
      <c r="F28" s="3132"/>
      <c r="G28" s="202">
        <v>18</v>
      </c>
      <c r="H28" s="170" t="s">
        <v>197</v>
      </c>
      <c r="I28" s="170" t="s">
        <v>198</v>
      </c>
      <c r="J28" s="233">
        <v>10</v>
      </c>
      <c r="K28" s="172">
        <v>0</v>
      </c>
      <c r="L28" s="3203"/>
      <c r="M28" s="3203"/>
      <c r="N28" s="3967"/>
      <c r="O28" s="230">
        <f>T28/P26</f>
        <v>0.21598054652751408</v>
      </c>
      <c r="P28" s="3525"/>
      <c r="Q28" s="3929"/>
      <c r="R28" s="3929"/>
      <c r="S28" s="170" t="s">
        <v>199</v>
      </c>
      <c r="T28" s="232">
        <v>13620000</v>
      </c>
      <c r="U28" s="232">
        <v>0</v>
      </c>
      <c r="V28" s="232">
        <v>0</v>
      </c>
      <c r="W28" s="205">
        <v>20</v>
      </c>
      <c r="X28" s="169" t="s">
        <v>181</v>
      </c>
      <c r="Y28" s="3595"/>
      <c r="Z28" s="3595"/>
      <c r="AA28" s="3595"/>
      <c r="AB28" s="3595"/>
      <c r="AC28" s="3595"/>
      <c r="AD28" s="3595"/>
      <c r="AE28" s="3595"/>
      <c r="AF28" s="3595"/>
      <c r="AG28" s="3595"/>
      <c r="AH28" s="3595"/>
      <c r="AI28" s="3595"/>
      <c r="AJ28" s="3595"/>
      <c r="AK28" s="3595"/>
      <c r="AL28" s="3595"/>
      <c r="AM28" s="3595"/>
      <c r="AN28" s="3595"/>
      <c r="AO28" s="3595"/>
      <c r="AP28" s="3595"/>
      <c r="AQ28" s="3595"/>
      <c r="AR28" s="3595"/>
      <c r="AS28" s="3595"/>
      <c r="AT28" s="3595"/>
      <c r="AU28" s="3595"/>
      <c r="AV28" s="3595"/>
      <c r="AW28" s="3595"/>
      <c r="AX28" s="3595"/>
      <c r="AY28" s="3595"/>
      <c r="AZ28" s="3595"/>
      <c r="BA28" s="3595"/>
      <c r="BB28" s="3595"/>
      <c r="BC28" s="3595"/>
      <c r="BD28" s="3595"/>
      <c r="BE28" s="3595"/>
      <c r="BF28" s="3972"/>
      <c r="BG28" s="3972"/>
      <c r="BH28" s="3975"/>
      <c r="BI28" s="3595"/>
      <c r="BJ28" s="3191"/>
      <c r="BK28" s="3969"/>
      <c r="BL28" s="3969"/>
      <c r="BM28" s="3970"/>
      <c r="BN28" s="3970"/>
      <c r="BO28" s="3964"/>
    </row>
    <row r="29" spans="1:67" ht="81" customHeight="1" x14ac:dyDescent="0.25">
      <c r="A29" s="3909"/>
      <c r="B29" s="3909"/>
      <c r="C29" s="3912"/>
      <c r="D29" s="3913"/>
      <c r="E29" s="3130"/>
      <c r="F29" s="3132"/>
      <c r="G29" s="202">
        <v>19</v>
      </c>
      <c r="H29" s="170" t="s">
        <v>200</v>
      </c>
      <c r="I29" s="170" t="s">
        <v>201</v>
      </c>
      <c r="J29" s="233">
        <v>8</v>
      </c>
      <c r="K29" s="172">
        <v>2</v>
      </c>
      <c r="L29" s="3203"/>
      <c r="M29" s="3203"/>
      <c r="N29" s="3967"/>
      <c r="O29" s="230">
        <f>T29/P26</f>
        <v>0.1744336278856575</v>
      </c>
      <c r="P29" s="3525"/>
      <c r="Q29" s="3929"/>
      <c r="R29" s="3929"/>
      <c r="S29" s="234" t="s">
        <v>202</v>
      </c>
      <c r="T29" s="232">
        <v>11000000</v>
      </c>
      <c r="U29" s="232">
        <v>10990080</v>
      </c>
      <c r="V29" s="232">
        <v>2575800</v>
      </c>
      <c r="W29" s="205">
        <v>20</v>
      </c>
      <c r="X29" s="169" t="s">
        <v>181</v>
      </c>
      <c r="Y29" s="3595"/>
      <c r="Z29" s="3595"/>
      <c r="AA29" s="3595"/>
      <c r="AB29" s="3595"/>
      <c r="AC29" s="3595"/>
      <c r="AD29" s="3595"/>
      <c r="AE29" s="3595"/>
      <c r="AF29" s="3595"/>
      <c r="AG29" s="3595"/>
      <c r="AH29" s="3595"/>
      <c r="AI29" s="3595"/>
      <c r="AJ29" s="3595"/>
      <c r="AK29" s="3595"/>
      <c r="AL29" s="3595"/>
      <c r="AM29" s="3595"/>
      <c r="AN29" s="3595"/>
      <c r="AO29" s="3595"/>
      <c r="AP29" s="3595"/>
      <c r="AQ29" s="3595"/>
      <c r="AR29" s="3595"/>
      <c r="AS29" s="3595"/>
      <c r="AT29" s="3595"/>
      <c r="AU29" s="3595"/>
      <c r="AV29" s="3595"/>
      <c r="AW29" s="3595"/>
      <c r="AX29" s="3595"/>
      <c r="AY29" s="3595"/>
      <c r="AZ29" s="3595"/>
      <c r="BA29" s="3595"/>
      <c r="BB29" s="3595"/>
      <c r="BC29" s="3595"/>
      <c r="BD29" s="3595"/>
      <c r="BE29" s="3595"/>
      <c r="BF29" s="3972"/>
      <c r="BG29" s="3972"/>
      <c r="BH29" s="3975"/>
      <c r="BI29" s="3595"/>
      <c r="BJ29" s="3191"/>
      <c r="BK29" s="3969"/>
      <c r="BL29" s="3969"/>
      <c r="BM29" s="3970"/>
      <c r="BN29" s="3970"/>
      <c r="BO29" s="3964"/>
    </row>
    <row r="30" spans="1:67" ht="90" customHeight="1" x14ac:dyDescent="0.25">
      <c r="A30" s="3909"/>
      <c r="B30" s="3909"/>
      <c r="C30" s="3912"/>
      <c r="D30" s="3913"/>
      <c r="E30" s="3130"/>
      <c r="F30" s="3132"/>
      <c r="G30" s="235">
        <v>20</v>
      </c>
      <c r="H30" s="236" t="s">
        <v>203</v>
      </c>
      <c r="I30" s="177" t="s">
        <v>204</v>
      </c>
      <c r="J30" s="233">
        <v>60</v>
      </c>
      <c r="K30" s="172">
        <v>0.9</v>
      </c>
      <c r="L30" s="3203"/>
      <c r="M30" s="3203"/>
      <c r="N30" s="3968"/>
      <c r="O30" s="237">
        <f>T30/P26</f>
        <v>0.1744336278856575</v>
      </c>
      <c r="P30" s="3525"/>
      <c r="Q30" s="3929"/>
      <c r="R30" s="3929"/>
      <c r="S30" s="177" t="s">
        <v>205</v>
      </c>
      <c r="T30" s="238">
        <v>11000000</v>
      </c>
      <c r="U30" s="238">
        <v>11000000</v>
      </c>
      <c r="V30" s="238">
        <v>0</v>
      </c>
      <c r="W30" s="239">
        <v>20</v>
      </c>
      <c r="X30" s="165" t="s">
        <v>181</v>
      </c>
      <c r="Y30" s="3595"/>
      <c r="Z30" s="3596"/>
      <c r="AA30" s="3595"/>
      <c r="AB30" s="3596"/>
      <c r="AC30" s="3596"/>
      <c r="AD30" s="3596"/>
      <c r="AE30" s="3596"/>
      <c r="AF30" s="3596"/>
      <c r="AG30" s="3596"/>
      <c r="AH30" s="3596"/>
      <c r="AI30" s="3596"/>
      <c r="AJ30" s="3596"/>
      <c r="AK30" s="3596"/>
      <c r="AL30" s="3596"/>
      <c r="AM30" s="3596"/>
      <c r="AN30" s="3596"/>
      <c r="AO30" s="3596"/>
      <c r="AP30" s="3596"/>
      <c r="AQ30" s="3596"/>
      <c r="AR30" s="3596"/>
      <c r="AS30" s="3596"/>
      <c r="AT30" s="3596"/>
      <c r="AU30" s="3596"/>
      <c r="AV30" s="3596"/>
      <c r="AW30" s="3596"/>
      <c r="AX30" s="3596"/>
      <c r="AY30" s="3596"/>
      <c r="AZ30" s="3596"/>
      <c r="BA30" s="3596"/>
      <c r="BB30" s="3596"/>
      <c r="BC30" s="3596"/>
      <c r="BD30" s="3596"/>
      <c r="BE30" s="3596"/>
      <c r="BF30" s="3973"/>
      <c r="BG30" s="3973"/>
      <c r="BH30" s="3976"/>
      <c r="BI30" s="3596"/>
      <c r="BJ30" s="3192"/>
      <c r="BK30" s="3407"/>
      <c r="BL30" s="3407"/>
      <c r="BM30" s="3953"/>
      <c r="BN30" s="3953"/>
      <c r="BO30" s="3964"/>
    </row>
    <row r="31" spans="1:67" ht="15" x14ac:dyDescent="0.25">
      <c r="A31" s="240">
        <v>2</v>
      </c>
      <c r="B31" s="241" t="s">
        <v>206</v>
      </c>
      <c r="C31" s="242"/>
      <c r="D31" s="242"/>
      <c r="E31" s="242"/>
      <c r="F31" s="242"/>
      <c r="G31" s="243"/>
      <c r="H31" s="244"/>
      <c r="I31" s="245"/>
      <c r="J31" s="245"/>
      <c r="K31" s="246"/>
      <c r="L31" s="245"/>
      <c r="M31" s="247"/>
      <c r="N31" s="244"/>
      <c r="O31" s="248"/>
      <c r="P31" s="249"/>
      <c r="Q31" s="244"/>
      <c r="R31" s="244"/>
      <c r="S31" s="244"/>
      <c r="T31" s="250"/>
      <c r="U31" s="250"/>
      <c r="V31" s="250"/>
      <c r="W31" s="251"/>
      <c r="X31" s="247"/>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5"/>
      <c r="BC31" s="245"/>
      <c r="BD31" s="245"/>
      <c r="BE31" s="245"/>
      <c r="BF31" s="252"/>
      <c r="BG31" s="252"/>
      <c r="BH31" s="245"/>
      <c r="BI31" s="245"/>
      <c r="BJ31" s="245"/>
      <c r="BK31" s="253"/>
      <c r="BL31" s="253"/>
      <c r="BM31" s="254"/>
      <c r="BN31" s="254"/>
      <c r="BO31" s="255"/>
    </row>
    <row r="32" spans="1:67" ht="15" x14ac:dyDescent="0.25">
      <c r="A32" s="3977"/>
      <c r="B32" s="3978"/>
      <c r="C32" s="256">
        <v>2</v>
      </c>
      <c r="D32" s="140" t="s">
        <v>207</v>
      </c>
      <c r="E32" s="140"/>
      <c r="F32" s="140"/>
      <c r="G32" s="257"/>
      <c r="H32" s="258"/>
      <c r="I32" s="259"/>
      <c r="J32" s="259"/>
      <c r="K32" s="260"/>
      <c r="L32" s="259"/>
      <c r="M32" s="261"/>
      <c r="N32" s="258"/>
      <c r="O32" s="262"/>
      <c r="P32" s="263"/>
      <c r="Q32" s="258"/>
      <c r="R32" s="258"/>
      <c r="S32" s="258"/>
      <c r="T32" s="264"/>
      <c r="U32" s="264"/>
      <c r="V32" s="264"/>
      <c r="W32" s="265"/>
      <c r="X32" s="261"/>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66"/>
      <c r="BG32" s="266"/>
      <c r="BH32" s="259"/>
      <c r="BI32" s="259"/>
      <c r="BJ32" s="259"/>
      <c r="BK32" s="267"/>
      <c r="BL32" s="267"/>
      <c r="BM32" s="268"/>
      <c r="BN32" s="268"/>
      <c r="BO32" s="269"/>
    </row>
    <row r="33" spans="1:67" ht="15" x14ac:dyDescent="0.25">
      <c r="A33" s="3979"/>
      <c r="B33" s="3980"/>
      <c r="C33" s="3983"/>
      <c r="D33" s="3983"/>
      <c r="E33" s="208">
        <v>4</v>
      </c>
      <c r="F33" s="209" t="s">
        <v>208</v>
      </c>
      <c r="G33" s="209"/>
      <c r="H33" s="270"/>
      <c r="I33" s="151"/>
      <c r="J33" s="151"/>
      <c r="K33" s="271"/>
      <c r="L33" s="151"/>
      <c r="M33" s="151"/>
      <c r="N33" s="272"/>
      <c r="O33" s="273"/>
      <c r="P33" s="274"/>
      <c r="Q33" s="272"/>
      <c r="R33" s="272"/>
      <c r="S33" s="272"/>
      <c r="T33" s="275"/>
      <c r="U33" s="275"/>
      <c r="V33" s="275"/>
      <c r="W33" s="276"/>
      <c r="X33" s="277"/>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9"/>
      <c r="BG33" s="279"/>
      <c r="BH33" s="278"/>
      <c r="BI33" s="278"/>
      <c r="BJ33" s="278"/>
      <c r="BK33" s="280"/>
      <c r="BL33" s="280"/>
      <c r="BM33" s="281"/>
      <c r="BN33" s="281"/>
      <c r="BO33" s="282"/>
    </row>
    <row r="34" spans="1:67" ht="42.75" x14ac:dyDescent="0.25">
      <c r="A34" s="3979"/>
      <c r="B34" s="3980"/>
      <c r="C34" s="3983"/>
      <c r="D34" s="3983"/>
      <c r="E34" s="3289"/>
      <c r="F34" s="3289"/>
      <c r="G34" s="3596">
        <v>21</v>
      </c>
      <c r="H34" s="3942" t="s">
        <v>209</v>
      </c>
      <c r="I34" s="3954" t="s">
        <v>210</v>
      </c>
      <c r="J34" s="3211">
        <v>100</v>
      </c>
      <c r="K34" s="3957">
        <v>6</v>
      </c>
      <c r="L34" s="3289" t="s">
        <v>211</v>
      </c>
      <c r="M34" s="3289" t="s">
        <v>212</v>
      </c>
      <c r="N34" s="3959" t="s">
        <v>213</v>
      </c>
      <c r="O34" s="3962">
        <f>+(T34+T35)/P34</f>
        <v>0.19129239751796687</v>
      </c>
      <c r="P34" s="3300">
        <v>364259118</v>
      </c>
      <c r="Q34" s="3955" t="s">
        <v>214</v>
      </c>
      <c r="R34" s="3955" t="s">
        <v>215</v>
      </c>
      <c r="S34" s="166" t="s">
        <v>216</v>
      </c>
      <c r="T34" s="223">
        <v>54000000</v>
      </c>
      <c r="U34" s="223">
        <v>21700000</v>
      </c>
      <c r="V34" s="223">
        <v>3360000</v>
      </c>
      <c r="W34" s="224">
        <v>20</v>
      </c>
      <c r="X34" s="225" t="s">
        <v>181</v>
      </c>
      <c r="Y34" s="3289">
        <v>40</v>
      </c>
      <c r="Z34" s="3594"/>
      <c r="AA34" s="3289">
        <v>60</v>
      </c>
      <c r="AB34" s="3594"/>
      <c r="AC34" s="3594">
        <v>10</v>
      </c>
      <c r="AD34" s="3594"/>
      <c r="AE34" s="3594">
        <v>20</v>
      </c>
      <c r="AF34" s="3594"/>
      <c r="AG34" s="3594">
        <v>30</v>
      </c>
      <c r="AH34" s="3594"/>
      <c r="AI34" s="3594">
        <v>40</v>
      </c>
      <c r="AJ34" s="3594"/>
      <c r="AK34" s="3594">
        <v>5</v>
      </c>
      <c r="AL34" s="3594"/>
      <c r="AM34" s="3594"/>
      <c r="AN34" s="3594"/>
      <c r="AO34" s="3594"/>
      <c r="AP34" s="3594"/>
      <c r="AQ34" s="3594"/>
      <c r="AR34" s="3594"/>
      <c r="AS34" s="3594"/>
      <c r="AT34" s="3594"/>
      <c r="AU34" s="3594"/>
      <c r="AV34" s="3594"/>
      <c r="AW34" s="3594">
        <v>5</v>
      </c>
      <c r="AX34" s="3594"/>
      <c r="AY34" s="3594"/>
      <c r="AZ34" s="3594"/>
      <c r="BA34" s="3594"/>
      <c r="BB34" s="3594"/>
      <c r="BC34" s="3594">
        <f>Y34+AA34</f>
        <v>100</v>
      </c>
      <c r="BD34" s="3594"/>
      <c r="BE34" s="3594">
        <v>15</v>
      </c>
      <c r="BF34" s="3971">
        <v>74200000</v>
      </c>
      <c r="BG34" s="3971">
        <v>24880000</v>
      </c>
      <c r="BH34" s="3974">
        <f>+BG34/BF34</f>
        <v>0.33530997304582211</v>
      </c>
      <c r="BI34" s="3594" t="s">
        <v>143</v>
      </c>
      <c r="BJ34" s="3190" t="s">
        <v>217</v>
      </c>
      <c r="BK34" s="3406">
        <v>43466</v>
      </c>
      <c r="BL34" s="3406">
        <v>43482</v>
      </c>
      <c r="BM34" s="3952">
        <v>43830</v>
      </c>
      <c r="BN34" s="3952">
        <v>43643</v>
      </c>
      <c r="BO34" s="3190" t="s">
        <v>217</v>
      </c>
    </row>
    <row r="35" spans="1:67" ht="48.75" customHeight="1" x14ac:dyDescent="0.25">
      <c r="A35" s="3979"/>
      <c r="B35" s="3980"/>
      <c r="C35" s="3983"/>
      <c r="D35" s="3983"/>
      <c r="E35" s="3289"/>
      <c r="F35" s="3289"/>
      <c r="G35" s="3289"/>
      <c r="H35" s="3942"/>
      <c r="I35" s="3954"/>
      <c r="J35" s="3213"/>
      <c r="K35" s="3958"/>
      <c r="L35" s="3289"/>
      <c r="M35" s="3289"/>
      <c r="N35" s="3960"/>
      <c r="O35" s="3962"/>
      <c r="P35" s="3300"/>
      <c r="Q35" s="3963"/>
      <c r="R35" s="3963"/>
      <c r="S35" s="170" t="s">
        <v>218</v>
      </c>
      <c r="T35" s="204">
        <v>15680000</v>
      </c>
      <c r="U35" s="204">
        <v>3300000</v>
      </c>
      <c r="V35" s="204">
        <v>0</v>
      </c>
      <c r="W35" s="205">
        <v>20</v>
      </c>
      <c r="X35" s="169" t="s">
        <v>181</v>
      </c>
      <c r="Y35" s="3289"/>
      <c r="Z35" s="3595"/>
      <c r="AA35" s="3289"/>
      <c r="AB35" s="3595"/>
      <c r="AC35" s="3595"/>
      <c r="AD35" s="3595"/>
      <c r="AE35" s="3595"/>
      <c r="AF35" s="3595"/>
      <c r="AG35" s="3595"/>
      <c r="AH35" s="3595"/>
      <c r="AI35" s="3595"/>
      <c r="AJ35" s="3595"/>
      <c r="AK35" s="3595"/>
      <c r="AL35" s="3595"/>
      <c r="AM35" s="3595"/>
      <c r="AN35" s="3595"/>
      <c r="AO35" s="3595"/>
      <c r="AP35" s="3595"/>
      <c r="AQ35" s="3595"/>
      <c r="AR35" s="3595"/>
      <c r="AS35" s="3595"/>
      <c r="AT35" s="3595"/>
      <c r="AU35" s="3595"/>
      <c r="AV35" s="3595"/>
      <c r="AW35" s="3595"/>
      <c r="AX35" s="3595"/>
      <c r="AY35" s="3595"/>
      <c r="AZ35" s="3595"/>
      <c r="BA35" s="3595"/>
      <c r="BB35" s="3595"/>
      <c r="BC35" s="3595"/>
      <c r="BD35" s="3595"/>
      <c r="BE35" s="3595"/>
      <c r="BF35" s="3972"/>
      <c r="BG35" s="3972"/>
      <c r="BH35" s="3975"/>
      <c r="BI35" s="3595"/>
      <c r="BJ35" s="3191"/>
      <c r="BK35" s="3969"/>
      <c r="BL35" s="3969"/>
      <c r="BM35" s="3970"/>
      <c r="BN35" s="3970"/>
      <c r="BO35" s="3191"/>
    </row>
    <row r="36" spans="1:67" ht="91.5" customHeight="1" x14ac:dyDescent="0.25">
      <c r="A36" s="3979"/>
      <c r="B36" s="3980"/>
      <c r="C36" s="3983"/>
      <c r="D36" s="3983"/>
      <c r="E36" s="3289"/>
      <c r="F36" s="3289"/>
      <c r="G36" s="3289">
        <v>22</v>
      </c>
      <c r="H36" s="3942" t="s">
        <v>219</v>
      </c>
      <c r="I36" s="3954" t="s">
        <v>220</v>
      </c>
      <c r="J36" s="3211">
        <v>3</v>
      </c>
      <c r="K36" s="3957">
        <v>0</v>
      </c>
      <c r="L36" s="3289"/>
      <c r="M36" s="3289"/>
      <c r="N36" s="3960"/>
      <c r="O36" s="3984">
        <f>+(T36+T37)/P34</f>
        <v>0.12161672230261096</v>
      </c>
      <c r="P36" s="3300"/>
      <c r="Q36" s="3963"/>
      <c r="R36" s="3963"/>
      <c r="S36" s="170" t="s">
        <v>221</v>
      </c>
      <c r="T36" s="204">
        <v>30000000</v>
      </c>
      <c r="U36" s="204">
        <v>8500000</v>
      </c>
      <c r="V36" s="204">
        <v>6200000</v>
      </c>
      <c r="W36" s="205">
        <v>20</v>
      </c>
      <c r="X36" s="169" t="s">
        <v>181</v>
      </c>
      <c r="Y36" s="3289"/>
      <c r="Z36" s="3595"/>
      <c r="AA36" s="3289"/>
      <c r="AB36" s="3595"/>
      <c r="AC36" s="3595"/>
      <c r="AD36" s="3595"/>
      <c r="AE36" s="3595"/>
      <c r="AF36" s="3595"/>
      <c r="AG36" s="3595"/>
      <c r="AH36" s="3595"/>
      <c r="AI36" s="3595"/>
      <c r="AJ36" s="3595"/>
      <c r="AK36" s="3595"/>
      <c r="AL36" s="3595"/>
      <c r="AM36" s="3595"/>
      <c r="AN36" s="3595"/>
      <c r="AO36" s="3595"/>
      <c r="AP36" s="3595"/>
      <c r="AQ36" s="3595"/>
      <c r="AR36" s="3595"/>
      <c r="AS36" s="3595"/>
      <c r="AT36" s="3595"/>
      <c r="AU36" s="3595"/>
      <c r="AV36" s="3595"/>
      <c r="AW36" s="3595"/>
      <c r="AX36" s="3595"/>
      <c r="AY36" s="3595"/>
      <c r="AZ36" s="3595"/>
      <c r="BA36" s="3595"/>
      <c r="BB36" s="3595"/>
      <c r="BC36" s="3595"/>
      <c r="BD36" s="3595"/>
      <c r="BE36" s="3595"/>
      <c r="BF36" s="3972"/>
      <c r="BG36" s="3972"/>
      <c r="BH36" s="3975"/>
      <c r="BI36" s="3595"/>
      <c r="BJ36" s="3191"/>
      <c r="BK36" s="3969"/>
      <c r="BL36" s="3969"/>
      <c r="BM36" s="3970"/>
      <c r="BN36" s="3970"/>
      <c r="BO36" s="3191"/>
    </row>
    <row r="37" spans="1:67" ht="57" x14ac:dyDescent="0.25">
      <c r="A37" s="3979"/>
      <c r="B37" s="3980"/>
      <c r="C37" s="3983"/>
      <c r="D37" s="3983"/>
      <c r="E37" s="3289"/>
      <c r="F37" s="3289"/>
      <c r="G37" s="3289"/>
      <c r="H37" s="3942"/>
      <c r="I37" s="3954"/>
      <c r="J37" s="3213"/>
      <c r="K37" s="3958"/>
      <c r="L37" s="3289"/>
      <c r="M37" s="3289"/>
      <c r="N37" s="3960"/>
      <c r="O37" s="3984"/>
      <c r="P37" s="3300"/>
      <c r="Q37" s="3963"/>
      <c r="R37" s="3956"/>
      <c r="S37" s="170" t="s">
        <v>222</v>
      </c>
      <c r="T37" s="204">
        <v>14300000</v>
      </c>
      <c r="U37" s="204">
        <v>4000000</v>
      </c>
      <c r="V37" s="204">
        <v>3360000</v>
      </c>
      <c r="W37" s="205">
        <v>20</v>
      </c>
      <c r="X37" s="169" t="s">
        <v>181</v>
      </c>
      <c r="Y37" s="3289"/>
      <c r="Z37" s="3595"/>
      <c r="AA37" s="3289"/>
      <c r="AB37" s="3595"/>
      <c r="AC37" s="3595"/>
      <c r="AD37" s="3595"/>
      <c r="AE37" s="3595"/>
      <c r="AF37" s="3595"/>
      <c r="AG37" s="3595"/>
      <c r="AH37" s="3595"/>
      <c r="AI37" s="3595"/>
      <c r="AJ37" s="3595"/>
      <c r="AK37" s="3595"/>
      <c r="AL37" s="3595"/>
      <c r="AM37" s="3595"/>
      <c r="AN37" s="3595"/>
      <c r="AO37" s="3595"/>
      <c r="AP37" s="3595"/>
      <c r="AQ37" s="3595"/>
      <c r="AR37" s="3595"/>
      <c r="AS37" s="3595"/>
      <c r="AT37" s="3595"/>
      <c r="AU37" s="3595"/>
      <c r="AV37" s="3595"/>
      <c r="AW37" s="3595"/>
      <c r="AX37" s="3595"/>
      <c r="AY37" s="3595"/>
      <c r="AZ37" s="3595"/>
      <c r="BA37" s="3595"/>
      <c r="BB37" s="3595"/>
      <c r="BC37" s="3595"/>
      <c r="BD37" s="3595"/>
      <c r="BE37" s="3595"/>
      <c r="BF37" s="3972"/>
      <c r="BG37" s="3972"/>
      <c r="BH37" s="3975"/>
      <c r="BI37" s="3595"/>
      <c r="BJ37" s="3191"/>
      <c r="BK37" s="3969"/>
      <c r="BL37" s="3969"/>
      <c r="BM37" s="3970"/>
      <c r="BN37" s="3970"/>
      <c r="BO37" s="3191"/>
    </row>
    <row r="38" spans="1:67" ht="66.75" customHeight="1" x14ac:dyDescent="0.25">
      <c r="A38" s="3979"/>
      <c r="B38" s="3980"/>
      <c r="C38" s="3983"/>
      <c r="D38" s="3983"/>
      <c r="E38" s="3289"/>
      <c r="F38" s="3289"/>
      <c r="G38" s="3289">
        <v>23</v>
      </c>
      <c r="H38" s="3942" t="s">
        <v>223</v>
      </c>
      <c r="I38" s="3954" t="s">
        <v>224</v>
      </c>
      <c r="J38" s="3211">
        <v>1</v>
      </c>
      <c r="K38" s="3957">
        <v>0.25</v>
      </c>
      <c r="L38" s="3289"/>
      <c r="M38" s="3289"/>
      <c r="N38" s="3960"/>
      <c r="O38" s="3984">
        <f>+(T38+T39+T40)/P34</f>
        <v>0.19129239751796687</v>
      </c>
      <c r="P38" s="3300"/>
      <c r="Q38" s="3963"/>
      <c r="R38" s="3919" t="s">
        <v>225</v>
      </c>
      <c r="S38" s="170" t="s">
        <v>226</v>
      </c>
      <c r="T38" s="204">
        <v>18000000</v>
      </c>
      <c r="U38" s="204">
        <v>12000000</v>
      </c>
      <c r="V38" s="204">
        <v>7000000</v>
      </c>
      <c r="W38" s="205">
        <v>20</v>
      </c>
      <c r="X38" s="169" t="s">
        <v>181</v>
      </c>
      <c r="Y38" s="3289"/>
      <c r="Z38" s="3595"/>
      <c r="AA38" s="3289"/>
      <c r="AB38" s="3595"/>
      <c r="AC38" s="3595"/>
      <c r="AD38" s="3595"/>
      <c r="AE38" s="3595"/>
      <c r="AF38" s="3595"/>
      <c r="AG38" s="3595"/>
      <c r="AH38" s="3595"/>
      <c r="AI38" s="3595"/>
      <c r="AJ38" s="3595"/>
      <c r="AK38" s="3595"/>
      <c r="AL38" s="3595"/>
      <c r="AM38" s="3595"/>
      <c r="AN38" s="3595"/>
      <c r="AO38" s="3595"/>
      <c r="AP38" s="3595"/>
      <c r="AQ38" s="3595"/>
      <c r="AR38" s="3595"/>
      <c r="AS38" s="3595"/>
      <c r="AT38" s="3595"/>
      <c r="AU38" s="3595"/>
      <c r="AV38" s="3595"/>
      <c r="AW38" s="3595"/>
      <c r="AX38" s="3595"/>
      <c r="AY38" s="3595"/>
      <c r="AZ38" s="3595"/>
      <c r="BA38" s="3595"/>
      <c r="BB38" s="3595"/>
      <c r="BC38" s="3595"/>
      <c r="BD38" s="3595"/>
      <c r="BE38" s="3595"/>
      <c r="BF38" s="3972"/>
      <c r="BG38" s="3972"/>
      <c r="BH38" s="3975"/>
      <c r="BI38" s="3595"/>
      <c r="BJ38" s="3191"/>
      <c r="BK38" s="3969"/>
      <c r="BL38" s="3969"/>
      <c r="BM38" s="3970"/>
      <c r="BN38" s="3970"/>
      <c r="BO38" s="3191"/>
    </row>
    <row r="39" spans="1:67" ht="82.5" customHeight="1" x14ac:dyDescent="0.25">
      <c r="A39" s="3979"/>
      <c r="B39" s="3980"/>
      <c r="C39" s="3983"/>
      <c r="D39" s="3983"/>
      <c r="E39" s="3289"/>
      <c r="F39" s="3289"/>
      <c r="G39" s="3289"/>
      <c r="H39" s="3942"/>
      <c r="I39" s="3954"/>
      <c r="J39" s="3212"/>
      <c r="K39" s="3989"/>
      <c r="L39" s="3289"/>
      <c r="M39" s="3289"/>
      <c r="N39" s="3960"/>
      <c r="O39" s="3984"/>
      <c r="P39" s="3300"/>
      <c r="Q39" s="3963"/>
      <c r="R39" s="3929"/>
      <c r="S39" s="170" t="s">
        <v>227</v>
      </c>
      <c r="T39" s="204">
        <v>5000000</v>
      </c>
      <c r="U39" s="204">
        <v>3000000</v>
      </c>
      <c r="V39" s="204">
        <v>0</v>
      </c>
      <c r="W39" s="205">
        <v>20</v>
      </c>
      <c r="X39" s="169" t="s">
        <v>181</v>
      </c>
      <c r="Y39" s="3289"/>
      <c r="Z39" s="3595"/>
      <c r="AA39" s="3289"/>
      <c r="AB39" s="3595"/>
      <c r="AC39" s="3595"/>
      <c r="AD39" s="3595"/>
      <c r="AE39" s="3595"/>
      <c r="AF39" s="3595"/>
      <c r="AG39" s="3595"/>
      <c r="AH39" s="3595"/>
      <c r="AI39" s="3595"/>
      <c r="AJ39" s="3595"/>
      <c r="AK39" s="3595"/>
      <c r="AL39" s="3595"/>
      <c r="AM39" s="3595"/>
      <c r="AN39" s="3595"/>
      <c r="AO39" s="3595"/>
      <c r="AP39" s="3595"/>
      <c r="AQ39" s="3595"/>
      <c r="AR39" s="3595"/>
      <c r="AS39" s="3595"/>
      <c r="AT39" s="3595"/>
      <c r="AU39" s="3595"/>
      <c r="AV39" s="3595"/>
      <c r="AW39" s="3595"/>
      <c r="AX39" s="3595"/>
      <c r="AY39" s="3595"/>
      <c r="AZ39" s="3595"/>
      <c r="BA39" s="3595"/>
      <c r="BB39" s="3595"/>
      <c r="BC39" s="3595"/>
      <c r="BD39" s="3595"/>
      <c r="BE39" s="3595"/>
      <c r="BF39" s="3972"/>
      <c r="BG39" s="3972"/>
      <c r="BH39" s="3975"/>
      <c r="BI39" s="3595"/>
      <c r="BJ39" s="3191"/>
      <c r="BK39" s="3969"/>
      <c r="BL39" s="3969"/>
      <c r="BM39" s="3970"/>
      <c r="BN39" s="3970"/>
      <c r="BO39" s="3191"/>
    </row>
    <row r="40" spans="1:67" ht="39.75" customHeight="1" x14ac:dyDescent="0.25">
      <c r="A40" s="3979"/>
      <c r="B40" s="3980"/>
      <c r="C40" s="3983"/>
      <c r="D40" s="3983"/>
      <c r="E40" s="3289"/>
      <c r="F40" s="3289"/>
      <c r="G40" s="3289"/>
      <c r="H40" s="3942"/>
      <c r="I40" s="3954"/>
      <c r="J40" s="3213"/>
      <c r="K40" s="3958"/>
      <c r="L40" s="3289"/>
      <c r="M40" s="3289"/>
      <c r="N40" s="3960"/>
      <c r="O40" s="3984"/>
      <c r="P40" s="3300"/>
      <c r="Q40" s="3963"/>
      <c r="R40" s="3929"/>
      <c r="S40" s="170" t="s">
        <v>228</v>
      </c>
      <c r="T40" s="204">
        <v>46680000</v>
      </c>
      <c r="U40" s="204">
        <v>5400000</v>
      </c>
      <c r="V40" s="204">
        <v>3360000</v>
      </c>
      <c r="W40" s="205">
        <v>20</v>
      </c>
      <c r="X40" s="169" t="s">
        <v>181</v>
      </c>
      <c r="Y40" s="3289"/>
      <c r="Z40" s="3595"/>
      <c r="AA40" s="3289"/>
      <c r="AB40" s="3595"/>
      <c r="AC40" s="3595"/>
      <c r="AD40" s="3595"/>
      <c r="AE40" s="3595"/>
      <c r="AF40" s="3595"/>
      <c r="AG40" s="3595"/>
      <c r="AH40" s="3595"/>
      <c r="AI40" s="3595"/>
      <c r="AJ40" s="3595"/>
      <c r="AK40" s="3595"/>
      <c r="AL40" s="3595"/>
      <c r="AM40" s="3595"/>
      <c r="AN40" s="3595"/>
      <c r="AO40" s="3595"/>
      <c r="AP40" s="3595"/>
      <c r="AQ40" s="3595"/>
      <c r="AR40" s="3595"/>
      <c r="AS40" s="3595"/>
      <c r="AT40" s="3595"/>
      <c r="AU40" s="3595"/>
      <c r="AV40" s="3595"/>
      <c r="AW40" s="3595"/>
      <c r="AX40" s="3595"/>
      <c r="AY40" s="3595"/>
      <c r="AZ40" s="3595"/>
      <c r="BA40" s="3595"/>
      <c r="BB40" s="3595"/>
      <c r="BC40" s="3595"/>
      <c r="BD40" s="3595"/>
      <c r="BE40" s="3595"/>
      <c r="BF40" s="3972"/>
      <c r="BG40" s="3972"/>
      <c r="BH40" s="3975"/>
      <c r="BI40" s="3595"/>
      <c r="BJ40" s="3191"/>
      <c r="BK40" s="3969"/>
      <c r="BL40" s="3969"/>
      <c r="BM40" s="3970"/>
      <c r="BN40" s="3970"/>
      <c r="BO40" s="3191"/>
    </row>
    <row r="41" spans="1:67" ht="71.25" x14ac:dyDescent="0.25">
      <c r="A41" s="3979"/>
      <c r="B41" s="3980"/>
      <c r="C41" s="3983"/>
      <c r="D41" s="3983"/>
      <c r="E41" s="3289"/>
      <c r="F41" s="3289"/>
      <c r="G41" s="235">
        <v>24</v>
      </c>
      <c r="H41" s="170" t="s">
        <v>229</v>
      </c>
      <c r="I41" s="170" t="s">
        <v>230</v>
      </c>
      <c r="J41" s="233">
        <v>1</v>
      </c>
      <c r="K41" s="283">
        <v>0</v>
      </c>
      <c r="L41" s="3289"/>
      <c r="M41" s="3289"/>
      <c r="N41" s="3961"/>
      <c r="O41" s="230">
        <f>T41/P34</f>
        <v>0.49579848266145532</v>
      </c>
      <c r="P41" s="3300"/>
      <c r="Q41" s="3956"/>
      <c r="R41" s="3920"/>
      <c r="S41" s="170" t="s">
        <v>231</v>
      </c>
      <c r="T41" s="204">
        <v>180599118</v>
      </c>
      <c r="U41" s="204">
        <v>16300000</v>
      </c>
      <c r="V41" s="204">
        <v>1600000</v>
      </c>
      <c r="W41" s="205">
        <v>20</v>
      </c>
      <c r="X41" s="169" t="s">
        <v>181</v>
      </c>
      <c r="Y41" s="3289"/>
      <c r="Z41" s="3596"/>
      <c r="AA41" s="3289"/>
      <c r="AB41" s="3596"/>
      <c r="AC41" s="3596"/>
      <c r="AD41" s="3596"/>
      <c r="AE41" s="3596"/>
      <c r="AF41" s="3596"/>
      <c r="AG41" s="3596"/>
      <c r="AH41" s="3596"/>
      <c r="AI41" s="3596"/>
      <c r="AJ41" s="3596"/>
      <c r="AK41" s="3596"/>
      <c r="AL41" s="3596"/>
      <c r="AM41" s="3596"/>
      <c r="AN41" s="3596"/>
      <c r="AO41" s="3596"/>
      <c r="AP41" s="3596"/>
      <c r="AQ41" s="3596"/>
      <c r="AR41" s="3596"/>
      <c r="AS41" s="3596"/>
      <c r="AT41" s="3596"/>
      <c r="AU41" s="3596"/>
      <c r="AV41" s="3596"/>
      <c r="AW41" s="3596"/>
      <c r="AX41" s="3596"/>
      <c r="AY41" s="3596"/>
      <c r="AZ41" s="3596"/>
      <c r="BA41" s="3596"/>
      <c r="BB41" s="3596"/>
      <c r="BC41" s="3596"/>
      <c r="BD41" s="3596"/>
      <c r="BE41" s="3596"/>
      <c r="BF41" s="3973"/>
      <c r="BG41" s="3973"/>
      <c r="BH41" s="3976"/>
      <c r="BI41" s="3596"/>
      <c r="BJ41" s="3192"/>
      <c r="BK41" s="3407"/>
      <c r="BL41" s="3407"/>
      <c r="BM41" s="3953"/>
      <c r="BN41" s="3953"/>
      <c r="BO41" s="3192"/>
    </row>
    <row r="42" spans="1:67" ht="15" x14ac:dyDescent="0.25">
      <c r="A42" s="3979"/>
      <c r="B42" s="3980"/>
      <c r="C42" s="3983"/>
      <c r="D42" s="3983"/>
      <c r="E42" s="208">
        <v>5</v>
      </c>
      <c r="F42" s="209" t="s">
        <v>232</v>
      </c>
      <c r="G42" s="209"/>
      <c r="H42" s="284"/>
      <c r="I42" s="284"/>
      <c r="J42" s="284"/>
      <c r="K42" s="271"/>
      <c r="L42" s="284"/>
      <c r="M42" s="284"/>
      <c r="N42" s="272"/>
      <c r="O42" s="273"/>
      <c r="P42" s="274"/>
      <c r="Q42" s="272"/>
      <c r="R42" s="272"/>
      <c r="S42" s="272"/>
      <c r="T42" s="275"/>
      <c r="U42" s="275"/>
      <c r="V42" s="275"/>
      <c r="W42" s="276"/>
      <c r="X42" s="277"/>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8"/>
      <c r="AX42" s="278"/>
      <c r="AY42" s="278"/>
      <c r="AZ42" s="278"/>
      <c r="BA42" s="278"/>
      <c r="BB42" s="278"/>
      <c r="BC42" s="278"/>
      <c r="BD42" s="278"/>
      <c r="BE42" s="278"/>
      <c r="BF42" s="279"/>
      <c r="BG42" s="279"/>
      <c r="BH42" s="278"/>
      <c r="BI42" s="278"/>
      <c r="BJ42" s="278"/>
      <c r="BK42" s="280"/>
      <c r="BL42" s="280"/>
      <c r="BM42" s="281"/>
      <c r="BN42" s="281"/>
      <c r="BO42" s="282"/>
    </row>
    <row r="43" spans="1:67" ht="41.25" customHeight="1" x14ac:dyDescent="0.25">
      <c r="A43" s="3979"/>
      <c r="B43" s="3980"/>
      <c r="C43" s="3983"/>
      <c r="D43" s="3983"/>
      <c r="E43" s="3289"/>
      <c r="F43" s="3289"/>
      <c r="G43" s="3596">
        <v>25</v>
      </c>
      <c r="H43" s="3919" t="s">
        <v>233</v>
      </c>
      <c r="I43" s="3919" t="s">
        <v>234</v>
      </c>
      <c r="J43" s="3985">
        <v>2</v>
      </c>
      <c r="K43" s="3987">
        <v>0</v>
      </c>
      <c r="L43" s="3202" t="s">
        <v>235</v>
      </c>
      <c r="M43" s="3985" t="s">
        <v>236</v>
      </c>
      <c r="N43" s="3919" t="s">
        <v>237</v>
      </c>
      <c r="O43" s="3991">
        <f>+(T43+T44)/P43</f>
        <v>0.18063091559405339</v>
      </c>
      <c r="P43" s="3524">
        <v>1315168000</v>
      </c>
      <c r="Q43" s="3919" t="s">
        <v>238</v>
      </c>
      <c r="R43" s="3919" t="s">
        <v>239</v>
      </c>
      <c r="S43" s="170" t="s">
        <v>240</v>
      </c>
      <c r="T43" s="204">
        <v>118780000</v>
      </c>
      <c r="U43" s="204">
        <v>34758000</v>
      </c>
      <c r="V43" s="204">
        <v>5150000</v>
      </c>
      <c r="W43" s="205">
        <v>20</v>
      </c>
      <c r="X43" s="206" t="s">
        <v>143</v>
      </c>
      <c r="Y43" s="3594">
        <v>600</v>
      </c>
      <c r="Z43" s="3594"/>
      <c r="AA43" s="3594">
        <v>600</v>
      </c>
      <c r="AB43" s="3594"/>
      <c r="AC43" s="3594">
        <v>125</v>
      </c>
      <c r="AD43" s="3594"/>
      <c r="AE43" s="3594">
        <v>75</v>
      </c>
      <c r="AF43" s="3594"/>
      <c r="AG43" s="3594">
        <v>300</v>
      </c>
      <c r="AH43" s="3594"/>
      <c r="AI43" s="3594">
        <v>700</v>
      </c>
      <c r="AJ43" s="3594"/>
      <c r="AK43" s="3594">
        <v>50</v>
      </c>
      <c r="AL43" s="3594"/>
      <c r="AM43" s="3594">
        <v>30</v>
      </c>
      <c r="AN43" s="3594"/>
      <c r="AO43" s="3594"/>
      <c r="AP43" s="3594"/>
      <c r="AQ43" s="3594"/>
      <c r="AR43" s="3594"/>
      <c r="AS43" s="3594"/>
      <c r="AT43" s="3594"/>
      <c r="AU43" s="3594"/>
      <c r="AV43" s="3594"/>
      <c r="AW43" s="3594"/>
      <c r="AX43" s="3594"/>
      <c r="AY43" s="3594">
        <v>10</v>
      </c>
      <c r="AZ43" s="3594"/>
      <c r="BA43" s="3594">
        <v>10</v>
      </c>
      <c r="BB43" s="3594"/>
      <c r="BC43" s="3594">
        <f>Y43+AA43</f>
        <v>1200</v>
      </c>
      <c r="BD43" s="3594"/>
      <c r="BE43" s="3594">
        <v>13</v>
      </c>
      <c r="BF43" s="3971">
        <v>60786000</v>
      </c>
      <c r="BG43" s="3971">
        <v>8510000</v>
      </c>
      <c r="BH43" s="3974">
        <f>+BG43/BF43</f>
        <v>0.13999934195373934</v>
      </c>
      <c r="BI43" s="3190" t="s">
        <v>241</v>
      </c>
      <c r="BJ43" s="3190" t="s">
        <v>242</v>
      </c>
      <c r="BK43" s="3406">
        <v>43466</v>
      </c>
      <c r="BL43" s="3406">
        <v>43482</v>
      </c>
      <c r="BM43" s="3952">
        <v>43830</v>
      </c>
      <c r="BN43" s="3952">
        <v>43643</v>
      </c>
      <c r="BO43" s="3190" t="s">
        <v>242</v>
      </c>
    </row>
    <row r="44" spans="1:67" ht="39.75" customHeight="1" x14ac:dyDescent="0.25">
      <c r="A44" s="3979"/>
      <c r="B44" s="3980"/>
      <c r="C44" s="3983"/>
      <c r="D44" s="3983"/>
      <c r="E44" s="3289"/>
      <c r="F44" s="3289"/>
      <c r="G44" s="3289"/>
      <c r="H44" s="3920"/>
      <c r="I44" s="3920"/>
      <c r="J44" s="3986"/>
      <c r="K44" s="3988"/>
      <c r="L44" s="3990"/>
      <c r="M44" s="3990"/>
      <c r="N44" s="3929"/>
      <c r="O44" s="3992"/>
      <c r="P44" s="3525"/>
      <c r="Q44" s="3929"/>
      <c r="R44" s="3929"/>
      <c r="S44" s="170" t="s">
        <v>243</v>
      </c>
      <c r="T44" s="204">
        <v>118780000</v>
      </c>
      <c r="U44" s="204">
        <v>15408000</v>
      </c>
      <c r="V44" s="204">
        <v>0</v>
      </c>
      <c r="W44" s="205">
        <v>20</v>
      </c>
      <c r="X44" s="206" t="s">
        <v>143</v>
      </c>
      <c r="Y44" s="3595"/>
      <c r="Z44" s="3595"/>
      <c r="AA44" s="3595"/>
      <c r="AB44" s="3595"/>
      <c r="AC44" s="3595"/>
      <c r="AD44" s="3595"/>
      <c r="AE44" s="3595"/>
      <c r="AF44" s="3595"/>
      <c r="AG44" s="3595"/>
      <c r="AH44" s="3595"/>
      <c r="AI44" s="3595"/>
      <c r="AJ44" s="3595"/>
      <c r="AK44" s="3595"/>
      <c r="AL44" s="3595"/>
      <c r="AM44" s="3595"/>
      <c r="AN44" s="3595"/>
      <c r="AO44" s="3595"/>
      <c r="AP44" s="3595"/>
      <c r="AQ44" s="3595"/>
      <c r="AR44" s="3595"/>
      <c r="AS44" s="3595"/>
      <c r="AT44" s="3595"/>
      <c r="AU44" s="3595"/>
      <c r="AV44" s="3595"/>
      <c r="AW44" s="3595"/>
      <c r="AX44" s="3595"/>
      <c r="AY44" s="3595"/>
      <c r="AZ44" s="3595"/>
      <c r="BA44" s="3595"/>
      <c r="BB44" s="3595"/>
      <c r="BC44" s="3595"/>
      <c r="BD44" s="3595"/>
      <c r="BE44" s="3595"/>
      <c r="BF44" s="3972"/>
      <c r="BG44" s="3972"/>
      <c r="BH44" s="3975"/>
      <c r="BI44" s="3191"/>
      <c r="BJ44" s="3191"/>
      <c r="BK44" s="3969"/>
      <c r="BL44" s="3969"/>
      <c r="BM44" s="3970"/>
      <c r="BN44" s="3970"/>
      <c r="BO44" s="3191"/>
    </row>
    <row r="45" spans="1:67" ht="108" customHeight="1" x14ac:dyDescent="0.25">
      <c r="A45" s="3979"/>
      <c r="B45" s="3980"/>
      <c r="C45" s="3983"/>
      <c r="D45" s="3983"/>
      <c r="E45" s="3289"/>
      <c r="F45" s="3289"/>
      <c r="G45" s="202">
        <v>26</v>
      </c>
      <c r="H45" s="170" t="s">
        <v>244</v>
      </c>
      <c r="I45" s="170" t="s">
        <v>245</v>
      </c>
      <c r="J45" s="171">
        <v>2</v>
      </c>
      <c r="K45" s="227">
        <v>0.25</v>
      </c>
      <c r="L45" s="3990"/>
      <c r="M45" s="3990"/>
      <c r="N45" s="3929"/>
      <c r="O45" s="230">
        <f>T45/P43</f>
        <v>3.3721927540816078E-2</v>
      </c>
      <c r="P45" s="3525"/>
      <c r="Q45" s="3929"/>
      <c r="R45" s="3920"/>
      <c r="S45" s="170" t="s">
        <v>246</v>
      </c>
      <c r="T45" s="204">
        <v>44350000</v>
      </c>
      <c r="U45" s="204">
        <v>5600000</v>
      </c>
      <c r="V45" s="204">
        <v>3360000</v>
      </c>
      <c r="W45" s="205">
        <v>20</v>
      </c>
      <c r="X45" s="206" t="s">
        <v>143</v>
      </c>
      <c r="Y45" s="3595"/>
      <c r="Z45" s="3595"/>
      <c r="AA45" s="3595"/>
      <c r="AB45" s="3595"/>
      <c r="AC45" s="3595"/>
      <c r="AD45" s="3595"/>
      <c r="AE45" s="3595"/>
      <c r="AF45" s="3595"/>
      <c r="AG45" s="3595"/>
      <c r="AH45" s="3595"/>
      <c r="AI45" s="3595"/>
      <c r="AJ45" s="3595"/>
      <c r="AK45" s="3595"/>
      <c r="AL45" s="3595"/>
      <c r="AM45" s="3595"/>
      <c r="AN45" s="3595"/>
      <c r="AO45" s="3595"/>
      <c r="AP45" s="3595"/>
      <c r="AQ45" s="3595"/>
      <c r="AR45" s="3595"/>
      <c r="AS45" s="3595"/>
      <c r="AT45" s="3595"/>
      <c r="AU45" s="3595"/>
      <c r="AV45" s="3595"/>
      <c r="AW45" s="3595"/>
      <c r="AX45" s="3595"/>
      <c r="AY45" s="3595"/>
      <c r="AZ45" s="3595"/>
      <c r="BA45" s="3595"/>
      <c r="BB45" s="3595"/>
      <c r="BC45" s="3595"/>
      <c r="BD45" s="3595"/>
      <c r="BE45" s="3595"/>
      <c r="BF45" s="3972"/>
      <c r="BG45" s="3972"/>
      <c r="BH45" s="3975"/>
      <c r="BI45" s="3191"/>
      <c r="BJ45" s="3191"/>
      <c r="BK45" s="3969"/>
      <c r="BL45" s="3969"/>
      <c r="BM45" s="3970"/>
      <c r="BN45" s="3970"/>
      <c r="BO45" s="3191"/>
    </row>
    <row r="46" spans="1:67" ht="60" customHeight="1" x14ac:dyDescent="0.25">
      <c r="A46" s="3979"/>
      <c r="B46" s="3980"/>
      <c r="C46" s="3983"/>
      <c r="D46" s="3983"/>
      <c r="E46" s="3289"/>
      <c r="F46" s="3289"/>
      <c r="G46" s="202">
        <v>27</v>
      </c>
      <c r="H46" s="170" t="s">
        <v>247</v>
      </c>
      <c r="I46" s="170" t="s">
        <v>248</v>
      </c>
      <c r="J46" s="233">
        <v>3</v>
      </c>
      <c r="K46" s="172">
        <v>0</v>
      </c>
      <c r="L46" s="3990"/>
      <c r="M46" s="3990"/>
      <c r="N46" s="3929"/>
      <c r="O46" s="230">
        <f>T46/P43</f>
        <v>0.76035913282561618</v>
      </c>
      <c r="P46" s="3525"/>
      <c r="Q46" s="3929"/>
      <c r="R46" s="170" t="s">
        <v>249</v>
      </c>
      <c r="S46" s="170" t="s">
        <v>250</v>
      </c>
      <c r="T46" s="204">
        <v>1000000000</v>
      </c>
      <c r="U46" s="204">
        <v>0</v>
      </c>
      <c r="V46" s="204">
        <v>0</v>
      </c>
      <c r="W46" s="205">
        <v>46</v>
      </c>
      <c r="X46" s="169" t="s">
        <v>251</v>
      </c>
      <c r="Y46" s="3595"/>
      <c r="Z46" s="3595"/>
      <c r="AA46" s="3595"/>
      <c r="AB46" s="3595"/>
      <c r="AC46" s="3595"/>
      <c r="AD46" s="3595"/>
      <c r="AE46" s="3595"/>
      <c r="AF46" s="3595"/>
      <c r="AG46" s="3595"/>
      <c r="AH46" s="3595"/>
      <c r="AI46" s="3595"/>
      <c r="AJ46" s="3595"/>
      <c r="AK46" s="3595"/>
      <c r="AL46" s="3595"/>
      <c r="AM46" s="3595"/>
      <c r="AN46" s="3595"/>
      <c r="AO46" s="3595"/>
      <c r="AP46" s="3595"/>
      <c r="AQ46" s="3595"/>
      <c r="AR46" s="3595"/>
      <c r="AS46" s="3595"/>
      <c r="AT46" s="3595"/>
      <c r="AU46" s="3595"/>
      <c r="AV46" s="3595"/>
      <c r="AW46" s="3595"/>
      <c r="AX46" s="3595"/>
      <c r="AY46" s="3595"/>
      <c r="AZ46" s="3595"/>
      <c r="BA46" s="3595"/>
      <c r="BB46" s="3595"/>
      <c r="BC46" s="3595"/>
      <c r="BD46" s="3595"/>
      <c r="BE46" s="3595"/>
      <c r="BF46" s="3972"/>
      <c r="BG46" s="3972"/>
      <c r="BH46" s="3975"/>
      <c r="BI46" s="3191"/>
      <c r="BJ46" s="3191"/>
      <c r="BK46" s="3969"/>
      <c r="BL46" s="3969"/>
      <c r="BM46" s="3970"/>
      <c r="BN46" s="3970"/>
      <c r="BO46" s="3191"/>
    </row>
    <row r="47" spans="1:67" ht="69.75" customHeight="1" x14ac:dyDescent="0.25">
      <c r="A47" s="3979"/>
      <c r="B47" s="3980"/>
      <c r="C47" s="3983"/>
      <c r="D47" s="3983"/>
      <c r="E47" s="3289"/>
      <c r="F47" s="3289"/>
      <c r="G47" s="202">
        <v>28</v>
      </c>
      <c r="H47" s="170" t="s">
        <v>252</v>
      </c>
      <c r="I47" s="170" t="s">
        <v>253</v>
      </c>
      <c r="J47" s="171">
        <v>2</v>
      </c>
      <c r="K47" s="227">
        <v>0</v>
      </c>
      <c r="L47" s="3986"/>
      <c r="M47" s="3986"/>
      <c r="N47" s="3920"/>
      <c r="O47" s="230">
        <f>T47/P43</f>
        <v>2.5288024039514342E-2</v>
      </c>
      <c r="P47" s="3526"/>
      <c r="Q47" s="3920"/>
      <c r="R47" s="170" t="s">
        <v>254</v>
      </c>
      <c r="S47" s="170" t="s">
        <v>255</v>
      </c>
      <c r="T47" s="204">
        <v>33258000</v>
      </c>
      <c r="U47" s="204">
        <v>5020000</v>
      </c>
      <c r="V47" s="204">
        <v>0</v>
      </c>
      <c r="W47" s="205">
        <v>20</v>
      </c>
      <c r="X47" s="206" t="s">
        <v>143</v>
      </c>
      <c r="Y47" s="3596"/>
      <c r="Z47" s="3596"/>
      <c r="AA47" s="3596"/>
      <c r="AB47" s="3596"/>
      <c r="AC47" s="3596"/>
      <c r="AD47" s="3596"/>
      <c r="AE47" s="3596"/>
      <c r="AF47" s="3596"/>
      <c r="AG47" s="3596"/>
      <c r="AH47" s="3596"/>
      <c r="AI47" s="3596"/>
      <c r="AJ47" s="3596"/>
      <c r="AK47" s="3596"/>
      <c r="AL47" s="3596"/>
      <c r="AM47" s="3596"/>
      <c r="AN47" s="3596"/>
      <c r="AO47" s="3596"/>
      <c r="AP47" s="3596"/>
      <c r="AQ47" s="3596"/>
      <c r="AR47" s="3596"/>
      <c r="AS47" s="3596"/>
      <c r="AT47" s="3596"/>
      <c r="AU47" s="3596"/>
      <c r="AV47" s="3596"/>
      <c r="AW47" s="3596"/>
      <c r="AX47" s="3596"/>
      <c r="AY47" s="3596"/>
      <c r="AZ47" s="3596"/>
      <c r="BA47" s="3596"/>
      <c r="BB47" s="3596"/>
      <c r="BC47" s="3596"/>
      <c r="BD47" s="3596"/>
      <c r="BE47" s="3596"/>
      <c r="BF47" s="3973"/>
      <c r="BG47" s="3973"/>
      <c r="BH47" s="3976"/>
      <c r="BI47" s="3192"/>
      <c r="BJ47" s="3192"/>
      <c r="BK47" s="3407"/>
      <c r="BL47" s="3407"/>
      <c r="BM47" s="3953"/>
      <c r="BN47" s="3953"/>
      <c r="BO47" s="3192"/>
    </row>
    <row r="48" spans="1:67" ht="72" customHeight="1" x14ac:dyDescent="0.25">
      <c r="A48" s="3979"/>
      <c r="B48" s="3980"/>
      <c r="C48" s="3983"/>
      <c r="D48" s="3983"/>
      <c r="E48" s="3289"/>
      <c r="F48" s="3289"/>
      <c r="G48" s="3594">
        <v>29</v>
      </c>
      <c r="H48" s="3919" t="s">
        <v>256</v>
      </c>
      <c r="I48" s="3919" t="s">
        <v>257</v>
      </c>
      <c r="J48" s="3985">
        <v>1</v>
      </c>
      <c r="K48" s="3987">
        <v>0</v>
      </c>
      <c r="L48" s="3985" t="s">
        <v>258</v>
      </c>
      <c r="M48" s="3985" t="s">
        <v>259</v>
      </c>
      <c r="N48" s="3919" t="s">
        <v>260</v>
      </c>
      <c r="O48" s="3991">
        <f>+(T48+T49)/P48</f>
        <v>1</v>
      </c>
      <c r="P48" s="3524">
        <v>22170000</v>
      </c>
      <c r="Q48" s="3919" t="s">
        <v>261</v>
      </c>
      <c r="R48" s="3993" t="s">
        <v>262</v>
      </c>
      <c r="S48" s="170" t="s">
        <v>263</v>
      </c>
      <c r="T48" s="204">
        <v>15000000</v>
      </c>
      <c r="U48" s="204">
        <v>13800000</v>
      </c>
      <c r="V48" s="204">
        <v>3360000</v>
      </c>
      <c r="W48" s="205">
        <v>20</v>
      </c>
      <c r="X48" s="169" t="s">
        <v>181</v>
      </c>
      <c r="Y48" s="3594">
        <v>210</v>
      </c>
      <c r="Z48" s="3594"/>
      <c r="AA48" s="3594">
        <v>140</v>
      </c>
      <c r="AB48" s="3594"/>
      <c r="AC48" s="3594"/>
      <c r="AD48" s="3594"/>
      <c r="AE48" s="3594"/>
      <c r="AF48" s="3594"/>
      <c r="AG48" s="3594"/>
      <c r="AH48" s="3594"/>
      <c r="AI48" s="3594"/>
      <c r="AJ48" s="3594"/>
      <c r="AK48" s="3594"/>
      <c r="AL48" s="3594"/>
      <c r="AM48" s="3594"/>
      <c r="AN48" s="3594"/>
      <c r="AO48" s="3594"/>
      <c r="AP48" s="3594"/>
      <c r="AQ48" s="3594"/>
      <c r="AR48" s="3594"/>
      <c r="AS48" s="3594"/>
      <c r="AT48" s="3594"/>
      <c r="AU48" s="3594"/>
      <c r="AV48" s="3594"/>
      <c r="AW48" s="3594"/>
      <c r="AX48" s="3594"/>
      <c r="AY48" s="3594"/>
      <c r="AZ48" s="3594"/>
      <c r="BA48" s="3594"/>
      <c r="BB48" s="3594"/>
      <c r="BC48" s="3594">
        <f>Y48+AA48</f>
        <v>350</v>
      </c>
      <c r="BD48" s="3594"/>
      <c r="BE48" s="3594">
        <v>1</v>
      </c>
      <c r="BF48" s="3971">
        <v>13800000</v>
      </c>
      <c r="BG48" s="3971">
        <v>3360000</v>
      </c>
      <c r="BH48" s="3974">
        <f>+BG48/BF48</f>
        <v>0.24347826086956523</v>
      </c>
      <c r="BI48" s="3594" t="s">
        <v>143</v>
      </c>
      <c r="BJ48" s="3190" t="s">
        <v>242</v>
      </c>
      <c r="BK48" s="3406">
        <v>43466</v>
      </c>
      <c r="BL48" s="3406">
        <v>43482</v>
      </c>
      <c r="BM48" s="3952">
        <v>43830</v>
      </c>
      <c r="BN48" s="3952">
        <v>43646</v>
      </c>
      <c r="BO48" s="3202" t="s">
        <v>242</v>
      </c>
    </row>
    <row r="49" spans="1:67" ht="51" customHeight="1" x14ac:dyDescent="0.25">
      <c r="A49" s="3979"/>
      <c r="B49" s="3980"/>
      <c r="C49" s="3983"/>
      <c r="D49" s="3983"/>
      <c r="E49" s="3289"/>
      <c r="F49" s="3289"/>
      <c r="G49" s="3596"/>
      <c r="H49" s="3920"/>
      <c r="I49" s="3920"/>
      <c r="J49" s="3986"/>
      <c r="K49" s="3988"/>
      <c r="L49" s="3986"/>
      <c r="M49" s="3986"/>
      <c r="N49" s="3920"/>
      <c r="O49" s="3992"/>
      <c r="P49" s="3526"/>
      <c r="Q49" s="3920"/>
      <c r="R49" s="3994"/>
      <c r="S49" s="170" t="s">
        <v>264</v>
      </c>
      <c r="T49" s="204">
        <v>7170000</v>
      </c>
      <c r="U49" s="204">
        <v>0</v>
      </c>
      <c r="V49" s="204">
        <v>0</v>
      </c>
      <c r="W49" s="205">
        <v>20</v>
      </c>
      <c r="X49" s="169" t="s">
        <v>181</v>
      </c>
      <c r="Y49" s="3596"/>
      <c r="Z49" s="3596"/>
      <c r="AA49" s="3596"/>
      <c r="AB49" s="3596"/>
      <c r="AC49" s="3596"/>
      <c r="AD49" s="3596"/>
      <c r="AE49" s="3596"/>
      <c r="AF49" s="3596"/>
      <c r="AG49" s="3596"/>
      <c r="AH49" s="3596"/>
      <c r="AI49" s="3596"/>
      <c r="AJ49" s="3596"/>
      <c r="AK49" s="3596"/>
      <c r="AL49" s="3596"/>
      <c r="AM49" s="3596"/>
      <c r="AN49" s="3596"/>
      <c r="AO49" s="3596"/>
      <c r="AP49" s="3596"/>
      <c r="AQ49" s="3596"/>
      <c r="AR49" s="3596"/>
      <c r="AS49" s="3596"/>
      <c r="AT49" s="3596"/>
      <c r="AU49" s="3596"/>
      <c r="AV49" s="3596"/>
      <c r="AW49" s="3596"/>
      <c r="AX49" s="3596"/>
      <c r="AY49" s="3596"/>
      <c r="AZ49" s="3596"/>
      <c r="BA49" s="3596"/>
      <c r="BB49" s="3596"/>
      <c r="BC49" s="3596"/>
      <c r="BD49" s="3596"/>
      <c r="BE49" s="3596"/>
      <c r="BF49" s="3973"/>
      <c r="BG49" s="3973"/>
      <c r="BH49" s="3976"/>
      <c r="BI49" s="3596"/>
      <c r="BJ49" s="3192"/>
      <c r="BK49" s="3407"/>
      <c r="BL49" s="3407"/>
      <c r="BM49" s="3953"/>
      <c r="BN49" s="3953"/>
      <c r="BO49" s="3204"/>
    </row>
    <row r="50" spans="1:67" ht="85.5" x14ac:dyDescent="0.25">
      <c r="A50" s="3979"/>
      <c r="B50" s="3980"/>
      <c r="C50" s="3983"/>
      <c r="D50" s="3983"/>
      <c r="E50" s="3289"/>
      <c r="F50" s="3289"/>
      <c r="G50" s="3289">
        <v>30</v>
      </c>
      <c r="H50" s="3919" t="s">
        <v>265</v>
      </c>
      <c r="I50" s="3919" t="s">
        <v>266</v>
      </c>
      <c r="J50" s="3985">
        <v>1</v>
      </c>
      <c r="K50" s="3995">
        <v>0.15</v>
      </c>
      <c r="L50" s="3985" t="s">
        <v>267</v>
      </c>
      <c r="M50" s="3985" t="s">
        <v>268</v>
      </c>
      <c r="N50" s="3919" t="s">
        <v>269</v>
      </c>
      <c r="O50" s="3991">
        <f>T50/P50</f>
        <v>1</v>
      </c>
      <c r="P50" s="3524">
        <v>22169913</v>
      </c>
      <c r="Q50" s="3919" t="s">
        <v>270</v>
      </c>
      <c r="R50" s="177" t="s">
        <v>271</v>
      </c>
      <c r="S50" s="3179" t="s">
        <v>272</v>
      </c>
      <c r="T50" s="3998">
        <v>22169913</v>
      </c>
      <c r="U50" s="3998">
        <v>21120553</v>
      </c>
      <c r="V50" s="3998">
        <v>3360200</v>
      </c>
      <c r="W50" s="4001">
        <v>20</v>
      </c>
      <c r="X50" s="3202" t="s">
        <v>181</v>
      </c>
      <c r="Y50" s="3594">
        <v>8</v>
      </c>
      <c r="Z50" s="3594"/>
      <c r="AA50" s="3594">
        <v>12</v>
      </c>
      <c r="AB50" s="3594"/>
      <c r="AC50" s="3594"/>
      <c r="AD50" s="3594"/>
      <c r="AE50" s="3594"/>
      <c r="AF50" s="3594"/>
      <c r="AG50" s="3594"/>
      <c r="AH50" s="3594"/>
      <c r="AI50" s="3594"/>
      <c r="AJ50" s="3594"/>
      <c r="AK50" s="3594"/>
      <c r="AL50" s="3594"/>
      <c r="AM50" s="3594"/>
      <c r="AN50" s="3594"/>
      <c r="AO50" s="3594"/>
      <c r="AP50" s="3594"/>
      <c r="AQ50" s="3594"/>
      <c r="AR50" s="3594"/>
      <c r="AS50" s="3594"/>
      <c r="AT50" s="3594"/>
      <c r="AU50" s="3594"/>
      <c r="AV50" s="3594"/>
      <c r="AW50" s="3594"/>
      <c r="AX50" s="3594"/>
      <c r="AY50" s="3594"/>
      <c r="AZ50" s="3594"/>
      <c r="BA50" s="3594"/>
      <c r="BB50" s="3594"/>
      <c r="BC50" s="3594">
        <f>+Y50+AA50</f>
        <v>20</v>
      </c>
      <c r="BD50" s="3594"/>
      <c r="BE50" s="3594">
        <v>3</v>
      </c>
      <c r="BF50" s="3971">
        <v>21120553</v>
      </c>
      <c r="BG50" s="3971">
        <v>3360200</v>
      </c>
      <c r="BH50" s="3974">
        <f>+BG50/BF50</f>
        <v>0.15909621305843649</v>
      </c>
      <c r="BI50" s="3594" t="s">
        <v>143</v>
      </c>
      <c r="BJ50" s="3190" t="s">
        <v>144</v>
      </c>
      <c r="BK50" s="3406">
        <v>43466</v>
      </c>
      <c r="BL50" s="3406">
        <v>43515</v>
      </c>
      <c r="BM50" s="3952">
        <v>43830</v>
      </c>
      <c r="BN50" s="3952">
        <v>43652</v>
      </c>
      <c r="BO50" s="3190" t="s">
        <v>144</v>
      </c>
    </row>
    <row r="51" spans="1:67" ht="71.25" x14ac:dyDescent="0.25">
      <c r="A51" s="3979"/>
      <c r="B51" s="3980"/>
      <c r="C51" s="3983"/>
      <c r="D51" s="3983"/>
      <c r="E51" s="3289"/>
      <c r="F51" s="3289"/>
      <c r="G51" s="3594"/>
      <c r="H51" s="3929"/>
      <c r="I51" s="3929"/>
      <c r="J51" s="3990"/>
      <c r="K51" s="3996"/>
      <c r="L51" s="3990"/>
      <c r="M51" s="3990"/>
      <c r="N51" s="3929"/>
      <c r="O51" s="3997"/>
      <c r="P51" s="3525"/>
      <c r="Q51" s="3929"/>
      <c r="R51" s="177" t="s">
        <v>273</v>
      </c>
      <c r="S51" s="3180"/>
      <c r="T51" s="3999"/>
      <c r="U51" s="4000"/>
      <c r="V51" s="4000"/>
      <c r="W51" s="4002"/>
      <c r="X51" s="3204"/>
      <c r="Y51" s="3595"/>
      <c r="Z51" s="3595"/>
      <c r="AA51" s="3595"/>
      <c r="AB51" s="3595"/>
      <c r="AC51" s="3595"/>
      <c r="AD51" s="3595"/>
      <c r="AE51" s="3595"/>
      <c r="AF51" s="3595"/>
      <c r="AG51" s="3595"/>
      <c r="AH51" s="3595"/>
      <c r="AI51" s="3595"/>
      <c r="AJ51" s="3595"/>
      <c r="AK51" s="3595"/>
      <c r="AL51" s="3595"/>
      <c r="AM51" s="3595"/>
      <c r="AN51" s="3595"/>
      <c r="AO51" s="3595"/>
      <c r="AP51" s="3595"/>
      <c r="AQ51" s="3595"/>
      <c r="AR51" s="3595"/>
      <c r="AS51" s="3595"/>
      <c r="AT51" s="3595"/>
      <c r="AU51" s="3595"/>
      <c r="AV51" s="3595"/>
      <c r="AW51" s="3595"/>
      <c r="AX51" s="3595"/>
      <c r="AY51" s="3595"/>
      <c r="AZ51" s="3595"/>
      <c r="BA51" s="3595"/>
      <c r="BB51" s="3595"/>
      <c r="BC51" s="3595"/>
      <c r="BD51" s="3595"/>
      <c r="BE51" s="3596"/>
      <c r="BF51" s="3973"/>
      <c r="BG51" s="3973"/>
      <c r="BH51" s="3976"/>
      <c r="BI51" s="3596"/>
      <c r="BJ51" s="3192"/>
      <c r="BK51" s="3407"/>
      <c r="BL51" s="3407"/>
      <c r="BM51" s="3953"/>
      <c r="BN51" s="3953"/>
      <c r="BO51" s="3192"/>
    </row>
    <row r="52" spans="1:67" ht="15.75" thickBot="1" x14ac:dyDescent="0.3">
      <c r="A52" s="3979"/>
      <c r="B52" s="3980"/>
      <c r="C52" s="3983"/>
      <c r="D52" s="3983"/>
      <c r="E52" s="208">
        <v>6</v>
      </c>
      <c r="F52" s="285" t="s">
        <v>274</v>
      </c>
      <c r="G52" s="151"/>
      <c r="H52" s="151"/>
      <c r="I52" s="151"/>
      <c r="J52" s="151"/>
      <c r="K52" s="286"/>
      <c r="L52" s="151"/>
      <c r="M52" s="151"/>
      <c r="N52" s="151"/>
      <c r="O52" s="151"/>
      <c r="P52" s="287"/>
      <c r="Q52" s="151"/>
      <c r="R52" s="151"/>
      <c r="S52" s="151"/>
      <c r="T52" s="287"/>
      <c r="U52" s="287"/>
      <c r="V52" s="287"/>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8"/>
      <c r="BG52" s="158"/>
      <c r="BH52" s="151"/>
      <c r="BI52" s="151"/>
      <c r="BJ52" s="151"/>
      <c r="BK52" s="151"/>
      <c r="BL52" s="151"/>
      <c r="BM52" s="151"/>
      <c r="BN52" s="151"/>
      <c r="BO52" s="288"/>
    </row>
    <row r="53" spans="1:67" ht="185.25" x14ac:dyDescent="0.25">
      <c r="A53" s="3979"/>
      <c r="B53" s="3980"/>
      <c r="C53" s="3983"/>
      <c r="D53" s="3983"/>
      <c r="E53" s="3289"/>
      <c r="F53" s="3289"/>
      <c r="G53" s="202">
        <v>31</v>
      </c>
      <c r="H53" s="170" t="s">
        <v>275</v>
      </c>
      <c r="I53" s="289" t="s">
        <v>276</v>
      </c>
      <c r="J53" s="290">
        <v>4</v>
      </c>
      <c r="K53" s="172">
        <v>1</v>
      </c>
      <c r="L53" s="3985" t="s">
        <v>277</v>
      </c>
      <c r="M53" s="3985" t="s">
        <v>278</v>
      </c>
      <c r="N53" s="3919" t="s">
        <v>279</v>
      </c>
      <c r="O53" s="230">
        <f>T53/P53</f>
        <v>0.34666567637771994</v>
      </c>
      <c r="P53" s="3524">
        <v>475120588</v>
      </c>
      <c r="Q53" s="3966" t="s">
        <v>280</v>
      </c>
      <c r="R53" s="170" t="s">
        <v>281</v>
      </c>
      <c r="S53" s="170" t="s">
        <v>282</v>
      </c>
      <c r="T53" s="204">
        <v>164708000</v>
      </c>
      <c r="U53" s="204">
        <v>33300000</v>
      </c>
      <c r="V53" s="204">
        <v>13320000</v>
      </c>
      <c r="W53" s="205">
        <v>20</v>
      </c>
      <c r="X53" s="169" t="s">
        <v>181</v>
      </c>
      <c r="Y53" s="4003">
        <v>170</v>
      </c>
      <c r="Z53" s="4003">
        <v>60</v>
      </c>
      <c r="AA53" s="4003">
        <v>200</v>
      </c>
      <c r="AB53" s="4003">
        <v>52</v>
      </c>
      <c r="AC53" s="4003"/>
      <c r="AD53" s="4003"/>
      <c r="AE53" s="4003"/>
      <c r="AF53" s="4003"/>
      <c r="AG53" s="4003">
        <v>300</v>
      </c>
      <c r="AH53" s="4003"/>
      <c r="AI53" s="4003">
        <v>10</v>
      </c>
      <c r="AJ53" s="4003"/>
      <c r="AK53" s="4003"/>
      <c r="AL53" s="4003"/>
      <c r="AM53" s="4003"/>
      <c r="AN53" s="4003"/>
      <c r="AO53" s="4003"/>
      <c r="AP53" s="4003"/>
      <c r="AQ53" s="4003"/>
      <c r="AR53" s="4003"/>
      <c r="AS53" s="4003"/>
      <c r="AT53" s="4003"/>
      <c r="AU53" s="4003"/>
      <c r="AV53" s="4003"/>
      <c r="AW53" s="4003"/>
      <c r="AX53" s="4003"/>
      <c r="AY53" s="4003"/>
      <c r="AZ53" s="4003"/>
      <c r="BA53" s="4003"/>
      <c r="BB53" s="4003"/>
      <c r="BC53" s="4010">
        <f>Y53+AA53</f>
        <v>370</v>
      </c>
      <c r="BD53" s="4013"/>
      <c r="BE53" s="3594">
        <v>25</v>
      </c>
      <c r="BF53" s="3971">
        <v>155662000</v>
      </c>
      <c r="BG53" s="3971">
        <v>40720000</v>
      </c>
      <c r="BH53" s="3974">
        <f>+BG53/BF53</f>
        <v>0.26159242461230103</v>
      </c>
      <c r="BI53" s="3594" t="s">
        <v>143</v>
      </c>
      <c r="BJ53" s="3190" t="s">
        <v>242</v>
      </c>
      <c r="BK53" s="3406">
        <v>43466</v>
      </c>
      <c r="BL53" s="3406">
        <v>43482</v>
      </c>
      <c r="BM53" s="3952">
        <v>43830</v>
      </c>
      <c r="BN53" s="3952">
        <v>43642</v>
      </c>
      <c r="BO53" s="3202" t="s">
        <v>242</v>
      </c>
    </row>
    <row r="54" spans="1:67" ht="242.25" x14ac:dyDescent="0.25">
      <c r="A54" s="3979"/>
      <c r="B54" s="3980"/>
      <c r="C54" s="3983"/>
      <c r="D54" s="3983"/>
      <c r="E54" s="3289"/>
      <c r="F54" s="3289"/>
      <c r="G54" s="202">
        <v>32</v>
      </c>
      <c r="H54" s="170" t="s">
        <v>283</v>
      </c>
      <c r="I54" s="289" t="s">
        <v>284</v>
      </c>
      <c r="J54" s="233">
        <v>25</v>
      </c>
      <c r="K54" s="172">
        <v>5</v>
      </c>
      <c r="L54" s="3990"/>
      <c r="M54" s="3990"/>
      <c r="N54" s="3929"/>
      <c r="O54" s="230">
        <f>T54/P53</f>
        <v>0.52705059373263785</v>
      </c>
      <c r="P54" s="3525"/>
      <c r="Q54" s="3967"/>
      <c r="R54" s="170" t="s">
        <v>285</v>
      </c>
      <c r="S54" s="170" t="s">
        <v>286</v>
      </c>
      <c r="T54" s="204">
        <v>250412588</v>
      </c>
      <c r="U54" s="204">
        <v>92512000</v>
      </c>
      <c r="V54" s="204">
        <v>25400000</v>
      </c>
      <c r="W54" s="205">
        <v>20</v>
      </c>
      <c r="X54" s="169" t="s">
        <v>181</v>
      </c>
      <c r="Y54" s="4004"/>
      <c r="Z54" s="4004"/>
      <c r="AA54" s="4004"/>
      <c r="AB54" s="4004"/>
      <c r="AC54" s="4004"/>
      <c r="AD54" s="4004"/>
      <c r="AE54" s="4004"/>
      <c r="AF54" s="4004"/>
      <c r="AG54" s="4004"/>
      <c r="AH54" s="4004"/>
      <c r="AI54" s="4004"/>
      <c r="AJ54" s="4004"/>
      <c r="AK54" s="4004"/>
      <c r="AL54" s="4004"/>
      <c r="AM54" s="4004"/>
      <c r="AN54" s="4004"/>
      <c r="AO54" s="4004"/>
      <c r="AP54" s="4004"/>
      <c r="AQ54" s="4004"/>
      <c r="AR54" s="4004"/>
      <c r="AS54" s="4004"/>
      <c r="AT54" s="4004"/>
      <c r="AU54" s="4004"/>
      <c r="AV54" s="4004"/>
      <c r="AW54" s="4004"/>
      <c r="AX54" s="4004"/>
      <c r="AY54" s="4004"/>
      <c r="AZ54" s="4004"/>
      <c r="BA54" s="4004"/>
      <c r="BB54" s="4004"/>
      <c r="BC54" s="4011"/>
      <c r="BD54" s="4014"/>
      <c r="BE54" s="3595"/>
      <c r="BF54" s="3972"/>
      <c r="BG54" s="3972"/>
      <c r="BH54" s="3975"/>
      <c r="BI54" s="3595"/>
      <c r="BJ54" s="3191"/>
      <c r="BK54" s="3969"/>
      <c r="BL54" s="3969"/>
      <c r="BM54" s="3970"/>
      <c r="BN54" s="3970"/>
      <c r="BO54" s="3203"/>
    </row>
    <row r="55" spans="1:67" ht="56.25" customHeight="1" x14ac:dyDescent="0.25">
      <c r="A55" s="3979"/>
      <c r="B55" s="3980"/>
      <c r="C55" s="3983"/>
      <c r="D55" s="3983"/>
      <c r="E55" s="3289"/>
      <c r="F55" s="3289"/>
      <c r="G55" s="202">
        <v>33</v>
      </c>
      <c r="H55" s="170" t="s">
        <v>287</v>
      </c>
      <c r="I55" s="289" t="s">
        <v>288</v>
      </c>
      <c r="J55" s="233">
        <v>200</v>
      </c>
      <c r="K55" s="172">
        <v>3</v>
      </c>
      <c r="L55" s="3990"/>
      <c r="M55" s="3990"/>
      <c r="N55" s="3929"/>
      <c r="O55" s="230">
        <f>T55/P53</f>
        <v>6.314186494482113E-2</v>
      </c>
      <c r="P55" s="3525"/>
      <c r="Q55" s="3967"/>
      <c r="R55" s="3919" t="s">
        <v>289</v>
      </c>
      <c r="S55" s="170" t="s">
        <v>290</v>
      </c>
      <c r="T55" s="204">
        <v>30000000</v>
      </c>
      <c r="U55" s="204">
        <v>13125000</v>
      </c>
      <c r="V55" s="204">
        <v>2000000</v>
      </c>
      <c r="W55" s="205">
        <v>20</v>
      </c>
      <c r="X55" s="169" t="s">
        <v>181</v>
      </c>
      <c r="Y55" s="4004"/>
      <c r="Z55" s="4004"/>
      <c r="AA55" s="4004"/>
      <c r="AB55" s="4004"/>
      <c r="AC55" s="4004"/>
      <c r="AD55" s="4004"/>
      <c r="AE55" s="4004"/>
      <c r="AF55" s="4004"/>
      <c r="AG55" s="4004"/>
      <c r="AH55" s="4004"/>
      <c r="AI55" s="4004"/>
      <c r="AJ55" s="4004"/>
      <c r="AK55" s="4004"/>
      <c r="AL55" s="4004"/>
      <c r="AM55" s="4004"/>
      <c r="AN55" s="4004"/>
      <c r="AO55" s="4004"/>
      <c r="AP55" s="4004"/>
      <c r="AQ55" s="4004"/>
      <c r="AR55" s="4004"/>
      <c r="AS55" s="4004"/>
      <c r="AT55" s="4004"/>
      <c r="AU55" s="4004"/>
      <c r="AV55" s="4004"/>
      <c r="AW55" s="4004"/>
      <c r="AX55" s="4004"/>
      <c r="AY55" s="4004"/>
      <c r="AZ55" s="4004"/>
      <c r="BA55" s="4004"/>
      <c r="BB55" s="4004"/>
      <c r="BC55" s="4011"/>
      <c r="BD55" s="4014"/>
      <c r="BE55" s="3595"/>
      <c r="BF55" s="3972"/>
      <c r="BG55" s="3972"/>
      <c r="BH55" s="3975"/>
      <c r="BI55" s="3595"/>
      <c r="BJ55" s="3191"/>
      <c r="BK55" s="3969"/>
      <c r="BL55" s="3969"/>
      <c r="BM55" s="3970"/>
      <c r="BN55" s="3970"/>
      <c r="BO55" s="3203"/>
    </row>
    <row r="56" spans="1:67" ht="90.75" customHeight="1" thickBot="1" x14ac:dyDescent="0.3">
      <c r="A56" s="3979"/>
      <c r="B56" s="3980"/>
      <c r="C56" s="3983"/>
      <c r="D56" s="3983"/>
      <c r="E56" s="3289"/>
      <c r="F56" s="3289"/>
      <c r="G56" s="235">
        <v>34</v>
      </c>
      <c r="H56" s="177" t="s">
        <v>291</v>
      </c>
      <c r="I56" s="291" t="s">
        <v>292</v>
      </c>
      <c r="J56" s="292">
        <v>600</v>
      </c>
      <c r="K56" s="172">
        <v>102</v>
      </c>
      <c r="L56" s="3990"/>
      <c r="M56" s="3990"/>
      <c r="N56" s="3920"/>
      <c r="O56" s="237">
        <f>T56/P53</f>
        <v>6.314186494482113E-2</v>
      </c>
      <c r="P56" s="3525"/>
      <c r="Q56" s="3968"/>
      <c r="R56" s="3920"/>
      <c r="S56" s="177" t="s">
        <v>293</v>
      </c>
      <c r="T56" s="293">
        <v>30000000</v>
      </c>
      <c r="U56" s="293">
        <v>16725000</v>
      </c>
      <c r="V56" s="293">
        <v>0</v>
      </c>
      <c r="W56" s="239">
        <v>20</v>
      </c>
      <c r="X56" s="165" t="s">
        <v>181</v>
      </c>
      <c r="Y56" s="4005"/>
      <c r="Z56" s="4005"/>
      <c r="AA56" s="4005"/>
      <c r="AB56" s="4005"/>
      <c r="AC56" s="4005"/>
      <c r="AD56" s="4005"/>
      <c r="AE56" s="4005"/>
      <c r="AF56" s="4005"/>
      <c r="AG56" s="4005"/>
      <c r="AH56" s="4005"/>
      <c r="AI56" s="4005"/>
      <c r="AJ56" s="4005"/>
      <c r="AK56" s="4005"/>
      <c r="AL56" s="4005"/>
      <c r="AM56" s="4005"/>
      <c r="AN56" s="4005"/>
      <c r="AO56" s="4005"/>
      <c r="AP56" s="4005"/>
      <c r="AQ56" s="4005"/>
      <c r="AR56" s="4005"/>
      <c r="AS56" s="4005"/>
      <c r="AT56" s="4005"/>
      <c r="AU56" s="4005"/>
      <c r="AV56" s="4005"/>
      <c r="AW56" s="4005"/>
      <c r="AX56" s="4005"/>
      <c r="AY56" s="4005"/>
      <c r="AZ56" s="4005"/>
      <c r="BA56" s="4005"/>
      <c r="BB56" s="4005"/>
      <c r="BC56" s="4012"/>
      <c r="BD56" s="4015"/>
      <c r="BE56" s="3596"/>
      <c r="BF56" s="3973"/>
      <c r="BG56" s="3973"/>
      <c r="BH56" s="3976"/>
      <c r="BI56" s="3596"/>
      <c r="BJ56" s="3192"/>
      <c r="BK56" s="3407"/>
      <c r="BL56" s="3407"/>
      <c r="BM56" s="3953"/>
      <c r="BN56" s="3953"/>
      <c r="BO56" s="3204"/>
    </row>
    <row r="57" spans="1:67" ht="15" x14ac:dyDescent="0.25">
      <c r="A57" s="3979"/>
      <c r="B57" s="3980"/>
      <c r="C57" s="3983"/>
      <c r="D57" s="3983"/>
      <c r="E57" s="208">
        <v>7</v>
      </c>
      <c r="F57" s="209" t="s">
        <v>294</v>
      </c>
      <c r="G57" s="208"/>
      <c r="H57" s="294"/>
      <c r="I57" s="151"/>
      <c r="J57" s="278"/>
      <c r="K57" s="295"/>
      <c r="L57" s="278"/>
      <c r="M57" s="277"/>
      <c r="N57" s="296"/>
      <c r="O57" s="273"/>
      <c r="P57" s="274"/>
      <c r="Q57" s="272"/>
      <c r="R57" s="272"/>
      <c r="S57" s="272"/>
      <c r="T57" s="275"/>
      <c r="U57" s="275"/>
      <c r="V57" s="275"/>
      <c r="W57" s="276"/>
      <c r="X57" s="277"/>
      <c r="Y57" s="278"/>
      <c r="Z57" s="278"/>
      <c r="AA57" s="278"/>
      <c r="AB57" s="278"/>
      <c r="AC57" s="278"/>
      <c r="AD57" s="278"/>
      <c r="AE57" s="278"/>
      <c r="AF57" s="278"/>
      <c r="AG57" s="278"/>
      <c r="AH57" s="278"/>
      <c r="AI57" s="278"/>
      <c r="AJ57" s="278"/>
      <c r="AK57" s="278"/>
      <c r="AL57" s="278"/>
      <c r="AM57" s="278"/>
      <c r="AN57" s="278"/>
      <c r="AO57" s="278"/>
      <c r="AP57" s="278"/>
      <c r="AQ57" s="278"/>
      <c r="AR57" s="278"/>
      <c r="AS57" s="278"/>
      <c r="AT57" s="278"/>
      <c r="AU57" s="278"/>
      <c r="AV57" s="278"/>
      <c r="AW57" s="278"/>
      <c r="AX57" s="278"/>
      <c r="AY57" s="278"/>
      <c r="AZ57" s="278"/>
      <c r="BA57" s="278"/>
      <c r="BB57" s="278"/>
      <c r="BC57" s="278"/>
      <c r="BD57" s="278"/>
      <c r="BE57" s="278"/>
      <c r="BF57" s="279"/>
      <c r="BG57" s="279"/>
      <c r="BH57" s="297"/>
      <c r="BI57" s="278"/>
      <c r="BJ57" s="278"/>
      <c r="BK57" s="280"/>
      <c r="BL57" s="280"/>
      <c r="BM57" s="281"/>
      <c r="BN57" s="281"/>
      <c r="BO57" s="282"/>
    </row>
    <row r="58" spans="1:67" ht="57.75" customHeight="1" x14ac:dyDescent="0.25">
      <c r="A58" s="3979"/>
      <c r="B58" s="3980"/>
      <c r="C58" s="3983"/>
      <c r="D58" s="3983"/>
      <c r="E58" s="4006"/>
      <c r="F58" s="4007"/>
      <c r="G58" s="202">
        <v>35</v>
      </c>
      <c r="H58" s="170" t="s">
        <v>295</v>
      </c>
      <c r="I58" s="170" t="s">
        <v>245</v>
      </c>
      <c r="J58" s="298">
        <v>5</v>
      </c>
      <c r="K58" s="227">
        <v>1</v>
      </c>
      <c r="L58" s="3985" t="s">
        <v>296</v>
      </c>
      <c r="M58" s="3985" t="s">
        <v>297</v>
      </c>
      <c r="N58" s="3919" t="s">
        <v>298</v>
      </c>
      <c r="O58" s="230">
        <f>T58/P58</f>
        <v>0.35199821675250459</v>
      </c>
      <c r="P58" s="3524">
        <v>197966912</v>
      </c>
      <c r="Q58" s="3966" t="s">
        <v>299</v>
      </c>
      <c r="R58" s="299" t="s">
        <v>300</v>
      </c>
      <c r="S58" s="299" t="s">
        <v>301</v>
      </c>
      <c r="T58" s="232">
        <v>69684000</v>
      </c>
      <c r="U58" s="232">
        <v>4200000</v>
      </c>
      <c r="V58" s="232">
        <v>0</v>
      </c>
      <c r="W58" s="205">
        <v>20</v>
      </c>
      <c r="X58" s="169" t="s">
        <v>181</v>
      </c>
      <c r="Y58" s="3594">
        <v>100</v>
      </c>
      <c r="Z58" s="3594"/>
      <c r="AA58" s="3594">
        <v>60</v>
      </c>
      <c r="AB58" s="3594"/>
      <c r="AC58" s="3594"/>
      <c r="AD58" s="3594"/>
      <c r="AE58" s="3594"/>
      <c r="AF58" s="3594"/>
      <c r="AG58" s="3594">
        <v>110</v>
      </c>
      <c r="AH58" s="3594"/>
      <c r="AI58" s="3594">
        <v>50</v>
      </c>
      <c r="AJ58" s="3594"/>
      <c r="AK58" s="3594"/>
      <c r="AL58" s="3594"/>
      <c r="AM58" s="3594"/>
      <c r="AN58" s="3594"/>
      <c r="AO58" s="3594"/>
      <c r="AP58" s="3594"/>
      <c r="AQ58" s="3594"/>
      <c r="AR58" s="3594"/>
      <c r="AS58" s="3594"/>
      <c r="AT58" s="3594"/>
      <c r="AU58" s="3594"/>
      <c r="AV58" s="3594"/>
      <c r="AW58" s="3594"/>
      <c r="AX58" s="3594"/>
      <c r="AY58" s="3594"/>
      <c r="AZ58" s="3594"/>
      <c r="BA58" s="3594"/>
      <c r="BB58" s="3594"/>
      <c r="BC58" s="3594">
        <f>Y58+AA58</f>
        <v>160</v>
      </c>
      <c r="BD58" s="3594"/>
      <c r="BE58" s="3594">
        <v>7</v>
      </c>
      <c r="BF58" s="3971">
        <v>80800000</v>
      </c>
      <c r="BG58" s="3971">
        <v>6720000</v>
      </c>
      <c r="BH58" s="3974">
        <f>+BG58/BF58</f>
        <v>8.3168316831683173E-2</v>
      </c>
      <c r="BI58" s="3594" t="s">
        <v>143</v>
      </c>
      <c r="BJ58" s="3190" t="s">
        <v>302</v>
      </c>
      <c r="BK58" s="3594" t="s">
        <v>303</v>
      </c>
      <c r="BL58" s="3406">
        <v>43489</v>
      </c>
      <c r="BM58" s="3952">
        <v>43830</v>
      </c>
      <c r="BN58" s="3952">
        <v>43646</v>
      </c>
      <c r="BO58" s="3190" t="s">
        <v>302</v>
      </c>
    </row>
    <row r="59" spans="1:67" ht="71.25" x14ac:dyDescent="0.25">
      <c r="A59" s="3981"/>
      <c r="B59" s="3982"/>
      <c r="C59" s="3983"/>
      <c r="D59" s="3983"/>
      <c r="E59" s="4008"/>
      <c r="F59" s="4009"/>
      <c r="G59" s="202">
        <v>37</v>
      </c>
      <c r="H59" s="170" t="s">
        <v>304</v>
      </c>
      <c r="I59" s="170" t="s">
        <v>305</v>
      </c>
      <c r="J59" s="300">
        <v>1</v>
      </c>
      <c r="K59" s="227">
        <v>0.15</v>
      </c>
      <c r="L59" s="3986"/>
      <c r="M59" s="3986"/>
      <c r="N59" s="3920"/>
      <c r="O59" s="230">
        <f>T59/P58</f>
        <v>0.64800178324749547</v>
      </c>
      <c r="P59" s="3526"/>
      <c r="Q59" s="3968"/>
      <c r="R59" s="170" t="s">
        <v>306</v>
      </c>
      <c r="S59" s="299" t="s">
        <v>307</v>
      </c>
      <c r="T59" s="232">
        <v>128282912</v>
      </c>
      <c r="U59" s="232">
        <v>76600000</v>
      </c>
      <c r="V59" s="232">
        <v>6720000</v>
      </c>
      <c r="W59" s="205">
        <v>20</v>
      </c>
      <c r="X59" s="169" t="s">
        <v>181</v>
      </c>
      <c r="Y59" s="3596"/>
      <c r="Z59" s="3596"/>
      <c r="AA59" s="3596"/>
      <c r="AB59" s="3596"/>
      <c r="AC59" s="3596"/>
      <c r="AD59" s="3596"/>
      <c r="AE59" s="3596"/>
      <c r="AF59" s="3596"/>
      <c r="AG59" s="3596"/>
      <c r="AH59" s="3596"/>
      <c r="AI59" s="3596"/>
      <c r="AJ59" s="3596"/>
      <c r="AK59" s="3596"/>
      <c r="AL59" s="3596"/>
      <c r="AM59" s="3596"/>
      <c r="AN59" s="3596"/>
      <c r="AO59" s="3596"/>
      <c r="AP59" s="3596"/>
      <c r="AQ59" s="3596"/>
      <c r="AR59" s="3596"/>
      <c r="AS59" s="3596"/>
      <c r="AT59" s="3596"/>
      <c r="AU59" s="3596"/>
      <c r="AV59" s="3596"/>
      <c r="AW59" s="3596"/>
      <c r="AX59" s="3596"/>
      <c r="AY59" s="3596"/>
      <c r="AZ59" s="3596"/>
      <c r="BA59" s="3596"/>
      <c r="BB59" s="3596"/>
      <c r="BC59" s="3596"/>
      <c r="BD59" s="3596"/>
      <c r="BE59" s="3596"/>
      <c r="BF59" s="3973"/>
      <c r="BG59" s="3973"/>
      <c r="BH59" s="3976"/>
      <c r="BI59" s="3596"/>
      <c r="BJ59" s="3192"/>
      <c r="BK59" s="3596"/>
      <c r="BL59" s="3407"/>
      <c r="BM59" s="3953"/>
      <c r="BN59" s="3953"/>
      <c r="BO59" s="3192"/>
    </row>
    <row r="60" spans="1:67" ht="15" x14ac:dyDescent="0.25">
      <c r="A60" s="301">
        <v>3</v>
      </c>
      <c r="B60" s="241" t="s">
        <v>308</v>
      </c>
      <c r="C60" s="302"/>
      <c r="D60" s="302"/>
      <c r="E60" s="303"/>
      <c r="F60" s="304"/>
      <c r="G60" s="305"/>
      <c r="H60" s="306"/>
      <c r="I60" s="304"/>
      <c r="J60" s="304"/>
      <c r="K60" s="307"/>
      <c r="L60" s="304"/>
      <c r="M60" s="305"/>
      <c r="N60" s="306"/>
      <c r="O60" s="308"/>
      <c r="P60" s="309"/>
      <c r="Q60" s="306"/>
      <c r="R60" s="306"/>
      <c r="S60" s="306"/>
      <c r="T60" s="310"/>
      <c r="U60" s="310"/>
      <c r="V60" s="310"/>
      <c r="W60" s="311"/>
      <c r="X60" s="305"/>
      <c r="Y60" s="304"/>
      <c r="Z60" s="304"/>
      <c r="AA60" s="304"/>
      <c r="AB60" s="304"/>
      <c r="AC60" s="304"/>
      <c r="AD60" s="304"/>
      <c r="AE60" s="304"/>
      <c r="AF60" s="304"/>
      <c r="AG60" s="304"/>
      <c r="AH60" s="304"/>
      <c r="AI60" s="304"/>
      <c r="AJ60" s="304"/>
      <c r="AK60" s="304"/>
      <c r="AL60" s="304"/>
      <c r="AM60" s="304"/>
      <c r="AN60" s="304"/>
      <c r="AO60" s="304"/>
      <c r="AP60" s="304"/>
      <c r="AQ60" s="304"/>
      <c r="AR60" s="304"/>
      <c r="AS60" s="304"/>
      <c r="AT60" s="304"/>
      <c r="AU60" s="304"/>
      <c r="AV60" s="304"/>
      <c r="AW60" s="304"/>
      <c r="AX60" s="304"/>
      <c r="AY60" s="304"/>
      <c r="AZ60" s="304"/>
      <c r="BA60" s="304"/>
      <c r="BB60" s="304"/>
      <c r="BC60" s="304"/>
      <c r="BD60" s="304"/>
      <c r="BE60" s="304"/>
      <c r="BF60" s="312"/>
      <c r="BG60" s="312"/>
      <c r="BH60" s="313"/>
      <c r="BI60" s="304"/>
      <c r="BJ60" s="304"/>
      <c r="BK60" s="314"/>
      <c r="BL60" s="314"/>
      <c r="BM60" s="315"/>
      <c r="BN60" s="315"/>
      <c r="BO60" s="316"/>
    </row>
    <row r="61" spans="1:67" ht="15" x14ac:dyDescent="0.25">
      <c r="A61" s="3983"/>
      <c r="B61" s="3983"/>
      <c r="C61" s="317">
        <v>11</v>
      </c>
      <c r="D61" s="318" t="s">
        <v>309</v>
      </c>
      <c r="E61" s="319"/>
      <c r="F61" s="318"/>
      <c r="G61" s="320"/>
      <c r="H61" s="321"/>
      <c r="I61" s="322"/>
      <c r="J61" s="322"/>
      <c r="K61" s="323"/>
      <c r="L61" s="322"/>
      <c r="M61" s="320"/>
      <c r="N61" s="321"/>
      <c r="O61" s="324"/>
      <c r="P61" s="325"/>
      <c r="Q61" s="321"/>
      <c r="R61" s="321"/>
      <c r="S61" s="321"/>
      <c r="T61" s="326"/>
      <c r="U61" s="326"/>
      <c r="V61" s="326"/>
      <c r="W61" s="327"/>
      <c r="X61" s="320"/>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c r="BA61" s="322"/>
      <c r="BB61" s="322"/>
      <c r="BC61" s="322"/>
      <c r="BD61" s="322"/>
      <c r="BE61" s="322"/>
      <c r="BF61" s="328"/>
      <c r="BG61" s="328"/>
      <c r="BH61" s="329"/>
      <c r="BI61" s="322"/>
      <c r="BJ61" s="322"/>
      <c r="BK61" s="330"/>
      <c r="BL61" s="330"/>
      <c r="BM61" s="331"/>
      <c r="BN61" s="331"/>
      <c r="BO61" s="332"/>
    </row>
    <row r="62" spans="1:67" ht="15" x14ac:dyDescent="0.25">
      <c r="A62" s="3983"/>
      <c r="B62" s="3983"/>
      <c r="C62" s="3289"/>
      <c r="D62" s="3289"/>
      <c r="E62" s="285">
        <v>34</v>
      </c>
      <c r="F62" s="151" t="s">
        <v>310</v>
      </c>
      <c r="G62" s="277"/>
      <c r="H62" s="272"/>
      <c r="I62" s="278"/>
      <c r="J62" s="278"/>
      <c r="K62" s="295"/>
      <c r="L62" s="278"/>
      <c r="M62" s="277"/>
      <c r="N62" s="272"/>
      <c r="O62" s="273"/>
      <c r="P62" s="274"/>
      <c r="Q62" s="272"/>
      <c r="R62" s="272"/>
      <c r="S62" s="272"/>
      <c r="T62" s="333"/>
      <c r="U62" s="333"/>
      <c r="V62" s="333"/>
      <c r="W62" s="276"/>
      <c r="X62" s="277"/>
      <c r="Y62" s="278"/>
      <c r="Z62" s="278"/>
      <c r="AA62" s="278"/>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8"/>
      <c r="AY62" s="278"/>
      <c r="AZ62" s="278"/>
      <c r="BA62" s="278"/>
      <c r="BB62" s="278"/>
      <c r="BC62" s="278"/>
      <c r="BD62" s="278"/>
      <c r="BE62" s="278"/>
      <c r="BF62" s="279"/>
      <c r="BG62" s="279"/>
      <c r="BH62" s="297"/>
      <c r="BI62" s="278"/>
      <c r="BJ62" s="278"/>
      <c r="BK62" s="280"/>
      <c r="BL62" s="280"/>
      <c r="BM62" s="281"/>
      <c r="BN62" s="281"/>
      <c r="BO62" s="282"/>
    </row>
    <row r="63" spans="1:67" ht="80.25" customHeight="1" x14ac:dyDescent="0.25">
      <c r="A63" s="3983"/>
      <c r="B63" s="3983"/>
      <c r="C63" s="3289"/>
      <c r="D63" s="3289"/>
      <c r="E63" s="3289"/>
      <c r="F63" s="3289"/>
      <c r="G63" s="202">
        <v>122</v>
      </c>
      <c r="H63" s="170" t="s">
        <v>311</v>
      </c>
      <c r="I63" s="291" t="s">
        <v>312</v>
      </c>
      <c r="J63" s="300">
        <v>1</v>
      </c>
      <c r="K63" s="227">
        <v>0.3</v>
      </c>
      <c r="L63" s="3985" t="s">
        <v>313</v>
      </c>
      <c r="M63" s="3985" t="s">
        <v>314</v>
      </c>
      <c r="N63" s="3919" t="s">
        <v>315</v>
      </c>
      <c r="O63" s="230">
        <f>T63/P63</f>
        <v>0.24602162822149062</v>
      </c>
      <c r="P63" s="3524">
        <v>168373530</v>
      </c>
      <c r="Q63" s="3966" t="s">
        <v>316</v>
      </c>
      <c r="R63" s="291" t="s">
        <v>317</v>
      </c>
      <c r="S63" s="170" t="s">
        <v>318</v>
      </c>
      <c r="T63" s="204">
        <v>41423530</v>
      </c>
      <c r="U63" s="204">
        <v>36925000</v>
      </c>
      <c r="V63" s="204">
        <v>12315000</v>
      </c>
      <c r="W63" s="205">
        <v>20</v>
      </c>
      <c r="X63" s="169" t="s">
        <v>181</v>
      </c>
      <c r="Y63" s="3594">
        <v>4608</v>
      </c>
      <c r="Z63" s="3594"/>
      <c r="AA63" s="3594">
        <v>4992</v>
      </c>
      <c r="AB63" s="3594"/>
      <c r="AC63" s="3594">
        <v>2714</v>
      </c>
      <c r="AD63" s="3594"/>
      <c r="AE63" s="3594">
        <v>765</v>
      </c>
      <c r="AF63" s="3594"/>
      <c r="AG63" s="3594">
        <v>5500</v>
      </c>
      <c r="AH63" s="3594"/>
      <c r="AI63" s="3594">
        <v>594</v>
      </c>
      <c r="AJ63" s="3594"/>
      <c r="AK63" s="3594">
        <v>40</v>
      </c>
      <c r="AL63" s="3594"/>
      <c r="AM63" s="3594">
        <v>50</v>
      </c>
      <c r="AN63" s="3594"/>
      <c r="AO63" s="3594"/>
      <c r="AP63" s="3594"/>
      <c r="AQ63" s="3594"/>
      <c r="AR63" s="3594"/>
      <c r="AS63" s="3594"/>
      <c r="AT63" s="3594"/>
      <c r="AU63" s="3594"/>
      <c r="AV63" s="3594"/>
      <c r="AW63" s="3594">
        <v>100</v>
      </c>
      <c r="AX63" s="3594"/>
      <c r="AY63" s="3594">
        <v>10</v>
      </c>
      <c r="AZ63" s="3594"/>
      <c r="BA63" s="3594"/>
      <c r="BB63" s="3594"/>
      <c r="BC63" s="3594">
        <f>Y63+AA63</f>
        <v>9600</v>
      </c>
      <c r="BD63" s="3594"/>
      <c r="BE63" s="3594">
        <v>29</v>
      </c>
      <c r="BF63" s="3971">
        <v>93704426</v>
      </c>
      <c r="BG63" s="3971">
        <v>12435000</v>
      </c>
      <c r="BH63" s="2755">
        <f>+BG63/BF63</f>
        <v>0.1327045106706059</v>
      </c>
      <c r="BI63" s="3594" t="s">
        <v>143</v>
      </c>
      <c r="BJ63" s="3190" t="s">
        <v>217</v>
      </c>
      <c r="BK63" s="3406">
        <v>43466</v>
      </c>
      <c r="BL63" s="3406">
        <v>43482</v>
      </c>
      <c r="BM63" s="3952">
        <v>43830</v>
      </c>
      <c r="BN63" s="3952">
        <v>43642</v>
      </c>
      <c r="BO63" s="3190" t="s">
        <v>217</v>
      </c>
    </row>
    <row r="64" spans="1:67" ht="99.75" customHeight="1" x14ac:dyDescent="0.25">
      <c r="A64" s="3983"/>
      <c r="B64" s="3983"/>
      <c r="C64" s="3289"/>
      <c r="D64" s="3289"/>
      <c r="E64" s="3289"/>
      <c r="F64" s="3289"/>
      <c r="G64" s="202">
        <v>123</v>
      </c>
      <c r="H64" s="170" t="s">
        <v>319</v>
      </c>
      <c r="I64" s="289" t="s">
        <v>320</v>
      </c>
      <c r="J64" s="168">
        <v>4</v>
      </c>
      <c r="K64" s="172">
        <v>0.3</v>
      </c>
      <c r="L64" s="3990"/>
      <c r="M64" s="3990"/>
      <c r="N64" s="3929"/>
      <c r="O64" s="230">
        <f>T64/P63</f>
        <v>0.11284434079394784</v>
      </c>
      <c r="P64" s="3525"/>
      <c r="Q64" s="3967"/>
      <c r="R64" s="289" t="s">
        <v>321</v>
      </c>
      <c r="S64" s="170" t="s">
        <v>322</v>
      </c>
      <c r="T64" s="204">
        <v>19000000</v>
      </c>
      <c r="U64" s="204">
        <v>6875000</v>
      </c>
      <c r="V64" s="204">
        <v>0</v>
      </c>
      <c r="W64" s="205">
        <v>20</v>
      </c>
      <c r="X64" s="169" t="s">
        <v>181</v>
      </c>
      <c r="Y64" s="3595"/>
      <c r="Z64" s="3595"/>
      <c r="AA64" s="3595"/>
      <c r="AB64" s="3595"/>
      <c r="AC64" s="3595"/>
      <c r="AD64" s="3595"/>
      <c r="AE64" s="3595"/>
      <c r="AF64" s="3595"/>
      <c r="AG64" s="3595"/>
      <c r="AH64" s="3595"/>
      <c r="AI64" s="3595"/>
      <c r="AJ64" s="3595"/>
      <c r="AK64" s="3595"/>
      <c r="AL64" s="3595"/>
      <c r="AM64" s="3595"/>
      <c r="AN64" s="3595"/>
      <c r="AO64" s="3595"/>
      <c r="AP64" s="3595"/>
      <c r="AQ64" s="3595"/>
      <c r="AR64" s="3595"/>
      <c r="AS64" s="3595"/>
      <c r="AT64" s="3595"/>
      <c r="AU64" s="3595"/>
      <c r="AV64" s="3595"/>
      <c r="AW64" s="3595"/>
      <c r="AX64" s="3595"/>
      <c r="AY64" s="3595"/>
      <c r="AZ64" s="3595"/>
      <c r="BA64" s="3595"/>
      <c r="BB64" s="3595"/>
      <c r="BC64" s="3595"/>
      <c r="BD64" s="3595"/>
      <c r="BE64" s="3595"/>
      <c r="BF64" s="3972"/>
      <c r="BG64" s="3972"/>
      <c r="BH64" s="2787"/>
      <c r="BI64" s="3595"/>
      <c r="BJ64" s="3191"/>
      <c r="BK64" s="3969"/>
      <c r="BL64" s="3969"/>
      <c r="BM64" s="3970"/>
      <c r="BN64" s="3970"/>
      <c r="BO64" s="3191"/>
    </row>
    <row r="65" spans="1:67" ht="90" customHeight="1" x14ac:dyDescent="0.25">
      <c r="A65" s="3983"/>
      <c r="B65" s="3983"/>
      <c r="C65" s="3289"/>
      <c r="D65" s="3289"/>
      <c r="E65" s="3289"/>
      <c r="F65" s="3289"/>
      <c r="G65" s="202">
        <v>124</v>
      </c>
      <c r="H65" s="170" t="s">
        <v>323</v>
      </c>
      <c r="I65" s="291" t="s">
        <v>324</v>
      </c>
      <c r="J65" s="168">
        <v>150</v>
      </c>
      <c r="K65" s="172">
        <v>40.799999999999997</v>
      </c>
      <c r="L65" s="3990"/>
      <c r="M65" s="3990"/>
      <c r="N65" s="3929"/>
      <c r="O65" s="230">
        <f>T65/P63</f>
        <v>0.26340244811639929</v>
      </c>
      <c r="P65" s="3525"/>
      <c r="Q65" s="3967"/>
      <c r="R65" s="291" t="s">
        <v>321</v>
      </c>
      <c r="S65" s="170" t="s">
        <v>325</v>
      </c>
      <c r="T65" s="204">
        <v>44350000</v>
      </c>
      <c r="U65" s="204">
        <v>15700000</v>
      </c>
      <c r="V65" s="204">
        <v>120000</v>
      </c>
      <c r="W65" s="205">
        <v>20</v>
      </c>
      <c r="X65" s="169" t="s">
        <v>181</v>
      </c>
      <c r="Y65" s="3595"/>
      <c r="Z65" s="3595"/>
      <c r="AA65" s="3595"/>
      <c r="AB65" s="3595"/>
      <c r="AC65" s="3595"/>
      <c r="AD65" s="3595"/>
      <c r="AE65" s="3595"/>
      <c r="AF65" s="3595"/>
      <c r="AG65" s="3595"/>
      <c r="AH65" s="3595"/>
      <c r="AI65" s="3595"/>
      <c r="AJ65" s="3595"/>
      <c r="AK65" s="3595"/>
      <c r="AL65" s="3595"/>
      <c r="AM65" s="3595"/>
      <c r="AN65" s="3595"/>
      <c r="AO65" s="3595"/>
      <c r="AP65" s="3595"/>
      <c r="AQ65" s="3595"/>
      <c r="AR65" s="3595"/>
      <c r="AS65" s="3595"/>
      <c r="AT65" s="3595"/>
      <c r="AU65" s="3595"/>
      <c r="AV65" s="3595"/>
      <c r="AW65" s="3595"/>
      <c r="AX65" s="3595"/>
      <c r="AY65" s="3595"/>
      <c r="AZ65" s="3595"/>
      <c r="BA65" s="3595"/>
      <c r="BB65" s="3595"/>
      <c r="BC65" s="3595"/>
      <c r="BD65" s="3595"/>
      <c r="BE65" s="3595"/>
      <c r="BF65" s="3972"/>
      <c r="BG65" s="3972"/>
      <c r="BH65" s="2787"/>
      <c r="BI65" s="3595"/>
      <c r="BJ65" s="3191"/>
      <c r="BK65" s="3969"/>
      <c r="BL65" s="3969"/>
      <c r="BM65" s="3970"/>
      <c r="BN65" s="3970"/>
      <c r="BO65" s="3191"/>
    </row>
    <row r="66" spans="1:67" ht="75" x14ac:dyDescent="0.25">
      <c r="A66" s="3983"/>
      <c r="B66" s="3983"/>
      <c r="C66" s="3289"/>
      <c r="D66" s="3289"/>
      <c r="E66" s="3289"/>
      <c r="F66" s="3289"/>
      <c r="G66" s="202">
        <v>125</v>
      </c>
      <c r="H66" s="170" t="s">
        <v>326</v>
      </c>
      <c r="I66" s="289" t="s">
        <v>327</v>
      </c>
      <c r="J66" s="205">
        <v>760</v>
      </c>
      <c r="K66" s="334">
        <v>154</v>
      </c>
      <c r="L66" s="3990"/>
      <c r="M66" s="3990"/>
      <c r="N66" s="3929"/>
      <c r="O66" s="230">
        <f>T66/P63</f>
        <v>0.2619176541585842</v>
      </c>
      <c r="P66" s="3525"/>
      <c r="Q66" s="3967"/>
      <c r="R66" s="289" t="s">
        <v>328</v>
      </c>
      <c r="S66" s="170" t="s">
        <v>329</v>
      </c>
      <c r="T66" s="204">
        <v>44100000</v>
      </c>
      <c r="U66" s="204">
        <v>23433333</v>
      </c>
      <c r="V66" s="204">
        <v>0</v>
      </c>
      <c r="W66" s="205">
        <v>20</v>
      </c>
      <c r="X66" s="169" t="s">
        <v>181</v>
      </c>
      <c r="Y66" s="3595"/>
      <c r="Z66" s="3595"/>
      <c r="AA66" s="3595"/>
      <c r="AB66" s="3595"/>
      <c r="AC66" s="3595"/>
      <c r="AD66" s="3595"/>
      <c r="AE66" s="3595"/>
      <c r="AF66" s="3595"/>
      <c r="AG66" s="3595"/>
      <c r="AH66" s="3595"/>
      <c r="AI66" s="3595"/>
      <c r="AJ66" s="3595"/>
      <c r="AK66" s="3595"/>
      <c r="AL66" s="3595"/>
      <c r="AM66" s="3595"/>
      <c r="AN66" s="3595"/>
      <c r="AO66" s="3595"/>
      <c r="AP66" s="3595"/>
      <c r="AQ66" s="3595"/>
      <c r="AR66" s="3595"/>
      <c r="AS66" s="3595"/>
      <c r="AT66" s="3595"/>
      <c r="AU66" s="3595"/>
      <c r="AV66" s="3595"/>
      <c r="AW66" s="3595"/>
      <c r="AX66" s="3595"/>
      <c r="AY66" s="3595"/>
      <c r="AZ66" s="3595"/>
      <c r="BA66" s="3595"/>
      <c r="BB66" s="3595"/>
      <c r="BC66" s="3595"/>
      <c r="BD66" s="3595"/>
      <c r="BE66" s="3595"/>
      <c r="BF66" s="3972"/>
      <c r="BG66" s="3972"/>
      <c r="BH66" s="2787"/>
      <c r="BI66" s="3595"/>
      <c r="BJ66" s="3191"/>
      <c r="BK66" s="3969"/>
      <c r="BL66" s="3969"/>
      <c r="BM66" s="3970"/>
      <c r="BN66" s="3970"/>
      <c r="BO66" s="3191"/>
    </row>
    <row r="67" spans="1:67" ht="90" x14ac:dyDescent="0.25">
      <c r="A67" s="3983"/>
      <c r="B67" s="3983"/>
      <c r="C67" s="3289"/>
      <c r="D67" s="3289"/>
      <c r="E67" s="3289"/>
      <c r="F67" s="3289"/>
      <c r="G67" s="202">
        <v>126</v>
      </c>
      <c r="H67" s="170" t="s">
        <v>330</v>
      </c>
      <c r="I67" s="289" t="s">
        <v>331</v>
      </c>
      <c r="J67" s="168">
        <v>3326</v>
      </c>
      <c r="K67" s="335">
        <v>156</v>
      </c>
      <c r="L67" s="3986"/>
      <c r="M67" s="3986"/>
      <c r="N67" s="3920"/>
      <c r="O67" s="230">
        <f>T67/P63</f>
        <v>0.11581392870957805</v>
      </c>
      <c r="P67" s="3526"/>
      <c r="Q67" s="3968"/>
      <c r="R67" s="289" t="s">
        <v>332</v>
      </c>
      <c r="S67" s="170" t="s">
        <v>333</v>
      </c>
      <c r="T67" s="204">
        <v>19500000</v>
      </c>
      <c r="U67" s="204">
        <v>10771093</v>
      </c>
      <c r="V67" s="204"/>
      <c r="W67" s="205">
        <v>20</v>
      </c>
      <c r="X67" s="169" t="s">
        <v>181</v>
      </c>
      <c r="Y67" s="3596"/>
      <c r="Z67" s="3596"/>
      <c r="AA67" s="3596"/>
      <c r="AB67" s="3596"/>
      <c r="AC67" s="3596"/>
      <c r="AD67" s="3596"/>
      <c r="AE67" s="3596"/>
      <c r="AF67" s="3596"/>
      <c r="AG67" s="3596"/>
      <c r="AH67" s="3596"/>
      <c r="AI67" s="3596"/>
      <c r="AJ67" s="3596"/>
      <c r="AK67" s="3596"/>
      <c r="AL67" s="3596"/>
      <c r="AM67" s="3596"/>
      <c r="AN67" s="3596"/>
      <c r="AO67" s="3596"/>
      <c r="AP67" s="3596"/>
      <c r="AQ67" s="3596"/>
      <c r="AR67" s="3596"/>
      <c r="AS67" s="3596"/>
      <c r="AT67" s="3596"/>
      <c r="AU67" s="3596"/>
      <c r="AV67" s="3596"/>
      <c r="AW67" s="3596"/>
      <c r="AX67" s="3596"/>
      <c r="AY67" s="3596"/>
      <c r="AZ67" s="3596"/>
      <c r="BA67" s="3596"/>
      <c r="BB67" s="3596"/>
      <c r="BC67" s="3596"/>
      <c r="BD67" s="3596"/>
      <c r="BE67" s="3596"/>
      <c r="BF67" s="3973"/>
      <c r="BG67" s="3973"/>
      <c r="BH67" s="2756"/>
      <c r="BI67" s="3596"/>
      <c r="BJ67" s="3192"/>
      <c r="BK67" s="3407"/>
      <c r="BL67" s="3407"/>
      <c r="BM67" s="3953"/>
      <c r="BN67" s="3953"/>
      <c r="BO67" s="3192"/>
    </row>
    <row r="68" spans="1:67" ht="32.25" customHeight="1" x14ac:dyDescent="0.25">
      <c r="A68" s="336" t="s">
        <v>334</v>
      </c>
      <c r="B68" s="101"/>
      <c r="C68" s="101"/>
      <c r="D68" s="101"/>
      <c r="E68" s="101"/>
      <c r="F68" s="101"/>
      <c r="G68" s="337"/>
      <c r="H68" s="338"/>
      <c r="I68" s="339"/>
      <c r="J68" s="340"/>
      <c r="K68" s="340"/>
      <c r="L68" s="340"/>
      <c r="M68" s="341"/>
      <c r="N68" s="338"/>
      <c r="O68" s="342"/>
      <c r="P68" s="343">
        <f>SUM(P8:P67)</f>
        <v>3738794686</v>
      </c>
      <c r="Q68" s="338"/>
      <c r="R68" s="344"/>
      <c r="S68" s="338"/>
      <c r="T68" s="343">
        <f>SUM(T8:T67)</f>
        <v>3738794686</v>
      </c>
      <c r="U68" s="343">
        <f t="shared" ref="U68:V68" si="0">SUM(U8:U67)</f>
        <v>820600059</v>
      </c>
      <c r="V68" s="343">
        <f t="shared" si="0"/>
        <v>152489600</v>
      </c>
      <c r="W68" s="345"/>
      <c r="X68" s="34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346">
        <f>SUM(BF13:BF67)</f>
        <v>820600059</v>
      </c>
      <c r="BG68" s="346">
        <f>SUM(BG13:BG67)</f>
        <v>152489600</v>
      </c>
      <c r="BH68" s="101"/>
      <c r="BI68" s="101"/>
      <c r="BJ68" s="101"/>
      <c r="BK68" s="347"/>
      <c r="BL68" s="347"/>
      <c r="BM68" s="348"/>
      <c r="BN68" s="348"/>
      <c r="BO68" s="349"/>
    </row>
    <row r="69" spans="1:67" ht="15" x14ac:dyDescent="0.25">
      <c r="I69" s="352"/>
      <c r="J69" s="103"/>
      <c r="K69" s="103"/>
      <c r="T69" s="103"/>
      <c r="U69" s="103"/>
      <c r="V69" s="103"/>
    </row>
    <row r="70" spans="1:67" ht="15" x14ac:dyDescent="0.25">
      <c r="I70" s="352"/>
    </row>
    <row r="71" spans="1:67" ht="15" x14ac:dyDescent="0.25">
      <c r="I71" s="352"/>
      <c r="AA71" s="361"/>
      <c r="AB71" s="361"/>
      <c r="AC71" s="361"/>
      <c r="AD71" s="361"/>
      <c r="AE71" s="362"/>
      <c r="AF71" s="362"/>
      <c r="AG71" s="363"/>
      <c r="AH71" s="363"/>
      <c r="AI71" s="363"/>
      <c r="AJ71" s="363"/>
      <c r="AK71" s="363"/>
      <c r="AL71" s="363"/>
      <c r="AM71" s="363"/>
      <c r="AN71" s="363"/>
      <c r="AO71" s="363"/>
      <c r="AP71" s="363"/>
    </row>
    <row r="72" spans="1:67" ht="15" x14ac:dyDescent="0.25">
      <c r="I72" s="352"/>
    </row>
    <row r="77" spans="1:67" ht="15" x14ac:dyDescent="0.25">
      <c r="H77" s="4016" t="s">
        <v>335</v>
      </c>
      <c r="I77" s="4016"/>
      <c r="J77" s="4016"/>
      <c r="K77" s="364"/>
    </row>
    <row r="78" spans="1:67" x14ac:dyDescent="0.25">
      <c r="H78" s="102" t="s">
        <v>336</v>
      </c>
    </row>
  </sheetData>
  <sheetProtection password="F3F4" sheet="1" objects="1" scenarios="1"/>
  <mergeCells count="647">
    <mergeCell ref="BO63:BO67"/>
    <mergeCell ref="H77:J77"/>
    <mergeCell ref="BI63:BI67"/>
    <mergeCell ref="BJ63:BJ67"/>
    <mergeCell ref="BK63:BK67"/>
    <mergeCell ref="BL63:BL67"/>
    <mergeCell ref="BM63:BM67"/>
    <mergeCell ref="BN63:BN67"/>
    <mergeCell ref="BC63:BC67"/>
    <mergeCell ref="BD63:BD67"/>
    <mergeCell ref="BE63:BE67"/>
    <mergeCell ref="BF63:BF67"/>
    <mergeCell ref="BG63:BG67"/>
    <mergeCell ref="BH63:BH67"/>
    <mergeCell ref="AW63:AW67"/>
    <mergeCell ref="AX63:AX67"/>
    <mergeCell ref="AY63:AY67"/>
    <mergeCell ref="AZ63:AZ67"/>
    <mergeCell ref="BA63:BA67"/>
    <mergeCell ref="BB63:BB67"/>
    <mergeCell ref="AQ63:AQ67"/>
    <mergeCell ref="AR63:AR67"/>
    <mergeCell ref="AS63:AS67"/>
    <mergeCell ref="AT63:AT67"/>
    <mergeCell ref="AU63:AU67"/>
    <mergeCell ref="AV63:AV67"/>
    <mergeCell ref="AK63:AK67"/>
    <mergeCell ref="AL63:AL67"/>
    <mergeCell ref="AM63:AM67"/>
    <mergeCell ref="AN63:AN67"/>
    <mergeCell ref="AO63:AO67"/>
    <mergeCell ref="AP63:AP67"/>
    <mergeCell ref="AE63:AE67"/>
    <mergeCell ref="AF63:AF67"/>
    <mergeCell ref="AG63:AG67"/>
    <mergeCell ref="AH63:AH67"/>
    <mergeCell ref="AI63:AI67"/>
    <mergeCell ref="AJ63:AJ67"/>
    <mergeCell ref="Y63:Y67"/>
    <mergeCell ref="Z63:Z67"/>
    <mergeCell ref="AA63:AA67"/>
    <mergeCell ref="AB63:AB67"/>
    <mergeCell ref="AC63:AC67"/>
    <mergeCell ref="AD63:AD67"/>
    <mergeCell ref="BN58:BN59"/>
    <mergeCell ref="BO58:BO59"/>
    <mergeCell ref="A61:B67"/>
    <mergeCell ref="C62:D67"/>
    <mergeCell ref="E63:F67"/>
    <mergeCell ref="L63:L67"/>
    <mergeCell ref="M63:M67"/>
    <mergeCell ref="N63:N67"/>
    <mergeCell ref="P63:P67"/>
    <mergeCell ref="Q63:Q67"/>
    <mergeCell ref="BH58:BH59"/>
    <mergeCell ref="BI58:BI59"/>
    <mergeCell ref="BJ58:BJ59"/>
    <mergeCell ref="BK58:BK59"/>
    <mergeCell ref="BL58:BL59"/>
    <mergeCell ref="BM58:BM59"/>
    <mergeCell ref="BB58:BB59"/>
    <mergeCell ref="BC58:BC59"/>
    <mergeCell ref="BD58:BD59"/>
    <mergeCell ref="BE58:BE59"/>
    <mergeCell ref="BF58:BF59"/>
    <mergeCell ref="BG58:BG59"/>
    <mergeCell ref="AV58:AV59"/>
    <mergeCell ref="AW58:AW59"/>
    <mergeCell ref="AX58:AX59"/>
    <mergeCell ref="AY58:AY59"/>
    <mergeCell ref="AZ58:AZ59"/>
    <mergeCell ref="BA58:BA59"/>
    <mergeCell ref="AP58:AP59"/>
    <mergeCell ref="AQ58:AQ59"/>
    <mergeCell ref="AR58:AR59"/>
    <mergeCell ref="AS58:AS59"/>
    <mergeCell ref="AT58:AT59"/>
    <mergeCell ref="AU58:AU59"/>
    <mergeCell ref="AJ58:AJ59"/>
    <mergeCell ref="AK58:AK59"/>
    <mergeCell ref="AL58:AL59"/>
    <mergeCell ref="AM58:AM59"/>
    <mergeCell ref="AN58:AN59"/>
    <mergeCell ref="AO58:AO59"/>
    <mergeCell ref="AD58:AD59"/>
    <mergeCell ref="AE58:AE59"/>
    <mergeCell ref="AF58:AF59"/>
    <mergeCell ref="AG58:AG59"/>
    <mergeCell ref="AH58:AH59"/>
    <mergeCell ref="AI58:AI59"/>
    <mergeCell ref="Q58:Q59"/>
    <mergeCell ref="Y58:Y59"/>
    <mergeCell ref="Z58:Z59"/>
    <mergeCell ref="AA58:AA59"/>
    <mergeCell ref="AB58:AB59"/>
    <mergeCell ref="AC58:AC59"/>
    <mergeCell ref="BL53:BL56"/>
    <mergeCell ref="BM53:BM56"/>
    <mergeCell ref="BN53:BN56"/>
    <mergeCell ref="BO53:BO56"/>
    <mergeCell ref="R55:R56"/>
    <mergeCell ref="E58:F59"/>
    <mergeCell ref="L58:L59"/>
    <mergeCell ref="M58:M59"/>
    <mergeCell ref="N58:N59"/>
    <mergeCell ref="P58:P59"/>
    <mergeCell ref="BF53:BF56"/>
    <mergeCell ref="BG53:BG56"/>
    <mergeCell ref="BH53:BH56"/>
    <mergeCell ref="BI53:BI56"/>
    <mergeCell ref="BJ53:BJ56"/>
    <mergeCell ref="BK53:BK56"/>
    <mergeCell ref="AZ53:AZ56"/>
    <mergeCell ref="BA53:BA56"/>
    <mergeCell ref="BB53:BB56"/>
    <mergeCell ref="BC53:BC56"/>
    <mergeCell ref="BD53:BD56"/>
    <mergeCell ref="BE53:BE56"/>
    <mergeCell ref="AT53:AT56"/>
    <mergeCell ref="AU53:AU56"/>
    <mergeCell ref="AV53:AV56"/>
    <mergeCell ref="AW53:AW56"/>
    <mergeCell ref="AX53:AX56"/>
    <mergeCell ref="AY53:AY56"/>
    <mergeCell ref="AN53:AN56"/>
    <mergeCell ref="AO53:AO56"/>
    <mergeCell ref="AP53:AP56"/>
    <mergeCell ref="AQ53:AQ56"/>
    <mergeCell ref="AR53:AR56"/>
    <mergeCell ref="AS53:AS56"/>
    <mergeCell ref="AH53:AH56"/>
    <mergeCell ref="AI53:AI56"/>
    <mergeCell ref="AJ53:AJ56"/>
    <mergeCell ref="AK53:AK56"/>
    <mergeCell ref="AL53:AL56"/>
    <mergeCell ref="AM53:AM56"/>
    <mergeCell ref="AB53:AB56"/>
    <mergeCell ref="AC53:AC56"/>
    <mergeCell ref="AD53:AD56"/>
    <mergeCell ref="AE53:AE56"/>
    <mergeCell ref="AF53:AF56"/>
    <mergeCell ref="AG53:AG56"/>
    <mergeCell ref="BO50:BO51"/>
    <mergeCell ref="E53:F56"/>
    <mergeCell ref="L53:L56"/>
    <mergeCell ref="M53:M56"/>
    <mergeCell ref="N53:N56"/>
    <mergeCell ref="P53:P56"/>
    <mergeCell ref="Q53:Q56"/>
    <mergeCell ref="Y53:Y56"/>
    <mergeCell ref="Z53:Z56"/>
    <mergeCell ref="AA53:AA56"/>
    <mergeCell ref="BI50:BI51"/>
    <mergeCell ref="BJ50:BJ51"/>
    <mergeCell ref="BK50:BK51"/>
    <mergeCell ref="BL50:BL51"/>
    <mergeCell ref="BM50:BM51"/>
    <mergeCell ref="BN50:BN51"/>
    <mergeCell ref="BC50:BC51"/>
    <mergeCell ref="BD50:BD51"/>
    <mergeCell ref="BE50:BE51"/>
    <mergeCell ref="BF50:BF51"/>
    <mergeCell ref="BG50:BG51"/>
    <mergeCell ref="BH50:BH51"/>
    <mergeCell ref="AW50:AW51"/>
    <mergeCell ref="AX50:AX51"/>
    <mergeCell ref="AY50:AY51"/>
    <mergeCell ref="AZ50:AZ51"/>
    <mergeCell ref="BA50:BA51"/>
    <mergeCell ref="BB50:BB51"/>
    <mergeCell ref="AQ50:AQ51"/>
    <mergeCell ref="AR50:AR51"/>
    <mergeCell ref="AS50:AS51"/>
    <mergeCell ref="AT50:AT51"/>
    <mergeCell ref="AU50:AU51"/>
    <mergeCell ref="AV50:AV51"/>
    <mergeCell ref="AK50:AK51"/>
    <mergeCell ref="AL50:AL51"/>
    <mergeCell ref="AM50:AM51"/>
    <mergeCell ref="AN50:AN51"/>
    <mergeCell ref="AO50:AO51"/>
    <mergeCell ref="AP50:AP51"/>
    <mergeCell ref="AE50:AE51"/>
    <mergeCell ref="AF50:AF51"/>
    <mergeCell ref="AG50:AG51"/>
    <mergeCell ref="AH50:AH51"/>
    <mergeCell ref="AI50:AI51"/>
    <mergeCell ref="AJ50:AJ51"/>
    <mergeCell ref="Y50:Y51"/>
    <mergeCell ref="Z50:Z51"/>
    <mergeCell ref="AA50:AA51"/>
    <mergeCell ref="AB50:AB51"/>
    <mergeCell ref="AC50:AC51"/>
    <mergeCell ref="AD50:AD51"/>
    <mergeCell ref="S50:S51"/>
    <mergeCell ref="T50:T51"/>
    <mergeCell ref="U50:U51"/>
    <mergeCell ref="V50:V51"/>
    <mergeCell ref="W50:W51"/>
    <mergeCell ref="X50:X51"/>
    <mergeCell ref="L50:L51"/>
    <mergeCell ref="M50:M51"/>
    <mergeCell ref="N50:N51"/>
    <mergeCell ref="O50:O51"/>
    <mergeCell ref="P50:P51"/>
    <mergeCell ref="Q50:Q51"/>
    <mergeCell ref="BK48:BK49"/>
    <mergeCell ref="BL48:BL49"/>
    <mergeCell ref="BM48:BM49"/>
    <mergeCell ref="AX48:AX49"/>
    <mergeCell ref="AM48:AM49"/>
    <mergeCell ref="AN48:AN49"/>
    <mergeCell ref="AO48:AO49"/>
    <mergeCell ref="AP48:AP49"/>
    <mergeCell ref="AQ48:AQ49"/>
    <mergeCell ref="AR48:AR49"/>
    <mergeCell ref="AG48:AG49"/>
    <mergeCell ref="AH48:AH49"/>
    <mergeCell ref="AI48:AI49"/>
    <mergeCell ref="AJ48:AJ49"/>
    <mergeCell ref="AK48:AK49"/>
    <mergeCell ref="AL48:AL49"/>
    <mergeCell ref="AA48:AA49"/>
    <mergeCell ref="AB48:AB49"/>
    <mergeCell ref="BN48:BN49"/>
    <mergeCell ref="BO48:BO49"/>
    <mergeCell ref="G50:G51"/>
    <mergeCell ref="H50:H51"/>
    <mergeCell ref="I50:I51"/>
    <mergeCell ref="J50:J51"/>
    <mergeCell ref="K50:K51"/>
    <mergeCell ref="BE48:BE49"/>
    <mergeCell ref="BF48:BF49"/>
    <mergeCell ref="BG48:BG49"/>
    <mergeCell ref="BH48:BH49"/>
    <mergeCell ref="BI48:BI49"/>
    <mergeCell ref="BJ48:BJ49"/>
    <mergeCell ref="AY48:AY49"/>
    <mergeCell ref="AZ48:AZ49"/>
    <mergeCell ref="BA48:BA49"/>
    <mergeCell ref="BB48:BB49"/>
    <mergeCell ref="BC48:BC49"/>
    <mergeCell ref="BD48:BD49"/>
    <mergeCell ref="AS48:AS49"/>
    <mergeCell ref="AT48:AT49"/>
    <mergeCell ref="AU48:AU49"/>
    <mergeCell ref="AV48:AV49"/>
    <mergeCell ref="AW48:AW49"/>
    <mergeCell ref="AC48:AC49"/>
    <mergeCell ref="AD48:AD49"/>
    <mergeCell ref="AE48:AE49"/>
    <mergeCell ref="AF48:AF49"/>
    <mergeCell ref="O48:O49"/>
    <mergeCell ref="P48:P49"/>
    <mergeCell ref="Q48:Q49"/>
    <mergeCell ref="R48:R49"/>
    <mergeCell ref="Y48:Y49"/>
    <mergeCell ref="Z48:Z49"/>
    <mergeCell ref="BN43:BN47"/>
    <mergeCell ref="BO43:BO47"/>
    <mergeCell ref="G48:G49"/>
    <mergeCell ref="H48:H49"/>
    <mergeCell ref="I48:I49"/>
    <mergeCell ref="J48:J49"/>
    <mergeCell ref="K48:K49"/>
    <mergeCell ref="L48:L49"/>
    <mergeCell ref="M48:M49"/>
    <mergeCell ref="N48:N49"/>
    <mergeCell ref="BH43:BH47"/>
    <mergeCell ref="BI43:BI47"/>
    <mergeCell ref="BJ43:BJ47"/>
    <mergeCell ref="BK43:BK47"/>
    <mergeCell ref="BL43:BL47"/>
    <mergeCell ref="BM43:BM47"/>
    <mergeCell ref="BB43:BB47"/>
    <mergeCell ref="BC43:BC47"/>
    <mergeCell ref="BD43:BD47"/>
    <mergeCell ref="BE43:BE47"/>
    <mergeCell ref="BF43:BF47"/>
    <mergeCell ref="BG43:BG47"/>
    <mergeCell ref="AV43:AV47"/>
    <mergeCell ref="AW43:AW47"/>
    <mergeCell ref="AX43:AX47"/>
    <mergeCell ref="AY43:AY47"/>
    <mergeCell ref="AZ43:AZ47"/>
    <mergeCell ref="BA43:BA47"/>
    <mergeCell ref="AP43:AP47"/>
    <mergeCell ref="AQ43:AQ47"/>
    <mergeCell ref="AR43:AR47"/>
    <mergeCell ref="AS43:AS47"/>
    <mergeCell ref="AT43:AT47"/>
    <mergeCell ref="AU43:AU47"/>
    <mergeCell ref="AJ43:AJ47"/>
    <mergeCell ref="AK43:AK47"/>
    <mergeCell ref="AL43:AL47"/>
    <mergeCell ref="AM43:AM47"/>
    <mergeCell ref="AN43:AN47"/>
    <mergeCell ref="AO43:AO47"/>
    <mergeCell ref="AD43:AD47"/>
    <mergeCell ref="AE43:AE47"/>
    <mergeCell ref="AF43:AF47"/>
    <mergeCell ref="AG43:AG47"/>
    <mergeCell ref="AH43:AH47"/>
    <mergeCell ref="AI43:AI47"/>
    <mergeCell ref="R43:R45"/>
    <mergeCell ref="Y43:Y47"/>
    <mergeCell ref="Z43:Z47"/>
    <mergeCell ref="AA43:AA47"/>
    <mergeCell ref="AB43:AB47"/>
    <mergeCell ref="AC43:AC47"/>
    <mergeCell ref="L43:L47"/>
    <mergeCell ref="M43:M47"/>
    <mergeCell ref="N43:N47"/>
    <mergeCell ref="O43:O44"/>
    <mergeCell ref="P43:P47"/>
    <mergeCell ref="Q43:Q47"/>
    <mergeCell ref="E43:F51"/>
    <mergeCell ref="G43:G44"/>
    <mergeCell ref="H43:H44"/>
    <mergeCell ref="I43:I44"/>
    <mergeCell ref="J43:J44"/>
    <mergeCell ref="K43:K44"/>
    <mergeCell ref="G38:G40"/>
    <mergeCell ref="H38:H40"/>
    <mergeCell ref="I38:I40"/>
    <mergeCell ref="J38:J40"/>
    <mergeCell ref="K38:K40"/>
    <mergeCell ref="BL34:BL41"/>
    <mergeCell ref="BM34:BM41"/>
    <mergeCell ref="BN34:BN41"/>
    <mergeCell ref="BO34:BO41"/>
    <mergeCell ref="G36:G37"/>
    <mergeCell ref="H36:H37"/>
    <mergeCell ref="I36:I37"/>
    <mergeCell ref="J36:J37"/>
    <mergeCell ref="K36:K37"/>
    <mergeCell ref="O36:O37"/>
    <mergeCell ref="BF34:BF41"/>
    <mergeCell ref="BG34:BG41"/>
    <mergeCell ref="BH34:BH41"/>
    <mergeCell ref="BI34:BI41"/>
    <mergeCell ref="BJ34:BJ41"/>
    <mergeCell ref="BK34:BK41"/>
    <mergeCell ref="AZ34:AZ41"/>
    <mergeCell ref="BA34:BA41"/>
    <mergeCell ref="BB34:BB41"/>
    <mergeCell ref="BC34:BC41"/>
    <mergeCell ref="BD34:BD41"/>
    <mergeCell ref="BE34:BE41"/>
    <mergeCell ref="AT34:AT41"/>
    <mergeCell ref="AU34:AU41"/>
    <mergeCell ref="AV34:AV41"/>
    <mergeCell ref="AW34:AW41"/>
    <mergeCell ref="AX34:AX41"/>
    <mergeCell ref="AY34:AY41"/>
    <mergeCell ref="AN34:AN41"/>
    <mergeCell ref="AO34:AO41"/>
    <mergeCell ref="AP34:AP41"/>
    <mergeCell ref="AQ34:AQ41"/>
    <mergeCell ref="AR34:AR41"/>
    <mergeCell ref="AS34:AS41"/>
    <mergeCell ref="AH34:AH41"/>
    <mergeCell ref="AI34:AI41"/>
    <mergeCell ref="AJ34:AJ41"/>
    <mergeCell ref="AK34:AK41"/>
    <mergeCell ref="AL34:AL41"/>
    <mergeCell ref="AM34:AM41"/>
    <mergeCell ref="AB34:AB41"/>
    <mergeCell ref="AC34:AC41"/>
    <mergeCell ref="AD34:AD41"/>
    <mergeCell ref="AE34:AE41"/>
    <mergeCell ref="AF34:AF41"/>
    <mergeCell ref="AG34:AG41"/>
    <mergeCell ref="P34:P41"/>
    <mergeCell ref="Q34:Q41"/>
    <mergeCell ref="R34:R37"/>
    <mergeCell ref="Y34:Y41"/>
    <mergeCell ref="Z34:Z41"/>
    <mergeCell ref="AA34:AA41"/>
    <mergeCell ref="R38:R41"/>
    <mergeCell ref="J34:J35"/>
    <mergeCell ref="K34:K35"/>
    <mergeCell ref="L34:L41"/>
    <mergeCell ref="M34:M41"/>
    <mergeCell ref="N34:N41"/>
    <mergeCell ref="O34:O35"/>
    <mergeCell ref="O38:O40"/>
    <mergeCell ref="BL26:BL30"/>
    <mergeCell ref="BM26:BM30"/>
    <mergeCell ref="BN26:BN30"/>
    <mergeCell ref="BO26:BO30"/>
    <mergeCell ref="A32:B59"/>
    <mergeCell ref="C33:D59"/>
    <mergeCell ref="E34:F41"/>
    <mergeCell ref="G34:G35"/>
    <mergeCell ref="H34:H35"/>
    <mergeCell ref="I34:I35"/>
    <mergeCell ref="BF26:BF30"/>
    <mergeCell ref="BG26:BG30"/>
    <mergeCell ref="BH26:BH30"/>
    <mergeCell ref="BI26:BI30"/>
    <mergeCell ref="BJ26:BJ30"/>
    <mergeCell ref="BK26:BK30"/>
    <mergeCell ref="AZ26:AZ30"/>
    <mergeCell ref="BA26:BA30"/>
    <mergeCell ref="BB26:BB30"/>
    <mergeCell ref="BC26:BC30"/>
    <mergeCell ref="BD26:BD30"/>
    <mergeCell ref="BE26:BE30"/>
    <mergeCell ref="AT26:AT30"/>
    <mergeCell ref="AU26:AU30"/>
    <mergeCell ref="AV26:AV30"/>
    <mergeCell ref="AW26:AW30"/>
    <mergeCell ref="AX26:AX30"/>
    <mergeCell ref="AY26:AY30"/>
    <mergeCell ref="AN26:AN30"/>
    <mergeCell ref="AO26:AO30"/>
    <mergeCell ref="AP26:AP30"/>
    <mergeCell ref="AQ26:AQ30"/>
    <mergeCell ref="AR26:AR30"/>
    <mergeCell ref="AS26:AS30"/>
    <mergeCell ref="AH26:AH30"/>
    <mergeCell ref="AI26:AI30"/>
    <mergeCell ref="AJ26:AJ30"/>
    <mergeCell ref="AK26:AK30"/>
    <mergeCell ref="AL26:AL30"/>
    <mergeCell ref="AM26:AM30"/>
    <mergeCell ref="AB26:AB30"/>
    <mergeCell ref="AC26:AC30"/>
    <mergeCell ref="AD26:AD30"/>
    <mergeCell ref="AE26:AE30"/>
    <mergeCell ref="AF26:AF30"/>
    <mergeCell ref="AG26:AG30"/>
    <mergeCell ref="BO23:BO25"/>
    <mergeCell ref="L26:L30"/>
    <mergeCell ref="M26:M30"/>
    <mergeCell ref="N26:N30"/>
    <mergeCell ref="P26:P30"/>
    <mergeCell ref="Q26:Q30"/>
    <mergeCell ref="R26:R30"/>
    <mergeCell ref="Y26:Y30"/>
    <mergeCell ref="Z26:Z30"/>
    <mergeCell ref="AA26:AA30"/>
    <mergeCell ref="BI23:BI25"/>
    <mergeCell ref="BJ23:BJ25"/>
    <mergeCell ref="BK23:BK25"/>
    <mergeCell ref="BL23:BL25"/>
    <mergeCell ref="BM23:BM25"/>
    <mergeCell ref="BN23:BN25"/>
    <mergeCell ref="BC23:BC25"/>
    <mergeCell ref="BD23:BD25"/>
    <mergeCell ref="BE23:BE25"/>
    <mergeCell ref="BF23:BF25"/>
    <mergeCell ref="BG23:BG25"/>
    <mergeCell ref="BH23:BH25"/>
    <mergeCell ref="AW23:AW25"/>
    <mergeCell ref="AX23:AX25"/>
    <mergeCell ref="AY23:AY25"/>
    <mergeCell ref="AZ23:AZ25"/>
    <mergeCell ref="BA23:BA25"/>
    <mergeCell ref="BB23:BB25"/>
    <mergeCell ref="AQ23:AQ25"/>
    <mergeCell ref="AR23:AR25"/>
    <mergeCell ref="AS23:AS25"/>
    <mergeCell ref="AT23:AT25"/>
    <mergeCell ref="AU23:AU25"/>
    <mergeCell ref="AV23:AV25"/>
    <mergeCell ref="AK23:AK25"/>
    <mergeCell ref="AL23:AL25"/>
    <mergeCell ref="AM23:AM25"/>
    <mergeCell ref="AN23:AN25"/>
    <mergeCell ref="AO23:AO25"/>
    <mergeCell ref="AP23:AP25"/>
    <mergeCell ref="AE23:AE25"/>
    <mergeCell ref="AF23:AF25"/>
    <mergeCell ref="AG23:AG25"/>
    <mergeCell ref="AH23:AH25"/>
    <mergeCell ref="AI23:AI25"/>
    <mergeCell ref="AJ23:AJ25"/>
    <mergeCell ref="Y23:Y25"/>
    <mergeCell ref="Z23:Z25"/>
    <mergeCell ref="AA23:AA25"/>
    <mergeCell ref="AB23:AB25"/>
    <mergeCell ref="AC23:AC25"/>
    <mergeCell ref="AD23:AD25"/>
    <mergeCell ref="M23:M25"/>
    <mergeCell ref="N23:N25"/>
    <mergeCell ref="O23:O24"/>
    <mergeCell ref="P23:P25"/>
    <mergeCell ref="Q23:Q25"/>
    <mergeCell ref="R23:R25"/>
    <mergeCell ref="BM20:BM21"/>
    <mergeCell ref="BN20:BN21"/>
    <mergeCell ref="BO20:BO21"/>
    <mergeCell ref="E23:F30"/>
    <mergeCell ref="G23:G24"/>
    <mergeCell ref="H23:H24"/>
    <mergeCell ref="I23:I24"/>
    <mergeCell ref="J23:J24"/>
    <mergeCell ref="K23:K24"/>
    <mergeCell ref="L23:L25"/>
    <mergeCell ref="BG20:BG21"/>
    <mergeCell ref="BH20:BH21"/>
    <mergeCell ref="BI20:BI21"/>
    <mergeCell ref="BJ20:BJ21"/>
    <mergeCell ref="BK20:BK21"/>
    <mergeCell ref="BL20:BL21"/>
    <mergeCell ref="AW20:AW21"/>
    <mergeCell ref="AY20:AY21"/>
    <mergeCell ref="BA20:BA21"/>
    <mergeCell ref="BC20:BC21"/>
    <mergeCell ref="BE20:BE21"/>
    <mergeCell ref="BF20:BF21"/>
    <mergeCell ref="AK20:AK21"/>
    <mergeCell ref="AM20:AM21"/>
    <mergeCell ref="AO20:AO21"/>
    <mergeCell ref="AQ20:AQ21"/>
    <mergeCell ref="AS20:AS21"/>
    <mergeCell ref="AU20:AU21"/>
    <mergeCell ref="Y20:Y21"/>
    <mergeCell ref="AA20:AA21"/>
    <mergeCell ref="AC20:AC21"/>
    <mergeCell ref="AE20:AE21"/>
    <mergeCell ref="AG20:AG21"/>
    <mergeCell ref="AI20:AI21"/>
    <mergeCell ref="L20:L21"/>
    <mergeCell ref="M20:M21"/>
    <mergeCell ref="N20:N21"/>
    <mergeCell ref="P20:P21"/>
    <mergeCell ref="Q20:Q21"/>
    <mergeCell ref="R20:R21"/>
    <mergeCell ref="BK13:BK18"/>
    <mergeCell ref="BL13:BL18"/>
    <mergeCell ref="BM13:BM18"/>
    <mergeCell ref="AP13:AP18"/>
    <mergeCell ref="AQ13:AQ18"/>
    <mergeCell ref="AR13:AR18"/>
    <mergeCell ref="AG13:AG18"/>
    <mergeCell ref="AH13:AH18"/>
    <mergeCell ref="AI13:AI18"/>
    <mergeCell ref="AJ13:AJ18"/>
    <mergeCell ref="AK13:AK18"/>
    <mergeCell ref="AL13:AL18"/>
    <mergeCell ref="AA13:AA18"/>
    <mergeCell ref="AB13:AB18"/>
    <mergeCell ref="AC13:AC18"/>
    <mergeCell ref="AD13:AD18"/>
    <mergeCell ref="AE13:AE18"/>
    <mergeCell ref="AF13:AF18"/>
    <mergeCell ref="BN13:BN18"/>
    <mergeCell ref="BO13:BO18"/>
    <mergeCell ref="R16:R18"/>
    <mergeCell ref="BE13:BE18"/>
    <mergeCell ref="BF13:BF18"/>
    <mergeCell ref="BG13:BG18"/>
    <mergeCell ref="BH13:BH18"/>
    <mergeCell ref="BI13:BI18"/>
    <mergeCell ref="BJ13:BJ18"/>
    <mergeCell ref="AY13:AY18"/>
    <mergeCell ref="AZ13:AZ18"/>
    <mergeCell ref="BA13:BA18"/>
    <mergeCell ref="BB13:BB18"/>
    <mergeCell ref="BC13:BC18"/>
    <mergeCell ref="BD13:BD18"/>
    <mergeCell ref="AS13:AS18"/>
    <mergeCell ref="AT13:AT18"/>
    <mergeCell ref="AU13:AU18"/>
    <mergeCell ref="AV13:AV18"/>
    <mergeCell ref="AW13:AW18"/>
    <mergeCell ref="AX13:AX18"/>
    <mergeCell ref="AM13:AM18"/>
    <mergeCell ref="AN13:AN18"/>
    <mergeCell ref="AO13:AO18"/>
    <mergeCell ref="R13:R15"/>
    <mergeCell ref="Y13:Y18"/>
    <mergeCell ref="Z13:Z18"/>
    <mergeCell ref="I13:I14"/>
    <mergeCell ref="J13:J14"/>
    <mergeCell ref="K13:K14"/>
    <mergeCell ref="L13:L18"/>
    <mergeCell ref="M13:M18"/>
    <mergeCell ref="N13:N18"/>
    <mergeCell ref="B10:D10"/>
    <mergeCell ref="A11:B30"/>
    <mergeCell ref="C12:D30"/>
    <mergeCell ref="E13:F18"/>
    <mergeCell ref="G13:G14"/>
    <mergeCell ref="H13:H14"/>
    <mergeCell ref="F19:I19"/>
    <mergeCell ref="E20:F21"/>
    <mergeCell ref="BE8:BE9"/>
    <mergeCell ref="N7:N8"/>
    <mergeCell ref="O7:O8"/>
    <mergeCell ref="P7:P8"/>
    <mergeCell ref="Q7:Q8"/>
    <mergeCell ref="R7:R8"/>
    <mergeCell ref="S7:S8"/>
    <mergeCell ref="G7:G8"/>
    <mergeCell ref="H7:H8"/>
    <mergeCell ref="I7:I8"/>
    <mergeCell ref="J7:K7"/>
    <mergeCell ref="L7:L8"/>
    <mergeCell ref="M7:M8"/>
    <mergeCell ref="O13:O14"/>
    <mergeCell ref="P13:P18"/>
    <mergeCell ref="Q13:Q18"/>
    <mergeCell ref="AI8:AJ8"/>
    <mergeCell ref="AK8:AL8"/>
    <mergeCell ref="AM8:AN8"/>
    <mergeCell ref="AO8:AP8"/>
    <mergeCell ref="BF8:BF9"/>
    <mergeCell ref="BG8:BG9"/>
    <mergeCell ref="BH8:BH9"/>
    <mergeCell ref="BI8:BI9"/>
    <mergeCell ref="BJ8:BJ9"/>
    <mergeCell ref="AQ8:AR8"/>
    <mergeCell ref="AS8:AT8"/>
    <mergeCell ref="AU8:AV8"/>
    <mergeCell ref="AW8:AX8"/>
    <mergeCell ref="AY8:AZ8"/>
    <mergeCell ref="BA8:BB8"/>
    <mergeCell ref="BC7:BD8"/>
    <mergeCell ref="BE7:BJ7"/>
    <mergeCell ref="A1:BK4"/>
    <mergeCell ref="A5:J6"/>
    <mergeCell ref="L5:BO5"/>
    <mergeCell ref="Y6:BA6"/>
    <mergeCell ref="A7:A8"/>
    <mergeCell ref="B7:B8"/>
    <mergeCell ref="C7:C8"/>
    <mergeCell ref="D7:D8"/>
    <mergeCell ref="E7:E8"/>
    <mergeCell ref="F7:F8"/>
    <mergeCell ref="BK7:BL7"/>
    <mergeCell ref="BM7:BN7"/>
    <mergeCell ref="BO7:BO8"/>
    <mergeCell ref="Y8:Z8"/>
    <mergeCell ref="AA8:AB8"/>
    <mergeCell ref="AC8:AD8"/>
    <mergeCell ref="AE8:AF8"/>
    <mergeCell ref="AG8:AH8"/>
    <mergeCell ref="T7:V7"/>
    <mergeCell ref="X7:X8"/>
    <mergeCell ref="Y7:AB7"/>
    <mergeCell ref="AC7:AJ7"/>
    <mergeCell ref="AK7:AV7"/>
    <mergeCell ref="AW7:BB7"/>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32"/>
  <sheetViews>
    <sheetView showGridLines="0" topLeftCell="A10" zoomScale="70" zoomScaleNormal="70" workbookViewId="0">
      <selection activeCell="M20" sqref="M20:M24"/>
    </sheetView>
  </sheetViews>
  <sheetFormatPr baseColWidth="10" defaultColWidth="11.42578125" defaultRowHeight="15" x14ac:dyDescent="0.2"/>
  <cols>
    <col min="1" max="1" width="12.5703125" style="367" customWidth="1"/>
    <col min="2" max="2" width="5.42578125" style="367" customWidth="1"/>
    <col min="3" max="3" width="13.5703125" style="367" customWidth="1"/>
    <col min="4" max="4" width="11.5703125" style="367" customWidth="1"/>
    <col min="5" max="5" width="16.42578125" style="367" customWidth="1"/>
    <col min="6" max="6" width="12.7109375" style="367" customWidth="1"/>
    <col min="7" max="7" width="11.28515625" style="367" customWidth="1"/>
    <col min="8" max="8" width="14.5703125" style="367" customWidth="1"/>
    <col min="9" max="9" width="32.42578125" style="367" customWidth="1"/>
    <col min="10" max="10" width="26.7109375" style="367" customWidth="1"/>
    <col min="11" max="11" width="9.5703125" style="367" customWidth="1"/>
    <col min="12" max="12" width="10.7109375" style="367" customWidth="1"/>
    <col min="13" max="13" width="34.5703125" style="367" customWidth="1"/>
    <col min="14" max="14" width="23.42578125" style="367" customWidth="1"/>
    <col min="15" max="15" width="33.140625" style="367" customWidth="1"/>
    <col min="16" max="16" width="16.85546875" style="367" customWidth="1"/>
    <col min="17" max="17" width="27.140625" style="367" customWidth="1"/>
    <col min="18" max="18" width="34.42578125" style="367" customWidth="1"/>
    <col min="19" max="19" width="42.140625" style="367" customWidth="1"/>
    <col min="20" max="20" width="34.7109375" style="367" customWidth="1"/>
    <col min="21" max="21" width="22.5703125" style="2231" customWidth="1"/>
    <col min="22" max="22" width="22.42578125" style="2231" customWidth="1"/>
    <col min="23" max="23" width="24.5703125" style="2231" customWidth="1"/>
    <col min="24" max="24" width="18.28515625" style="367" customWidth="1"/>
    <col min="25" max="25" width="28.140625" style="367" customWidth="1"/>
    <col min="26" max="57" width="10.7109375" style="367" customWidth="1"/>
    <col min="58" max="58" width="12.5703125" style="367" bestFit="1" customWidth="1"/>
    <col min="59" max="59" width="19.42578125" style="367" customWidth="1"/>
    <col min="60" max="60" width="22" style="367" customWidth="1"/>
    <col min="61" max="61" width="14.7109375" style="367" bestFit="1" customWidth="1"/>
    <col min="62" max="62" width="15.7109375" style="367" bestFit="1" customWidth="1"/>
    <col min="63" max="63" width="35" style="367" customWidth="1"/>
    <col min="64" max="64" width="15.42578125" style="367" customWidth="1"/>
    <col min="65" max="65" width="17.85546875" style="367" customWidth="1"/>
    <col min="66" max="66" width="17.140625" style="367" customWidth="1"/>
    <col min="67" max="67" width="20.140625" style="367" customWidth="1"/>
    <col min="68" max="68" width="28.7109375" style="367" customWidth="1"/>
    <col min="69" max="81" width="14.85546875" style="367" customWidth="1"/>
    <col min="82" max="16384" width="11.42578125" style="367"/>
  </cols>
  <sheetData>
    <row r="1" spans="1:69" ht="15" customHeight="1" x14ac:dyDescent="0.2">
      <c r="A1" s="3600" t="s">
        <v>1886</v>
      </c>
      <c r="B1" s="3600"/>
      <c r="C1" s="3600"/>
      <c r="D1" s="3600"/>
      <c r="E1" s="3600"/>
      <c r="F1" s="3600"/>
      <c r="G1" s="3600"/>
      <c r="H1" s="3600"/>
      <c r="I1" s="3600"/>
      <c r="J1" s="3600"/>
      <c r="K1" s="3600"/>
      <c r="L1" s="3600"/>
      <c r="M1" s="3600"/>
      <c r="N1" s="3600"/>
      <c r="O1" s="3600"/>
      <c r="P1" s="3600"/>
      <c r="Q1" s="3600"/>
      <c r="R1" s="3600"/>
      <c r="S1" s="3600"/>
      <c r="T1" s="3600"/>
      <c r="U1" s="3600"/>
      <c r="V1" s="3600"/>
      <c r="W1" s="3600"/>
      <c r="X1" s="3600"/>
      <c r="Y1" s="3600"/>
      <c r="Z1" s="3600"/>
      <c r="AA1" s="3600"/>
      <c r="AB1" s="3600"/>
      <c r="AC1" s="3600"/>
      <c r="AD1" s="3600"/>
      <c r="AE1" s="3600"/>
      <c r="AF1" s="3600"/>
      <c r="AG1" s="3600"/>
      <c r="AH1" s="3600"/>
      <c r="AI1" s="3600"/>
      <c r="AJ1" s="3600"/>
      <c r="AK1" s="3600"/>
      <c r="AL1" s="3600"/>
      <c r="AM1" s="3600"/>
      <c r="AN1" s="3600"/>
      <c r="AO1" s="3600"/>
      <c r="AP1" s="3600"/>
      <c r="AQ1" s="3600"/>
      <c r="AR1" s="3600"/>
      <c r="AS1" s="3600"/>
      <c r="AT1" s="3600"/>
      <c r="AU1" s="3600"/>
      <c r="AV1" s="3600"/>
      <c r="AW1" s="3600"/>
      <c r="AX1" s="3600"/>
      <c r="AY1" s="3600"/>
      <c r="AZ1" s="3600"/>
      <c r="BA1" s="3600"/>
      <c r="BB1" s="3600"/>
      <c r="BC1" s="3600"/>
      <c r="BD1" s="3600"/>
      <c r="BE1" s="3600"/>
      <c r="BF1" s="3600"/>
      <c r="BG1" s="3600"/>
      <c r="BH1" s="3600"/>
      <c r="BI1" s="3600"/>
      <c r="BJ1" s="3600"/>
      <c r="BK1" s="3600"/>
      <c r="BL1" s="3600"/>
      <c r="BM1" s="2119"/>
      <c r="BO1" s="370" t="s">
        <v>1</v>
      </c>
      <c r="BP1" s="370" t="s">
        <v>2</v>
      </c>
    </row>
    <row r="2" spans="1:69" ht="15" customHeight="1" x14ac:dyDescent="0.2">
      <c r="A2" s="3600"/>
      <c r="B2" s="3600"/>
      <c r="C2" s="3600"/>
      <c r="D2" s="3600"/>
      <c r="E2" s="3600"/>
      <c r="F2" s="3600"/>
      <c r="G2" s="3600"/>
      <c r="H2" s="3600"/>
      <c r="I2" s="3600"/>
      <c r="J2" s="3600"/>
      <c r="K2" s="3600"/>
      <c r="L2" s="3600"/>
      <c r="M2" s="3600"/>
      <c r="N2" s="3600"/>
      <c r="O2" s="3600"/>
      <c r="P2" s="3600"/>
      <c r="Q2" s="3600"/>
      <c r="R2" s="3600"/>
      <c r="S2" s="3600"/>
      <c r="T2" s="3600"/>
      <c r="U2" s="3600"/>
      <c r="V2" s="3600"/>
      <c r="W2" s="3600"/>
      <c r="X2" s="3600"/>
      <c r="Y2" s="3600"/>
      <c r="Z2" s="3600"/>
      <c r="AA2" s="3600"/>
      <c r="AB2" s="3600"/>
      <c r="AC2" s="3600"/>
      <c r="AD2" s="3600"/>
      <c r="AE2" s="3600"/>
      <c r="AF2" s="3600"/>
      <c r="AG2" s="3600"/>
      <c r="AH2" s="3600"/>
      <c r="AI2" s="3600"/>
      <c r="AJ2" s="3600"/>
      <c r="AK2" s="3600"/>
      <c r="AL2" s="3600"/>
      <c r="AM2" s="3600"/>
      <c r="AN2" s="3600"/>
      <c r="AO2" s="3600"/>
      <c r="AP2" s="3600"/>
      <c r="AQ2" s="3600"/>
      <c r="AR2" s="3600"/>
      <c r="AS2" s="3600"/>
      <c r="AT2" s="3600"/>
      <c r="AU2" s="3600"/>
      <c r="AV2" s="3600"/>
      <c r="AW2" s="3600"/>
      <c r="AX2" s="3600"/>
      <c r="AY2" s="3600"/>
      <c r="AZ2" s="3600"/>
      <c r="BA2" s="3600"/>
      <c r="BB2" s="3600"/>
      <c r="BC2" s="3600"/>
      <c r="BD2" s="3600"/>
      <c r="BE2" s="3600"/>
      <c r="BF2" s="3600"/>
      <c r="BG2" s="3600"/>
      <c r="BH2" s="3600"/>
      <c r="BI2" s="3600"/>
      <c r="BJ2" s="3600"/>
      <c r="BK2" s="3600"/>
      <c r="BL2" s="3600"/>
      <c r="BM2" s="2119"/>
      <c r="BO2" s="368" t="s">
        <v>3</v>
      </c>
      <c r="BP2" s="2120">
        <v>6</v>
      </c>
    </row>
    <row r="3" spans="1:69" ht="15" customHeight="1" x14ac:dyDescent="0.2">
      <c r="A3" s="3600"/>
      <c r="B3" s="3600"/>
      <c r="C3" s="3600"/>
      <c r="D3" s="3600"/>
      <c r="E3" s="3600"/>
      <c r="F3" s="3600"/>
      <c r="G3" s="3600"/>
      <c r="H3" s="3600"/>
      <c r="I3" s="3600"/>
      <c r="J3" s="3600"/>
      <c r="K3" s="3600"/>
      <c r="L3" s="3600"/>
      <c r="M3" s="3600"/>
      <c r="N3" s="3600"/>
      <c r="O3" s="3600"/>
      <c r="P3" s="3600"/>
      <c r="Q3" s="3600"/>
      <c r="R3" s="3600"/>
      <c r="S3" s="3600"/>
      <c r="T3" s="3600"/>
      <c r="U3" s="3600"/>
      <c r="V3" s="3600"/>
      <c r="W3" s="3600"/>
      <c r="X3" s="3600"/>
      <c r="Y3" s="3600"/>
      <c r="Z3" s="3600"/>
      <c r="AA3" s="3600"/>
      <c r="AB3" s="3600"/>
      <c r="AC3" s="3600"/>
      <c r="AD3" s="3600"/>
      <c r="AE3" s="3600"/>
      <c r="AF3" s="3600"/>
      <c r="AG3" s="3600"/>
      <c r="AH3" s="3600"/>
      <c r="AI3" s="3600"/>
      <c r="AJ3" s="3600"/>
      <c r="AK3" s="3600"/>
      <c r="AL3" s="3600"/>
      <c r="AM3" s="3600"/>
      <c r="AN3" s="3600"/>
      <c r="AO3" s="3600"/>
      <c r="AP3" s="3600"/>
      <c r="AQ3" s="3600"/>
      <c r="AR3" s="3600"/>
      <c r="AS3" s="3600"/>
      <c r="AT3" s="3600"/>
      <c r="AU3" s="3600"/>
      <c r="AV3" s="3600"/>
      <c r="AW3" s="3600"/>
      <c r="AX3" s="3600"/>
      <c r="AY3" s="3600"/>
      <c r="AZ3" s="3600"/>
      <c r="BA3" s="3600"/>
      <c r="BB3" s="3600"/>
      <c r="BC3" s="3600"/>
      <c r="BD3" s="3600"/>
      <c r="BE3" s="3600"/>
      <c r="BF3" s="3600"/>
      <c r="BG3" s="3600"/>
      <c r="BH3" s="3600"/>
      <c r="BI3" s="3600"/>
      <c r="BJ3" s="3600"/>
      <c r="BK3" s="3600"/>
      <c r="BL3" s="3600"/>
      <c r="BM3" s="2119"/>
      <c r="BO3" s="370" t="s">
        <v>4</v>
      </c>
      <c r="BP3" s="2121" t="s">
        <v>5</v>
      </c>
    </row>
    <row r="4" spans="1:69" s="374" customFormat="1" ht="15" customHeight="1" x14ac:dyDescent="0.2">
      <c r="A4" s="3335"/>
      <c r="B4" s="3335"/>
      <c r="C4" s="3335"/>
      <c r="D4" s="3335"/>
      <c r="E4" s="3335"/>
      <c r="F4" s="3335"/>
      <c r="G4" s="3335"/>
      <c r="H4" s="3335"/>
      <c r="I4" s="3335"/>
      <c r="J4" s="3335"/>
      <c r="K4" s="3335"/>
      <c r="L4" s="3335"/>
      <c r="M4" s="3335"/>
      <c r="N4" s="3335"/>
      <c r="O4" s="3335"/>
      <c r="P4" s="3335"/>
      <c r="Q4" s="3335"/>
      <c r="R4" s="3335"/>
      <c r="S4" s="3335"/>
      <c r="T4" s="3335"/>
      <c r="U4" s="3335"/>
      <c r="V4" s="3335"/>
      <c r="W4" s="3335"/>
      <c r="X4" s="3335"/>
      <c r="Y4" s="3335"/>
      <c r="Z4" s="3335"/>
      <c r="AA4" s="3335"/>
      <c r="AB4" s="3335"/>
      <c r="AC4" s="3335"/>
      <c r="AD4" s="3335"/>
      <c r="AE4" s="3335"/>
      <c r="AF4" s="3335"/>
      <c r="AG4" s="3335"/>
      <c r="AH4" s="3335"/>
      <c r="AI4" s="3335"/>
      <c r="AJ4" s="3335"/>
      <c r="AK4" s="3335"/>
      <c r="AL4" s="3335"/>
      <c r="AM4" s="3335"/>
      <c r="AN4" s="3335"/>
      <c r="AO4" s="3335"/>
      <c r="AP4" s="3335"/>
      <c r="AQ4" s="3335"/>
      <c r="AR4" s="3335"/>
      <c r="AS4" s="3335"/>
      <c r="AT4" s="3335"/>
      <c r="AU4" s="3335"/>
      <c r="AV4" s="3335"/>
      <c r="AW4" s="3335"/>
      <c r="AX4" s="3335"/>
      <c r="AY4" s="3335"/>
      <c r="AZ4" s="3335"/>
      <c r="BA4" s="3335"/>
      <c r="BB4" s="3335"/>
      <c r="BC4" s="3335"/>
      <c r="BD4" s="3335"/>
      <c r="BE4" s="3335"/>
      <c r="BF4" s="3335"/>
      <c r="BG4" s="3335"/>
      <c r="BH4" s="3335"/>
      <c r="BI4" s="3335"/>
      <c r="BJ4" s="3335"/>
      <c r="BK4" s="3335"/>
      <c r="BL4" s="3335"/>
      <c r="BM4" s="1574"/>
      <c r="BO4" s="372" t="s">
        <v>6</v>
      </c>
      <c r="BP4" s="2122" t="s">
        <v>7</v>
      </c>
    </row>
    <row r="5" spans="1:69" ht="15.75" x14ac:dyDescent="0.2">
      <c r="A5" s="4017" t="s">
        <v>8</v>
      </c>
      <c r="B5" s="3343"/>
      <c r="C5" s="3343"/>
      <c r="D5" s="3343"/>
      <c r="E5" s="3343"/>
      <c r="F5" s="3343"/>
      <c r="G5" s="3343"/>
      <c r="H5" s="3343"/>
      <c r="I5" s="3343"/>
      <c r="J5" s="3343"/>
      <c r="K5" s="3343"/>
      <c r="L5" s="1575"/>
      <c r="M5" s="2123"/>
      <c r="N5" s="2123"/>
      <c r="O5" s="3346" t="s">
        <v>9</v>
      </c>
      <c r="P5" s="3346"/>
      <c r="Q5" s="3346"/>
      <c r="R5" s="3346"/>
      <c r="S5" s="3346"/>
      <c r="T5" s="3346"/>
      <c r="U5" s="3346"/>
      <c r="V5" s="3346"/>
      <c r="W5" s="3346"/>
      <c r="X5" s="3346"/>
      <c r="Y5" s="3346"/>
      <c r="Z5" s="3346"/>
      <c r="AA5" s="3346"/>
      <c r="AB5" s="3346"/>
      <c r="AC5" s="3346"/>
      <c r="AD5" s="3346"/>
      <c r="AE5" s="3346"/>
      <c r="AF5" s="3346"/>
      <c r="AG5" s="3346"/>
      <c r="AH5" s="3346"/>
      <c r="AI5" s="3346"/>
      <c r="AJ5" s="3346"/>
      <c r="AK5" s="3346"/>
      <c r="AL5" s="3346"/>
      <c r="AM5" s="3346"/>
      <c r="AN5" s="3346"/>
      <c r="AO5" s="3346"/>
      <c r="AP5" s="3346"/>
      <c r="AQ5" s="3346"/>
      <c r="AR5" s="3346"/>
      <c r="AS5" s="3346"/>
      <c r="AT5" s="3346"/>
      <c r="AU5" s="3346"/>
      <c r="AV5" s="3346"/>
      <c r="AW5" s="3346"/>
      <c r="AX5" s="3346"/>
      <c r="AY5" s="3346"/>
      <c r="AZ5" s="3346"/>
      <c r="BA5" s="3346"/>
      <c r="BB5" s="3346"/>
      <c r="BC5" s="3346"/>
      <c r="BD5" s="3346"/>
      <c r="BE5" s="3346"/>
      <c r="BF5" s="3346"/>
      <c r="BG5" s="3346"/>
      <c r="BH5" s="3346"/>
      <c r="BI5" s="3346"/>
      <c r="BJ5" s="3346"/>
      <c r="BK5" s="3346"/>
      <c r="BL5" s="3346"/>
      <c r="BM5" s="3346"/>
      <c r="BN5" s="3346"/>
      <c r="BO5" s="3346"/>
      <c r="BP5" s="3346"/>
    </row>
    <row r="6" spans="1:69" ht="16.5" thickBot="1" x14ac:dyDescent="0.25">
      <c r="A6" s="4018"/>
      <c r="B6" s="3345"/>
      <c r="C6" s="3345"/>
      <c r="D6" s="3345"/>
      <c r="E6" s="3345"/>
      <c r="F6" s="3345"/>
      <c r="G6" s="3345"/>
      <c r="H6" s="3345"/>
      <c r="I6" s="3345"/>
      <c r="J6" s="3345"/>
      <c r="K6" s="3345"/>
      <c r="L6" s="1576"/>
      <c r="M6" s="2123"/>
      <c r="N6" s="375"/>
      <c r="O6" s="3347"/>
      <c r="P6" s="3349"/>
      <c r="Q6" s="3349"/>
      <c r="R6" s="3349"/>
      <c r="S6" s="3349"/>
      <c r="T6" s="3349"/>
      <c r="U6" s="3349"/>
      <c r="V6" s="3349"/>
      <c r="W6" s="3349"/>
      <c r="X6" s="3349"/>
      <c r="Y6" s="3350"/>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6"/>
      <c r="AY6" s="376"/>
      <c r="AZ6" s="376"/>
      <c r="BA6" s="376"/>
      <c r="BB6" s="376"/>
      <c r="BC6" s="376"/>
      <c r="BD6" s="376"/>
      <c r="BE6" s="376"/>
      <c r="BF6" s="376"/>
      <c r="BG6" s="376"/>
      <c r="BH6" s="376"/>
      <c r="BI6" s="376"/>
      <c r="BJ6" s="376"/>
      <c r="BK6" s="376"/>
      <c r="BL6" s="3347"/>
      <c r="BM6" s="3349"/>
      <c r="BN6" s="3349"/>
      <c r="BO6" s="3349"/>
      <c r="BP6" s="3350"/>
    </row>
    <row r="7" spans="1:69" ht="12" customHeight="1" x14ac:dyDescent="0.2">
      <c r="A7" s="3329" t="s">
        <v>10</v>
      </c>
      <c r="B7" s="3329" t="s">
        <v>11</v>
      </c>
      <c r="C7" s="3329"/>
      <c r="D7" s="3329" t="s">
        <v>10</v>
      </c>
      <c r="E7" s="3329" t="s">
        <v>12</v>
      </c>
      <c r="F7" s="3329" t="s">
        <v>10</v>
      </c>
      <c r="G7" s="3329" t="s">
        <v>13</v>
      </c>
      <c r="H7" s="3329" t="s">
        <v>10</v>
      </c>
      <c r="I7" s="3329" t="s">
        <v>14</v>
      </c>
      <c r="J7" s="3329" t="s">
        <v>15</v>
      </c>
      <c r="K7" s="3329" t="s">
        <v>775</v>
      </c>
      <c r="L7" s="3329"/>
      <c r="M7" s="3329" t="s">
        <v>17</v>
      </c>
      <c r="N7" s="3329" t="s">
        <v>18</v>
      </c>
      <c r="O7" s="3329" t="s">
        <v>9</v>
      </c>
      <c r="P7" s="3329" t="s">
        <v>19</v>
      </c>
      <c r="Q7" s="3329" t="s">
        <v>20</v>
      </c>
      <c r="R7" s="3329" t="s">
        <v>21</v>
      </c>
      <c r="S7" s="3329" t="s">
        <v>22</v>
      </c>
      <c r="T7" s="3329" t="s">
        <v>23</v>
      </c>
      <c r="U7" s="3329" t="s">
        <v>20</v>
      </c>
      <c r="V7" s="3329"/>
      <c r="W7" s="3329"/>
      <c r="X7" s="3329" t="s">
        <v>10</v>
      </c>
      <c r="Y7" s="3329" t="s">
        <v>24</v>
      </c>
      <c r="Z7" s="4026" t="s">
        <v>25</v>
      </c>
      <c r="AA7" s="4027"/>
      <c r="AB7" s="4027"/>
      <c r="AC7" s="2124"/>
      <c r="AD7" s="4028" t="s">
        <v>26</v>
      </c>
      <c r="AE7" s="4029"/>
      <c r="AF7" s="4029"/>
      <c r="AG7" s="4029"/>
      <c r="AH7" s="4029"/>
      <c r="AI7" s="4029"/>
      <c r="AJ7" s="4029"/>
      <c r="AK7" s="2125"/>
      <c r="AL7" s="4032" t="s">
        <v>27</v>
      </c>
      <c r="AM7" s="4033"/>
      <c r="AN7" s="4033"/>
      <c r="AO7" s="4033"/>
      <c r="AP7" s="4033"/>
      <c r="AQ7" s="4033"/>
      <c r="AR7" s="4033"/>
      <c r="AS7" s="4033"/>
      <c r="AT7" s="4033"/>
      <c r="AU7" s="4033"/>
      <c r="AV7" s="4033"/>
      <c r="AW7" s="2126"/>
      <c r="AX7" s="4028" t="s">
        <v>28</v>
      </c>
      <c r="AY7" s="4029"/>
      <c r="AZ7" s="4029"/>
      <c r="BA7" s="4029"/>
      <c r="BB7" s="4029"/>
      <c r="BC7" s="2127"/>
      <c r="BD7" s="4028" t="s">
        <v>29</v>
      </c>
      <c r="BE7" s="4029"/>
      <c r="BF7" s="3890" t="s">
        <v>30</v>
      </c>
      <c r="BG7" s="3891"/>
      <c r="BH7" s="3891"/>
      <c r="BI7" s="3891"/>
      <c r="BJ7" s="3891"/>
      <c r="BK7" s="3892"/>
      <c r="BL7" s="4034" t="s">
        <v>31</v>
      </c>
      <c r="BM7" s="4035"/>
      <c r="BN7" s="4022" t="s">
        <v>32</v>
      </c>
      <c r="BO7" s="4023"/>
      <c r="BP7" s="4019" t="s">
        <v>33</v>
      </c>
    </row>
    <row r="8" spans="1:69" ht="74.25" customHeight="1" x14ac:dyDescent="0.2">
      <c r="A8" s="3329"/>
      <c r="B8" s="3329"/>
      <c r="C8" s="3329"/>
      <c r="D8" s="3329"/>
      <c r="E8" s="3329"/>
      <c r="F8" s="3329"/>
      <c r="G8" s="3329"/>
      <c r="H8" s="3329"/>
      <c r="I8" s="3329"/>
      <c r="J8" s="3329"/>
      <c r="K8" s="1586" t="s">
        <v>55</v>
      </c>
      <c r="L8" s="1586" t="s">
        <v>56</v>
      </c>
      <c r="M8" s="3329"/>
      <c r="N8" s="3329"/>
      <c r="O8" s="3329"/>
      <c r="P8" s="3329"/>
      <c r="Q8" s="3329"/>
      <c r="R8" s="3329"/>
      <c r="S8" s="3329"/>
      <c r="T8" s="3329"/>
      <c r="U8" s="118" t="s">
        <v>57</v>
      </c>
      <c r="V8" s="118" t="s">
        <v>58</v>
      </c>
      <c r="W8" s="118" t="s">
        <v>59</v>
      </c>
      <c r="X8" s="3329"/>
      <c r="Y8" s="3329"/>
      <c r="Z8" s="4020" t="s">
        <v>34</v>
      </c>
      <c r="AA8" s="4021"/>
      <c r="AB8" s="4020" t="s">
        <v>35</v>
      </c>
      <c r="AC8" s="4021"/>
      <c r="AD8" s="4020" t="s">
        <v>36</v>
      </c>
      <c r="AE8" s="4021"/>
      <c r="AF8" s="4020" t="s">
        <v>37</v>
      </c>
      <c r="AG8" s="4021"/>
      <c r="AH8" s="4020" t="s">
        <v>1887</v>
      </c>
      <c r="AI8" s="4021"/>
      <c r="AJ8" s="4020" t="s">
        <v>39</v>
      </c>
      <c r="AK8" s="4021"/>
      <c r="AL8" s="4020" t="s">
        <v>40</v>
      </c>
      <c r="AM8" s="4021"/>
      <c r="AN8" s="4020" t="s">
        <v>41</v>
      </c>
      <c r="AO8" s="4021"/>
      <c r="AP8" s="4020" t="s">
        <v>42</v>
      </c>
      <c r="AQ8" s="4021"/>
      <c r="AR8" s="4020" t="s">
        <v>43</v>
      </c>
      <c r="AS8" s="4021"/>
      <c r="AT8" s="4020" t="s">
        <v>44</v>
      </c>
      <c r="AU8" s="4021"/>
      <c r="AV8" s="4020" t="s">
        <v>45</v>
      </c>
      <c r="AW8" s="4021"/>
      <c r="AX8" s="4020" t="s">
        <v>46</v>
      </c>
      <c r="AY8" s="4021"/>
      <c r="AZ8" s="4020" t="s">
        <v>47</v>
      </c>
      <c r="BA8" s="4021"/>
      <c r="BB8" s="4020" t="s">
        <v>48</v>
      </c>
      <c r="BC8" s="4021"/>
      <c r="BD8" s="4030" t="s">
        <v>29</v>
      </c>
      <c r="BE8" s="4031"/>
      <c r="BF8" s="3861" t="s">
        <v>49</v>
      </c>
      <c r="BG8" s="3625" t="s">
        <v>50</v>
      </c>
      <c r="BH8" s="3861" t="s">
        <v>51</v>
      </c>
      <c r="BI8" s="3903" t="s">
        <v>52</v>
      </c>
      <c r="BJ8" s="3861" t="s">
        <v>53</v>
      </c>
      <c r="BK8" s="3155" t="s">
        <v>54</v>
      </c>
      <c r="BL8" s="4036"/>
      <c r="BM8" s="4037"/>
      <c r="BN8" s="4024"/>
      <c r="BO8" s="4025"/>
      <c r="BP8" s="4019"/>
    </row>
    <row r="9" spans="1:69" ht="37.5" customHeight="1" x14ac:dyDescent="0.2">
      <c r="A9" s="2128"/>
      <c r="B9" s="2129"/>
      <c r="C9" s="2129"/>
      <c r="D9" s="2129"/>
      <c r="E9" s="2129"/>
      <c r="F9" s="2129"/>
      <c r="G9" s="2129"/>
      <c r="H9" s="2129"/>
      <c r="I9" s="2129"/>
      <c r="J9" s="2129"/>
      <c r="K9" s="2129"/>
      <c r="L9" s="2130"/>
      <c r="M9" s="2129"/>
      <c r="N9" s="2129"/>
      <c r="O9" s="2129"/>
      <c r="P9" s="2129"/>
      <c r="Q9" s="2129"/>
      <c r="R9" s="2129"/>
      <c r="S9" s="2129"/>
      <c r="T9" s="2129"/>
      <c r="U9" s="2130"/>
      <c r="V9" s="2130"/>
      <c r="W9" s="2130"/>
      <c r="X9" s="2129"/>
      <c r="Y9" s="2131"/>
      <c r="Z9" s="1586" t="s">
        <v>55</v>
      </c>
      <c r="AA9" s="1586" t="s">
        <v>56</v>
      </c>
      <c r="AB9" s="1586" t="s">
        <v>55</v>
      </c>
      <c r="AC9" s="1586" t="s">
        <v>56</v>
      </c>
      <c r="AD9" s="1586" t="s">
        <v>55</v>
      </c>
      <c r="AE9" s="1586" t="s">
        <v>56</v>
      </c>
      <c r="AF9" s="1586" t="s">
        <v>55</v>
      </c>
      <c r="AG9" s="1586" t="s">
        <v>56</v>
      </c>
      <c r="AH9" s="1586" t="s">
        <v>55</v>
      </c>
      <c r="AI9" s="1586" t="s">
        <v>56</v>
      </c>
      <c r="AJ9" s="1586" t="s">
        <v>55</v>
      </c>
      <c r="AK9" s="1586" t="s">
        <v>56</v>
      </c>
      <c r="AL9" s="1586" t="s">
        <v>55</v>
      </c>
      <c r="AM9" s="1586" t="s">
        <v>56</v>
      </c>
      <c r="AN9" s="1586" t="s">
        <v>55</v>
      </c>
      <c r="AO9" s="1586" t="s">
        <v>56</v>
      </c>
      <c r="AP9" s="1586" t="s">
        <v>55</v>
      </c>
      <c r="AQ9" s="1586" t="s">
        <v>56</v>
      </c>
      <c r="AR9" s="1586" t="s">
        <v>55</v>
      </c>
      <c r="AS9" s="1586" t="s">
        <v>56</v>
      </c>
      <c r="AT9" s="1586" t="s">
        <v>55</v>
      </c>
      <c r="AU9" s="1586" t="s">
        <v>56</v>
      </c>
      <c r="AV9" s="1586" t="s">
        <v>55</v>
      </c>
      <c r="AW9" s="1586" t="s">
        <v>56</v>
      </c>
      <c r="AX9" s="1586" t="s">
        <v>55</v>
      </c>
      <c r="AY9" s="1586" t="s">
        <v>56</v>
      </c>
      <c r="AZ9" s="1586" t="s">
        <v>55</v>
      </c>
      <c r="BA9" s="1586" t="s">
        <v>56</v>
      </c>
      <c r="BB9" s="1586" t="s">
        <v>55</v>
      </c>
      <c r="BC9" s="1586" t="s">
        <v>56</v>
      </c>
      <c r="BD9" s="1586" t="s">
        <v>55</v>
      </c>
      <c r="BE9" s="1586" t="s">
        <v>56</v>
      </c>
      <c r="BF9" s="3861"/>
      <c r="BG9" s="3625"/>
      <c r="BH9" s="3861"/>
      <c r="BI9" s="3903"/>
      <c r="BJ9" s="3861"/>
      <c r="BK9" s="3156"/>
      <c r="BL9" s="2132" t="s">
        <v>55</v>
      </c>
      <c r="BM9" s="2132" t="s">
        <v>56</v>
      </c>
      <c r="BN9" s="2132" t="s">
        <v>55</v>
      </c>
      <c r="BO9" s="2132" t="s">
        <v>56</v>
      </c>
      <c r="BP9" s="2133"/>
    </row>
    <row r="10" spans="1:69" ht="15" customHeight="1" x14ac:dyDescent="0.2">
      <c r="A10" s="2134">
        <v>5</v>
      </c>
      <c r="B10" s="1431" t="s">
        <v>1027</v>
      </c>
      <c r="C10" s="1431"/>
      <c r="D10" s="1431"/>
      <c r="E10" s="1431"/>
      <c r="F10" s="1431"/>
      <c r="G10" s="1431"/>
      <c r="H10" s="1431"/>
      <c r="I10" s="2135"/>
      <c r="J10" s="2135"/>
      <c r="K10" s="1431"/>
      <c r="L10" s="1431"/>
      <c r="M10" s="2136"/>
      <c r="N10" s="2135"/>
      <c r="O10" s="2137"/>
      <c r="P10" s="2138"/>
      <c r="Q10" s="2135"/>
      <c r="R10" s="2135"/>
      <c r="S10" s="2135"/>
      <c r="T10" s="2139"/>
      <c r="U10" s="2140"/>
      <c r="V10" s="2140"/>
      <c r="W10" s="2140"/>
      <c r="X10" s="1431"/>
      <c r="Y10" s="1431"/>
      <c r="Z10" s="1431"/>
      <c r="AA10" s="2141"/>
      <c r="AB10" s="2141"/>
      <c r="AC10" s="2141"/>
      <c r="AD10" s="2141"/>
      <c r="AE10" s="2141"/>
      <c r="AF10" s="2141"/>
      <c r="AG10" s="2141"/>
      <c r="AH10" s="2141"/>
      <c r="AI10" s="2141"/>
      <c r="AJ10" s="2141"/>
      <c r="AK10" s="2141"/>
      <c r="AL10" s="2141"/>
      <c r="AM10" s="2141"/>
      <c r="AN10" s="2141"/>
      <c r="AO10" s="2141"/>
      <c r="AP10" s="2141"/>
      <c r="AQ10" s="2141"/>
      <c r="AR10" s="2141"/>
      <c r="AS10" s="2141"/>
      <c r="AT10" s="2141"/>
      <c r="AU10" s="2141"/>
      <c r="AV10" s="2141"/>
      <c r="AW10" s="2141"/>
      <c r="AX10" s="2141"/>
      <c r="AY10" s="2141"/>
      <c r="AZ10" s="2141"/>
      <c r="BA10" s="2141"/>
      <c r="BB10" s="2141"/>
      <c r="BC10" s="2141"/>
      <c r="BD10" s="2141"/>
      <c r="BE10" s="2141"/>
      <c r="BF10" s="2141"/>
      <c r="BG10" s="2141"/>
      <c r="BH10" s="2141"/>
      <c r="BI10" s="2141"/>
      <c r="BJ10" s="2141"/>
      <c r="BK10" s="2141"/>
      <c r="BL10" s="2141"/>
      <c r="BM10" s="2141"/>
      <c r="BN10" s="2141"/>
      <c r="BO10" s="2141"/>
      <c r="BP10" s="2142"/>
    </row>
    <row r="11" spans="1:69" s="545" customFormat="1" ht="18" customHeight="1" x14ac:dyDescent="0.2">
      <c r="A11" s="977"/>
      <c r="B11" s="4038"/>
      <c r="C11" s="4039"/>
      <c r="D11" s="960">
        <v>26</v>
      </c>
      <c r="E11" s="2143" t="s">
        <v>1664</v>
      </c>
      <c r="F11" s="943"/>
      <c r="G11" s="943"/>
      <c r="H11" s="943"/>
      <c r="I11" s="2144"/>
      <c r="J11" s="2144"/>
      <c r="K11" s="943"/>
      <c r="L11" s="943"/>
      <c r="M11" s="2145"/>
      <c r="N11" s="2144"/>
      <c r="O11" s="2146"/>
      <c r="P11" s="2147"/>
      <c r="Q11" s="2144"/>
      <c r="R11" s="2144"/>
      <c r="S11" s="2144"/>
      <c r="T11" s="2148"/>
      <c r="U11" s="2149"/>
      <c r="V11" s="2149"/>
      <c r="W11" s="2149"/>
      <c r="X11" s="943"/>
      <c r="Y11" s="943"/>
      <c r="Z11" s="943"/>
      <c r="AA11" s="2150"/>
      <c r="AB11" s="944"/>
      <c r="AC11" s="944"/>
      <c r="AD11" s="944"/>
      <c r="AE11" s="944"/>
      <c r="AF11" s="944"/>
      <c r="AG11" s="944"/>
      <c r="AH11" s="944"/>
      <c r="AI11" s="944"/>
      <c r="AJ11" s="944"/>
      <c r="AK11" s="944"/>
      <c r="AL11" s="2151"/>
      <c r="AM11" s="2151"/>
      <c r="AN11" s="2152"/>
      <c r="AO11" s="2152"/>
      <c r="AP11" s="2151"/>
      <c r="AQ11" s="2151"/>
      <c r="AR11" s="2151"/>
      <c r="AS11" s="2151"/>
      <c r="AT11" s="2152"/>
      <c r="AU11" s="2152"/>
      <c r="AV11" s="2153"/>
      <c r="AW11" s="2153"/>
      <c r="AX11" s="2151"/>
      <c r="AY11" s="2151"/>
      <c r="AZ11" s="2151"/>
      <c r="BA11" s="2151"/>
      <c r="BB11" s="2152"/>
      <c r="BC11" s="2152"/>
      <c r="BD11" s="2151"/>
      <c r="BE11" s="2151"/>
      <c r="BF11" s="2151"/>
      <c r="BG11" s="2151"/>
      <c r="BH11" s="2151"/>
      <c r="BI11" s="2151"/>
      <c r="BJ11" s="2151"/>
      <c r="BK11" s="2151"/>
      <c r="BL11" s="2152"/>
      <c r="BM11" s="2152"/>
      <c r="BN11" s="2152"/>
      <c r="BO11" s="2152"/>
      <c r="BP11" s="2152"/>
    </row>
    <row r="12" spans="1:69" s="545" customFormat="1" ht="19.5" customHeight="1" x14ac:dyDescent="0.2">
      <c r="A12" s="980"/>
      <c r="B12" s="4038"/>
      <c r="C12" s="4039"/>
      <c r="D12" s="4042"/>
      <c r="E12" s="3223"/>
      <c r="F12" s="2154">
        <v>83</v>
      </c>
      <c r="G12" s="2155" t="s">
        <v>1888</v>
      </c>
      <c r="H12" s="2156"/>
      <c r="I12" s="2157"/>
      <c r="J12" s="2157"/>
      <c r="K12" s="2158"/>
      <c r="L12" s="2158"/>
      <c r="M12" s="2159"/>
      <c r="N12" s="2157"/>
      <c r="O12" s="2160"/>
      <c r="P12" s="2161"/>
      <c r="Q12" s="2157"/>
      <c r="R12" s="2157"/>
      <c r="S12" s="2157"/>
      <c r="T12" s="2162"/>
      <c r="U12" s="2163"/>
      <c r="V12" s="2163"/>
      <c r="W12" s="2163"/>
      <c r="X12" s="2164"/>
      <c r="Y12" s="2164"/>
      <c r="Z12" s="2158"/>
      <c r="AA12" s="2158"/>
      <c r="AB12" s="2158"/>
      <c r="AC12" s="2158"/>
      <c r="AD12" s="2158"/>
      <c r="AE12" s="2158"/>
      <c r="AF12" s="2158"/>
      <c r="AG12" s="2158"/>
      <c r="AH12" s="2158"/>
      <c r="AI12" s="2158"/>
      <c r="AJ12" s="2158"/>
      <c r="AK12" s="2158"/>
      <c r="AL12" s="2158"/>
      <c r="AM12" s="2158"/>
      <c r="AN12" s="2165"/>
      <c r="AO12" s="2165"/>
      <c r="AP12" s="2158"/>
      <c r="AQ12" s="2158"/>
      <c r="AR12" s="2165"/>
      <c r="AS12" s="2165"/>
      <c r="AT12" s="2157"/>
      <c r="AU12" s="2157"/>
      <c r="AV12" s="2158"/>
      <c r="AW12" s="2158"/>
      <c r="AX12" s="2165"/>
      <c r="AY12" s="2165"/>
      <c r="AZ12" s="2158"/>
      <c r="BA12" s="2158"/>
      <c r="BB12" s="2165"/>
      <c r="BC12" s="2165"/>
      <c r="BD12" s="2157"/>
      <c r="BE12" s="2157"/>
      <c r="BF12" s="2157"/>
      <c r="BG12" s="2157"/>
      <c r="BH12" s="2157"/>
      <c r="BI12" s="2157"/>
      <c r="BJ12" s="2157"/>
      <c r="BK12" s="2157"/>
      <c r="BL12" s="2165"/>
      <c r="BM12" s="2165"/>
      <c r="BN12" s="2157"/>
      <c r="BO12" s="2157"/>
      <c r="BP12" s="2157"/>
    </row>
    <row r="13" spans="1:69" s="545" customFormat="1" ht="30" x14ac:dyDescent="0.2">
      <c r="A13" s="980"/>
      <c r="B13" s="4038"/>
      <c r="C13" s="4039"/>
      <c r="D13" s="4043"/>
      <c r="E13" s="3225"/>
      <c r="F13" s="4045"/>
      <c r="G13" s="4046"/>
      <c r="H13" s="3318">
        <v>244</v>
      </c>
      <c r="I13" s="3822" t="s">
        <v>1889</v>
      </c>
      <c r="J13" s="3822" t="s">
        <v>1890</v>
      </c>
      <c r="K13" s="3318">
        <v>12</v>
      </c>
      <c r="L13" s="3176">
        <v>1</v>
      </c>
      <c r="M13" s="3822" t="s">
        <v>1891</v>
      </c>
      <c r="N13" s="3318" t="s">
        <v>1892</v>
      </c>
      <c r="O13" s="3822" t="s">
        <v>1893</v>
      </c>
      <c r="P13" s="4047">
        <f>SUM(U13:U16)/Q13</f>
        <v>1</v>
      </c>
      <c r="Q13" s="3761">
        <f>SUM(U13:U16)</f>
        <v>450000000</v>
      </c>
      <c r="R13" s="3822" t="s">
        <v>1894</v>
      </c>
      <c r="S13" s="3825" t="s">
        <v>1895</v>
      </c>
      <c r="T13" s="3792" t="s">
        <v>1896</v>
      </c>
      <c r="U13" s="2166">
        <v>328040000</v>
      </c>
      <c r="V13" s="2167">
        <v>127326500</v>
      </c>
      <c r="W13" s="2167">
        <v>31386000</v>
      </c>
      <c r="X13" s="2168">
        <v>20</v>
      </c>
      <c r="Y13" s="2169" t="s">
        <v>368</v>
      </c>
      <c r="Z13" s="4048">
        <v>294321</v>
      </c>
      <c r="AA13" s="4048"/>
      <c r="AB13" s="4058">
        <v>283947</v>
      </c>
      <c r="AC13" s="4048"/>
      <c r="AD13" s="4058">
        <v>135754</v>
      </c>
      <c r="AE13" s="4048"/>
      <c r="AF13" s="4058">
        <v>44640</v>
      </c>
      <c r="AG13" s="4048"/>
      <c r="AH13" s="4058">
        <v>308178</v>
      </c>
      <c r="AI13" s="4048"/>
      <c r="AJ13" s="4058">
        <v>89696</v>
      </c>
      <c r="AK13" s="4048"/>
      <c r="AL13" s="4058">
        <v>2145</v>
      </c>
      <c r="AM13" s="4048"/>
      <c r="AN13" s="4058">
        <v>12718</v>
      </c>
      <c r="AO13" s="4048"/>
      <c r="AP13" s="4074">
        <v>26</v>
      </c>
      <c r="AQ13" s="4048"/>
      <c r="AR13" s="4074">
        <v>37</v>
      </c>
      <c r="AS13" s="4048"/>
      <c r="AT13" s="4048">
        <v>0</v>
      </c>
      <c r="AU13" s="4048"/>
      <c r="AV13" s="4048">
        <v>0</v>
      </c>
      <c r="AW13" s="4048"/>
      <c r="AX13" s="4048">
        <v>52505</v>
      </c>
      <c r="AY13" s="4070"/>
      <c r="AZ13" s="4048">
        <v>16897</v>
      </c>
      <c r="BA13" s="4048"/>
      <c r="BB13" s="4048">
        <v>61646</v>
      </c>
      <c r="BC13" s="4048"/>
      <c r="BD13" s="4048">
        <f>+AD13+AF13+AH13+AJ13</f>
        <v>578268</v>
      </c>
      <c r="BE13" s="4048"/>
      <c r="BF13" s="3819">
        <v>13</v>
      </c>
      <c r="BG13" s="3813">
        <v>177448100</v>
      </c>
      <c r="BH13" s="3813">
        <v>53178000</v>
      </c>
      <c r="BI13" s="4067">
        <f>+BH13/BG13</f>
        <v>0.29968199152315522</v>
      </c>
      <c r="BJ13" s="4064" t="s">
        <v>1897</v>
      </c>
      <c r="BK13" s="4064" t="s">
        <v>1898</v>
      </c>
      <c r="BL13" s="3758">
        <v>43482</v>
      </c>
      <c r="BM13" s="3758">
        <v>43486</v>
      </c>
      <c r="BN13" s="3758">
        <v>43830</v>
      </c>
      <c r="BO13" s="3758">
        <v>43830</v>
      </c>
      <c r="BP13" s="3188" t="s">
        <v>1899</v>
      </c>
      <c r="BQ13" s="3224"/>
    </row>
    <row r="14" spans="1:69" s="545" customFormat="1" ht="40.5" customHeight="1" x14ac:dyDescent="0.2">
      <c r="A14" s="980"/>
      <c r="B14" s="4038"/>
      <c r="C14" s="4039"/>
      <c r="D14" s="4043"/>
      <c r="E14" s="3225"/>
      <c r="F14" s="4045"/>
      <c r="G14" s="4046"/>
      <c r="H14" s="3318"/>
      <c r="I14" s="3822"/>
      <c r="J14" s="3822"/>
      <c r="K14" s="3318"/>
      <c r="L14" s="3177"/>
      <c r="M14" s="3822"/>
      <c r="N14" s="3318"/>
      <c r="O14" s="3822"/>
      <c r="P14" s="4047"/>
      <c r="Q14" s="3761"/>
      <c r="R14" s="3822"/>
      <c r="S14" s="3825"/>
      <c r="T14" s="3793"/>
      <c r="U14" s="2171">
        <f>0+7645567</f>
        <v>7645567</v>
      </c>
      <c r="V14" s="2172">
        <v>0</v>
      </c>
      <c r="W14" s="2172">
        <v>0</v>
      </c>
      <c r="X14" s="2173">
        <v>88</v>
      </c>
      <c r="Y14" s="2169" t="s">
        <v>369</v>
      </c>
      <c r="Z14" s="4048"/>
      <c r="AA14" s="4048"/>
      <c r="AB14" s="4058"/>
      <c r="AC14" s="4048"/>
      <c r="AD14" s="4058">
        <v>135912</v>
      </c>
      <c r="AE14" s="4048"/>
      <c r="AF14" s="4058">
        <v>45122</v>
      </c>
      <c r="AG14" s="4048"/>
      <c r="AH14" s="4058">
        <v>307101</v>
      </c>
      <c r="AI14" s="4048"/>
      <c r="AJ14" s="4058">
        <v>86875</v>
      </c>
      <c r="AK14" s="4048"/>
      <c r="AL14" s="4058">
        <v>2145</v>
      </c>
      <c r="AM14" s="4048"/>
      <c r="AN14" s="4058">
        <v>12718</v>
      </c>
      <c r="AO14" s="4048"/>
      <c r="AP14" s="4074">
        <v>26</v>
      </c>
      <c r="AQ14" s="4048"/>
      <c r="AR14" s="4074">
        <v>37</v>
      </c>
      <c r="AS14" s="4048"/>
      <c r="AT14" s="4048"/>
      <c r="AU14" s="4048"/>
      <c r="AV14" s="4048"/>
      <c r="AW14" s="4048"/>
      <c r="AX14" s="4048">
        <v>53164</v>
      </c>
      <c r="AY14" s="4070"/>
      <c r="AZ14" s="4048">
        <v>16982</v>
      </c>
      <c r="BA14" s="4048"/>
      <c r="BB14" s="4048">
        <v>6013</v>
      </c>
      <c r="BC14" s="4048"/>
      <c r="BD14" s="4048"/>
      <c r="BE14" s="4048"/>
      <c r="BF14" s="3820"/>
      <c r="BG14" s="3814"/>
      <c r="BH14" s="3814"/>
      <c r="BI14" s="4068"/>
      <c r="BJ14" s="4065"/>
      <c r="BK14" s="4065"/>
      <c r="BL14" s="3759"/>
      <c r="BM14" s="3759"/>
      <c r="BN14" s="3759"/>
      <c r="BO14" s="3759"/>
      <c r="BP14" s="3242"/>
      <c r="BQ14" s="3224"/>
    </row>
    <row r="15" spans="1:69" s="545" customFormat="1" ht="30" x14ac:dyDescent="0.2">
      <c r="A15" s="980"/>
      <c r="B15" s="4038"/>
      <c r="C15" s="4039"/>
      <c r="D15" s="4043"/>
      <c r="E15" s="3225"/>
      <c r="F15" s="4045"/>
      <c r="G15" s="4046"/>
      <c r="H15" s="3318"/>
      <c r="I15" s="3822"/>
      <c r="J15" s="3822"/>
      <c r="K15" s="3318"/>
      <c r="L15" s="3177"/>
      <c r="M15" s="3822"/>
      <c r="N15" s="3318"/>
      <c r="O15" s="3822"/>
      <c r="P15" s="4047"/>
      <c r="Q15" s="3761"/>
      <c r="R15" s="3822"/>
      <c r="S15" s="3822" t="s">
        <v>1900</v>
      </c>
      <c r="T15" s="3792" t="s">
        <v>1901</v>
      </c>
      <c r="U15" s="2174">
        <v>71960000</v>
      </c>
      <c r="V15" s="2167">
        <v>50121600</v>
      </c>
      <c r="W15" s="2167">
        <v>21792000</v>
      </c>
      <c r="X15" s="2175">
        <v>20</v>
      </c>
      <c r="Y15" s="2176" t="s">
        <v>368</v>
      </c>
      <c r="Z15" s="4048"/>
      <c r="AA15" s="4048"/>
      <c r="AB15" s="4058"/>
      <c r="AC15" s="4048"/>
      <c r="AD15" s="4058">
        <v>135912</v>
      </c>
      <c r="AE15" s="4048"/>
      <c r="AF15" s="4058">
        <v>45122</v>
      </c>
      <c r="AG15" s="4048"/>
      <c r="AH15" s="4058">
        <v>307101</v>
      </c>
      <c r="AI15" s="4048"/>
      <c r="AJ15" s="4058">
        <v>86875</v>
      </c>
      <c r="AK15" s="4048"/>
      <c r="AL15" s="4058">
        <v>2145</v>
      </c>
      <c r="AM15" s="4048"/>
      <c r="AN15" s="4058">
        <v>12718</v>
      </c>
      <c r="AO15" s="4048"/>
      <c r="AP15" s="4074">
        <v>26</v>
      </c>
      <c r="AQ15" s="4048"/>
      <c r="AR15" s="4074">
        <v>37</v>
      </c>
      <c r="AS15" s="4048"/>
      <c r="AT15" s="4048"/>
      <c r="AU15" s="4048"/>
      <c r="AV15" s="4048"/>
      <c r="AW15" s="4048"/>
      <c r="AX15" s="4048">
        <v>53164</v>
      </c>
      <c r="AY15" s="4070"/>
      <c r="AZ15" s="4048">
        <v>16982</v>
      </c>
      <c r="BA15" s="4048"/>
      <c r="BB15" s="4048">
        <v>6013</v>
      </c>
      <c r="BC15" s="4048"/>
      <c r="BD15" s="4048"/>
      <c r="BE15" s="4048"/>
      <c r="BF15" s="3820"/>
      <c r="BG15" s="3814"/>
      <c r="BH15" s="3814"/>
      <c r="BI15" s="4068"/>
      <c r="BJ15" s="4065"/>
      <c r="BK15" s="4065"/>
      <c r="BL15" s="3759"/>
      <c r="BM15" s="3759"/>
      <c r="BN15" s="3759"/>
      <c r="BO15" s="3759"/>
      <c r="BP15" s="3242"/>
      <c r="BQ15" s="2177"/>
    </row>
    <row r="16" spans="1:69" s="545" customFormat="1" ht="38.25" customHeight="1" x14ac:dyDescent="0.2">
      <c r="A16" s="980"/>
      <c r="B16" s="4038"/>
      <c r="C16" s="4039"/>
      <c r="D16" s="4043"/>
      <c r="E16" s="3225"/>
      <c r="F16" s="4045"/>
      <c r="G16" s="4046"/>
      <c r="H16" s="3318"/>
      <c r="I16" s="3822"/>
      <c r="J16" s="3822"/>
      <c r="K16" s="3318"/>
      <c r="L16" s="3178"/>
      <c r="M16" s="3822"/>
      <c r="N16" s="3318"/>
      <c r="O16" s="3822"/>
      <c r="P16" s="4047"/>
      <c r="Q16" s="3761"/>
      <c r="R16" s="3822"/>
      <c r="S16" s="3822"/>
      <c r="T16" s="3793"/>
      <c r="U16" s="2174">
        <f>0+42354433</f>
        <v>42354433</v>
      </c>
      <c r="V16" s="2174">
        <v>0</v>
      </c>
      <c r="W16" s="2174">
        <v>0</v>
      </c>
      <c r="X16" s="2175">
        <v>88</v>
      </c>
      <c r="Y16" s="2176" t="s">
        <v>369</v>
      </c>
      <c r="Z16" s="4048"/>
      <c r="AA16" s="4048"/>
      <c r="AB16" s="4058"/>
      <c r="AC16" s="4048"/>
      <c r="AD16" s="4058">
        <v>135912</v>
      </c>
      <c r="AE16" s="4048"/>
      <c r="AF16" s="4058">
        <v>45122</v>
      </c>
      <c r="AG16" s="4048"/>
      <c r="AH16" s="4058">
        <v>307101</v>
      </c>
      <c r="AI16" s="4048"/>
      <c r="AJ16" s="4058">
        <v>86875</v>
      </c>
      <c r="AK16" s="4048"/>
      <c r="AL16" s="4058">
        <v>2145</v>
      </c>
      <c r="AM16" s="4048"/>
      <c r="AN16" s="4058">
        <v>12718</v>
      </c>
      <c r="AO16" s="4048"/>
      <c r="AP16" s="4074">
        <v>26</v>
      </c>
      <c r="AQ16" s="4048"/>
      <c r="AR16" s="4074">
        <v>37</v>
      </c>
      <c r="AS16" s="4048"/>
      <c r="AT16" s="4048"/>
      <c r="AU16" s="4048"/>
      <c r="AV16" s="4048"/>
      <c r="AW16" s="4048"/>
      <c r="AX16" s="4048">
        <v>53164</v>
      </c>
      <c r="AY16" s="4070"/>
      <c r="AZ16" s="4048">
        <v>16982</v>
      </c>
      <c r="BA16" s="4048"/>
      <c r="BB16" s="4048">
        <v>6013</v>
      </c>
      <c r="BC16" s="4048"/>
      <c r="BD16" s="4048"/>
      <c r="BE16" s="4048"/>
      <c r="BF16" s="3821"/>
      <c r="BG16" s="3815"/>
      <c r="BH16" s="3815"/>
      <c r="BI16" s="4069"/>
      <c r="BJ16" s="4066"/>
      <c r="BK16" s="4066"/>
      <c r="BL16" s="3760"/>
      <c r="BM16" s="3760"/>
      <c r="BN16" s="3760"/>
      <c r="BO16" s="3760"/>
      <c r="BP16" s="3189"/>
    </row>
    <row r="17" spans="1:76" s="545" customFormat="1" ht="115.5" customHeight="1" x14ac:dyDescent="0.2">
      <c r="A17" s="980"/>
      <c r="B17" s="4038"/>
      <c r="C17" s="4039"/>
      <c r="D17" s="4044"/>
      <c r="E17" s="3227"/>
      <c r="F17" s="4045"/>
      <c r="G17" s="4046"/>
      <c r="H17" s="1417">
        <v>245</v>
      </c>
      <c r="I17" s="289" t="s">
        <v>1902</v>
      </c>
      <c r="J17" s="289" t="s">
        <v>1903</v>
      </c>
      <c r="K17" s="1417">
        <v>1</v>
      </c>
      <c r="L17" s="1417">
        <v>0.1</v>
      </c>
      <c r="M17" s="1425" t="s">
        <v>1904</v>
      </c>
      <c r="N17" s="1417" t="s">
        <v>1905</v>
      </c>
      <c r="O17" s="289" t="s">
        <v>1906</v>
      </c>
      <c r="P17" s="2178">
        <f>SUM(U17)/Q17</f>
        <v>1</v>
      </c>
      <c r="Q17" s="1547">
        <f>U17</f>
        <v>40000000</v>
      </c>
      <c r="R17" s="289" t="s">
        <v>1907</v>
      </c>
      <c r="S17" s="289" t="s">
        <v>1908</v>
      </c>
      <c r="T17" s="289" t="s">
        <v>1909</v>
      </c>
      <c r="U17" s="2179">
        <v>40000000</v>
      </c>
      <c r="V17" s="2180">
        <v>12870800</v>
      </c>
      <c r="W17" s="2180">
        <v>2798000</v>
      </c>
      <c r="X17" s="2181">
        <v>20</v>
      </c>
      <c r="Y17" s="2182" t="s">
        <v>71</v>
      </c>
      <c r="Z17" s="2183">
        <v>294321</v>
      </c>
      <c r="AA17" s="2183"/>
      <c r="AB17" s="2183">
        <v>283947</v>
      </c>
      <c r="AC17" s="2183"/>
      <c r="AD17" s="2184">
        <v>13754</v>
      </c>
      <c r="AE17" s="2184"/>
      <c r="AF17" s="2184">
        <v>44640</v>
      </c>
      <c r="AG17" s="2184"/>
      <c r="AH17" s="2184">
        <v>308178</v>
      </c>
      <c r="AI17" s="2184"/>
      <c r="AJ17" s="2184">
        <v>89696</v>
      </c>
      <c r="AK17" s="2184"/>
      <c r="AL17" s="2184">
        <v>2145</v>
      </c>
      <c r="AM17" s="2184"/>
      <c r="AN17" s="2184">
        <v>12718</v>
      </c>
      <c r="AO17" s="2184"/>
      <c r="AP17" s="2184">
        <v>26</v>
      </c>
      <c r="AQ17" s="2184"/>
      <c r="AR17" s="2184">
        <v>37</v>
      </c>
      <c r="AS17" s="2184"/>
      <c r="AT17" s="2184">
        <v>0</v>
      </c>
      <c r="AU17" s="2184"/>
      <c r="AV17" s="2184">
        <v>0</v>
      </c>
      <c r="AW17" s="2184"/>
      <c r="AX17" s="2184">
        <v>52505</v>
      </c>
      <c r="AY17" s="2184"/>
      <c r="AZ17" s="2184">
        <v>16897</v>
      </c>
      <c r="BA17" s="2184"/>
      <c r="BB17" s="2184">
        <v>61646</v>
      </c>
      <c r="BC17" s="2184"/>
      <c r="BD17" s="2184">
        <f>+Z17+AB17</f>
        <v>578268</v>
      </c>
      <c r="BE17" s="2184"/>
      <c r="BF17" s="2185">
        <v>1</v>
      </c>
      <c r="BG17" s="1429">
        <f>V17</f>
        <v>12870800</v>
      </c>
      <c r="BH17" s="1429">
        <f>W17</f>
        <v>2798000</v>
      </c>
      <c r="BI17" s="2186">
        <f>+BH17/BG17</f>
        <v>0.21739130434782608</v>
      </c>
      <c r="BJ17" s="1417" t="s">
        <v>71</v>
      </c>
      <c r="BK17" s="289" t="s">
        <v>1910</v>
      </c>
      <c r="BL17" s="2187">
        <v>43117</v>
      </c>
      <c r="BM17" s="2187">
        <v>43488</v>
      </c>
      <c r="BN17" s="2187">
        <v>43830</v>
      </c>
      <c r="BO17" s="2187">
        <v>43830</v>
      </c>
      <c r="BP17" s="289" t="s">
        <v>1899</v>
      </c>
      <c r="BQ17" s="418"/>
    </row>
    <row r="18" spans="1:76" ht="15.75" x14ac:dyDescent="0.2">
      <c r="A18" s="980"/>
      <c r="B18" s="4038"/>
      <c r="C18" s="4039"/>
      <c r="D18" s="2188">
        <v>28</v>
      </c>
      <c r="E18" s="2143" t="s">
        <v>1750</v>
      </c>
      <c r="F18" s="1446"/>
      <c r="G18" s="1446"/>
      <c r="H18" s="2189"/>
      <c r="I18" s="2153"/>
      <c r="J18" s="2153"/>
      <c r="K18" s="2151"/>
      <c r="L18" s="2151"/>
      <c r="M18" s="2190"/>
      <c r="N18" s="2153"/>
      <c r="O18" s="2191"/>
      <c r="P18" s="2192"/>
      <c r="Q18" s="2153"/>
      <c r="R18" s="2153"/>
      <c r="S18" s="2153"/>
      <c r="T18" s="2193"/>
      <c r="U18" s="2194"/>
      <c r="V18" s="2194"/>
      <c r="W18" s="2194"/>
      <c r="X18" s="2190"/>
      <c r="Y18" s="2190"/>
      <c r="Z18" s="2190"/>
      <c r="AA18" s="2190"/>
      <c r="AB18" s="2190"/>
      <c r="AC18" s="2190"/>
      <c r="AD18" s="2190"/>
      <c r="AE18" s="2190"/>
      <c r="AF18" s="2190"/>
      <c r="AG18" s="2190"/>
      <c r="AH18" s="2190"/>
      <c r="AI18" s="2190"/>
      <c r="AJ18" s="2190"/>
      <c r="AK18" s="2190"/>
      <c r="AL18" s="2190"/>
      <c r="AM18" s="2190"/>
      <c r="AN18" s="2190"/>
      <c r="AO18" s="2190"/>
      <c r="AP18" s="2190"/>
      <c r="AQ18" s="2190"/>
      <c r="AR18" s="2190"/>
      <c r="AS18" s="2190"/>
      <c r="AT18" s="2190"/>
      <c r="AU18" s="2190"/>
      <c r="AV18" s="2190"/>
      <c r="AW18" s="2190"/>
      <c r="AX18" s="2190"/>
      <c r="AY18" s="2190"/>
      <c r="AZ18" s="2190"/>
      <c r="BA18" s="2190"/>
      <c r="BB18" s="2190"/>
      <c r="BC18" s="2190"/>
      <c r="BD18" s="2190"/>
      <c r="BE18" s="2190"/>
      <c r="BF18" s="2190"/>
      <c r="BG18" s="2195"/>
      <c r="BH18" s="2195"/>
      <c r="BI18" s="2190"/>
      <c r="BJ18" s="2190"/>
      <c r="BK18" s="2190"/>
      <c r="BL18" s="2190"/>
      <c r="BM18" s="2190"/>
      <c r="BN18" s="2190"/>
      <c r="BO18" s="2190"/>
      <c r="BP18" s="2153"/>
    </row>
    <row r="19" spans="1:76" ht="15.75" x14ac:dyDescent="0.2">
      <c r="A19" s="980"/>
      <c r="B19" s="4038"/>
      <c r="C19" s="4039"/>
      <c r="D19" s="4049"/>
      <c r="E19" s="4052"/>
      <c r="F19" s="2196">
        <v>89</v>
      </c>
      <c r="G19" s="4055" t="s">
        <v>1911</v>
      </c>
      <c r="H19" s="4055"/>
      <c r="I19" s="4055"/>
      <c r="J19" s="4055"/>
      <c r="K19" s="4055"/>
      <c r="L19" s="2197"/>
      <c r="M19" s="2198"/>
      <c r="N19" s="4056"/>
      <c r="O19" s="4056"/>
      <c r="P19" s="4056"/>
      <c r="Q19" s="4056"/>
      <c r="R19" s="4056"/>
      <c r="S19" s="4056"/>
      <c r="T19" s="4056"/>
      <c r="U19" s="2199"/>
      <c r="V19" s="2200"/>
      <c r="W19" s="2200"/>
      <c r="X19" s="4057"/>
      <c r="Y19" s="4056"/>
      <c r="Z19" s="4056"/>
      <c r="AA19" s="4056"/>
      <c r="AB19" s="4056"/>
      <c r="AC19" s="2201"/>
      <c r="AD19" s="4056"/>
      <c r="AE19" s="4056"/>
      <c r="AF19" s="4056"/>
      <c r="AG19" s="4056"/>
      <c r="AH19" s="4056"/>
      <c r="AI19" s="4056"/>
      <c r="AJ19" s="4056"/>
      <c r="AK19" s="2201"/>
      <c r="AL19" s="4056"/>
      <c r="AM19" s="4056"/>
      <c r="AN19" s="4056"/>
      <c r="AO19" s="4056"/>
      <c r="AP19" s="4056"/>
      <c r="AQ19" s="4056"/>
      <c r="AR19" s="4056"/>
      <c r="AS19" s="2201"/>
      <c r="AT19" s="4056"/>
      <c r="AU19" s="4056"/>
      <c r="AV19" s="4056"/>
      <c r="AW19" s="4056"/>
      <c r="AX19" s="4056"/>
      <c r="AY19" s="4056"/>
      <c r="AZ19" s="4056"/>
      <c r="BA19" s="2201"/>
      <c r="BB19" s="4056"/>
      <c r="BC19" s="4056"/>
      <c r="BD19" s="4056"/>
      <c r="BE19" s="2201"/>
      <c r="BF19" s="2201"/>
      <c r="BG19" s="2202"/>
      <c r="BH19" s="2202"/>
      <c r="BI19" s="2201"/>
      <c r="BJ19" s="2201"/>
      <c r="BK19" s="2201"/>
      <c r="BL19" s="4056"/>
      <c r="BM19" s="4056"/>
      <c r="BN19" s="4056"/>
      <c r="BO19" s="4056"/>
      <c r="BP19" s="4056"/>
    </row>
    <row r="20" spans="1:76" ht="33.75" customHeight="1" x14ac:dyDescent="0.2">
      <c r="A20" s="980"/>
      <c r="B20" s="4038"/>
      <c r="C20" s="4039"/>
      <c r="D20" s="4050"/>
      <c r="E20" s="4053"/>
      <c r="F20" s="4071"/>
      <c r="G20" s="4071"/>
      <c r="H20" s="3318">
        <v>288</v>
      </c>
      <c r="I20" s="3822" t="s">
        <v>1912</v>
      </c>
      <c r="J20" s="3822" t="s">
        <v>1913</v>
      </c>
      <c r="K20" s="3318">
        <v>1</v>
      </c>
      <c r="L20" s="3176">
        <v>0.1</v>
      </c>
      <c r="M20" s="3318" t="s">
        <v>1914</v>
      </c>
      <c r="N20" s="3318" t="s">
        <v>1915</v>
      </c>
      <c r="O20" s="3822" t="s">
        <v>1916</v>
      </c>
      <c r="P20" s="4059">
        <f>SUM(U20:U24)/Q20</f>
        <v>1</v>
      </c>
      <c r="Q20" s="3189">
        <f>SUM(U20:U24)</f>
        <v>1463092662</v>
      </c>
      <c r="R20" s="3181" t="s">
        <v>1917</v>
      </c>
      <c r="S20" s="4061" t="s">
        <v>1918</v>
      </c>
      <c r="T20" s="4078" t="s">
        <v>1919</v>
      </c>
      <c r="U20" s="2203">
        <v>262242662</v>
      </c>
      <c r="V20" s="2204">
        <v>207000000</v>
      </c>
      <c r="W20" s="2204">
        <v>0</v>
      </c>
      <c r="X20" s="2205">
        <v>20</v>
      </c>
      <c r="Y20" s="978" t="s">
        <v>120</v>
      </c>
      <c r="Z20" s="4062">
        <v>294321</v>
      </c>
      <c r="AA20" s="4062"/>
      <c r="AB20" s="4062">
        <v>283947</v>
      </c>
      <c r="AC20" s="4062"/>
      <c r="AD20" s="4062">
        <v>13754</v>
      </c>
      <c r="AE20" s="4062"/>
      <c r="AF20" s="4062">
        <v>44640</v>
      </c>
      <c r="AG20" s="4062"/>
      <c r="AH20" s="4062">
        <v>308178</v>
      </c>
      <c r="AI20" s="4062"/>
      <c r="AJ20" s="4062">
        <v>89696</v>
      </c>
      <c r="AK20" s="4062"/>
      <c r="AL20" s="4062">
        <v>2145</v>
      </c>
      <c r="AM20" s="4062"/>
      <c r="AN20" s="4062">
        <v>12718</v>
      </c>
      <c r="AO20" s="4062"/>
      <c r="AP20" s="4062">
        <v>26</v>
      </c>
      <c r="AQ20" s="4062"/>
      <c r="AR20" s="4062">
        <v>37</v>
      </c>
      <c r="AS20" s="4062"/>
      <c r="AT20" s="4062">
        <v>0</v>
      </c>
      <c r="AU20" s="4062"/>
      <c r="AV20" s="4062">
        <v>0</v>
      </c>
      <c r="AW20" s="4062"/>
      <c r="AX20" s="4062">
        <v>52505</v>
      </c>
      <c r="AY20" s="4062"/>
      <c r="AZ20" s="4062">
        <v>16897</v>
      </c>
      <c r="BA20" s="4062"/>
      <c r="BB20" s="4062">
        <v>61646</v>
      </c>
      <c r="BC20" s="4062"/>
      <c r="BD20" s="4062">
        <f>+Z20+AB20</f>
        <v>578268</v>
      </c>
      <c r="BE20" s="4062"/>
      <c r="BF20" s="3819">
        <v>20</v>
      </c>
      <c r="BG20" s="4095">
        <v>437212033</v>
      </c>
      <c r="BH20" s="4095">
        <v>80731000</v>
      </c>
      <c r="BI20" s="4086">
        <f>+BH20/BG20</f>
        <v>0.1846495382253123</v>
      </c>
      <c r="BJ20" s="4089" t="s">
        <v>1920</v>
      </c>
      <c r="BK20" s="4089" t="s">
        <v>1921</v>
      </c>
      <c r="BL20" s="4075">
        <v>43101</v>
      </c>
      <c r="BM20" s="4075">
        <v>43475</v>
      </c>
      <c r="BN20" s="4075">
        <v>43465</v>
      </c>
      <c r="BO20" s="4075">
        <v>43830</v>
      </c>
      <c r="BP20" s="3215" t="s">
        <v>1899</v>
      </c>
      <c r="BQ20" s="545"/>
      <c r="BR20" s="545"/>
      <c r="BS20" s="545"/>
      <c r="BT20" s="545"/>
      <c r="BU20" s="545"/>
      <c r="BV20" s="545"/>
      <c r="BW20" s="545"/>
      <c r="BX20" s="545"/>
    </row>
    <row r="21" spans="1:76" ht="30.75" customHeight="1" x14ac:dyDescent="0.2">
      <c r="A21" s="980"/>
      <c r="B21" s="4038"/>
      <c r="C21" s="4039"/>
      <c r="D21" s="4050"/>
      <c r="E21" s="4053"/>
      <c r="F21" s="4071"/>
      <c r="G21" s="4071"/>
      <c r="H21" s="3318"/>
      <c r="I21" s="3822"/>
      <c r="J21" s="3822"/>
      <c r="K21" s="3318"/>
      <c r="L21" s="3177"/>
      <c r="M21" s="3318"/>
      <c r="N21" s="3318"/>
      <c r="O21" s="3822"/>
      <c r="P21" s="4060"/>
      <c r="Q21" s="3189"/>
      <c r="R21" s="3181"/>
      <c r="S21" s="4061"/>
      <c r="T21" s="4082"/>
      <c r="U21" s="2206">
        <f>0+694757338</f>
        <v>694757338</v>
      </c>
      <c r="V21" s="2207">
        <v>0</v>
      </c>
      <c r="W21" s="2207">
        <v>0</v>
      </c>
      <c r="X21" s="2205">
        <v>88</v>
      </c>
      <c r="Y21" s="978" t="s">
        <v>369</v>
      </c>
      <c r="Z21" s="4062"/>
      <c r="AA21" s="4062"/>
      <c r="AB21" s="4062"/>
      <c r="AC21" s="4062"/>
      <c r="AD21" s="4062"/>
      <c r="AE21" s="4062"/>
      <c r="AF21" s="4062"/>
      <c r="AG21" s="4062"/>
      <c r="AH21" s="4062"/>
      <c r="AI21" s="4062"/>
      <c r="AJ21" s="4062"/>
      <c r="AK21" s="4062"/>
      <c r="AL21" s="4062"/>
      <c r="AM21" s="4062"/>
      <c r="AN21" s="4062"/>
      <c r="AO21" s="4062"/>
      <c r="AP21" s="4062"/>
      <c r="AQ21" s="4062"/>
      <c r="AR21" s="4062"/>
      <c r="AS21" s="4062"/>
      <c r="AT21" s="4062"/>
      <c r="AU21" s="4062"/>
      <c r="AV21" s="4062"/>
      <c r="AW21" s="4062"/>
      <c r="AX21" s="4062"/>
      <c r="AY21" s="4062"/>
      <c r="AZ21" s="4062"/>
      <c r="BA21" s="4062"/>
      <c r="BB21" s="4062"/>
      <c r="BC21" s="4062"/>
      <c r="BD21" s="4062"/>
      <c r="BE21" s="4062"/>
      <c r="BF21" s="3820"/>
      <c r="BG21" s="4096"/>
      <c r="BH21" s="4096"/>
      <c r="BI21" s="4087"/>
      <c r="BJ21" s="4090"/>
      <c r="BK21" s="4092"/>
      <c r="BL21" s="4076"/>
      <c r="BM21" s="4076"/>
      <c r="BN21" s="4076"/>
      <c r="BO21" s="4076"/>
      <c r="BP21" s="3215"/>
      <c r="BQ21" s="545"/>
      <c r="BR21" s="545"/>
      <c r="BS21" s="545"/>
      <c r="BT21" s="545"/>
      <c r="BU21" s="545"/>
      <c r="BV21" s="545"/>
      <c r="BW21" s="545"/>
      <c r="BX21" s="545"/>
    </row>
    <row r="22" spans="1:76" ht="45" x14ac:dyDescent="0.2">
      <c r="A22" s="980"/>
      <c r="B22" s="4038"/>
      <c r="C22" s="4039"/>
      <c r="D22" s="4050"/>
      <c r="E22" s="4053"/>
      <c r="F22" s="4071"/>
      <c r="G22" s="4071"/>
      <c r="H22" s="3318"/>
      <c r="I22" s="3822"/>
      <c r="J22" s="3822"/>
      <c r="K22" s="3318"/>
      <c r="L22" s="3177"/>
      <c r="M22" s="3318"/>
      <c r="N22" s="3318"/>
      <c r="O22" s="3822"/>
      <c r="P22" s="4060"/>
      <c r="Q22" s="3761"/>
      <c r="R22" s="3822"/>
      <c r="S22" s="4061"/>
      <c r="T22" s="2208" t="s">
        <v>1922</v>
      </c>
      <c r="U22" s="2209">
        <v>30000000</v>
      </c>
      <c r="V22" s="2207">
        <v>0</v>
      </c>
      <c r="W22" s="2207">
        <v>0</v>
      </c>
      <c r="X22" s="2210">
        <v>20</v>
      </c>
      <c r="Y22" s="978" t="s">
        <v>120</v>
      </c>
      <c r="Z22" s="4062"/>
      <c r="AA22" s="4062"/>
      <c r="AB22" s="4062"/>
      <c r="AC22" s="4062"/>
      <c r="AD22" s="4062"/>
      <c r="AE22" s="4062"/>
      <c r="AF22" s="4062"/>
      <c r="AG22" s="4062"/>
      <c r="AH22" s="4062"/>
      <c r="AI22" s="4062"/>
      <c r="AJ22" s="4062"/>
      <c r="AK22" s="4062"/>
      <c r="AL22" s="4062"/>
      <c r="AM22" s="4062"/>
      <c r="AN22" s="4062"/>
      <c r="AO22" s="4062"/>
      <c r="AP22" s="4062"/>
      <c r="AQ22" s="4062"/>
      <c r="AR22" s="4062"/>
      <c r="AS22" s="4062"/>
      <c r="AT22" s="4062"/>
      <c r="AU22" s="4062"/>
      <c r="AV22" s="4062"/>
      <c r="AW22" s="4062"/>
      <c r="AX22" s="4062"/>
      <c r="AY22" s="4062"/>
      <c r="AZ22" s="4062"/>
      <c r="BA22" s="4062"/>
      <c r="BB22" s="4062"/>
      <c r="BC22" s="4062"/>
      <c r="BD22" s="4062"/>
      <c r="BE22" s="4062"/>
      <c r="BF22" s="3820"/>
      <c r="BG22" s="4096"/>
      <c r="BH22" s="4096"/>
      <c r="BI22" s="4087"/>
      <c r="BJ22" s="4090"/>
      <c r="BK22" s="4092"/>
      <c r="BL22" s="4076"/>
      <c r="BM22" s="4076"/>
      <c r="BN22" s="4076"/>
      <c r="BO22" s="4076"/>
      <c r="BP22" s="3825"/>
      <c r="BQ22" s="545"/>
      <c r="BR22" s="545"/>
      <c r="BS22" s="545"/>
      <c r="BT22" s="545"/>
      <c r="BU22" s="545"/>
      <c r="BV22" s="545"/>
      <c r="BW22" s="545"/>
      <c r="BX22" s="545"/>
    </row>
    <row r="23" spans="1:76" ht="45" x14ac:dyDescent="0.2">
      <c r="A23" s="980"/>
      <c r="B23" s="3231"/>
      <c r="C23" s="3223"/>
      <c r="D23" s="4050"/>
      <c r="E23" s="4053"/>
      <c r="F23" s="4072"/>
      <c r="G23" s="4072"/>
      <c r="H23" s="3176"/>
      <c r="I23" s="3179"/>
      <c r="J23" s="3179"/>
      <c r="K23" s="3176"/>
      <c r="L23" s="3177"/>
      <c r="M23" s="3176"/>
      <c r="N23" s="3176"/>
      <c r="O23" s="3179"/>
      <c r="P23" s="4060"/>
      <c r="Q23" s="3188"/>
      <c r="R23" s="3179"/>
      <c r="S23" s="4078" t="s">
        <v>1923</v>
      </c>
      <c r="T23" s="4080" t="s">
        <v>1924</v>
      </c>
      <c r="U23" s="2211">
        <v>320850000</v>
      </c>
      <c r="V23" s="2212">
        <v>230212033</v>
      </c>
      <c r="W23" s="2212">
        <v>80731000</v>
      </c>
      <c r="X23" s="2210">
        <v>20</v>
      </c>
      <c r="Y23" s="2213" t="s">
        <v>1925</v>
      </c>
      <c r="Z23" s="4063"/>
      <c r="AA23" s="4063"/>
      <c r="AB23" s="4063"/>
      <c r="AC23" s="4063"/>
      <c r="AD23" s="4063"/>
      <c r="AE23" s="4063"/>
      <c r="AF23" s="4063"/>
      <c r="AG23" s="4063"/>
      <c r="AH23" s="4063"/>
      <c r="AI23" s="4063"/>
      <c r="AJ23" s="4063"/>
      <c r="AK23" s="4063"/>
      <c r="AL23" s="4063"/>
      <c r="AM23" s="4063"/>
      <c r="AN23" s="4063"/>
      <c r="AO23" s="4063"/>
      <c r="AP23" s="4063"/>
      <c r="AQ23" s="4063"/>
      <c r="AR23" s="4063"/>
      <c r="AS23" s="4063"/>
      <c r="AT23" s="4063"/>
      <c r="AU23" s="4063"/>
      <c r="AV23" s="4063"/>
      <c r="AW23" s="4063"/>
      <c r="AX23" s="4063"/>
      <c r="AY23" s="4063"/>
      <c r="AZ23" s="4063"/>
      <c r="BA23" s="4063"/>
      <c r="BB23" s="4063"/>
      <c r="BC23" s="4063"/>
      <c r="BD23" s="4063"/>
      <c r="BE23" s="4063"/>
      <c r="BF23" s="3820"/>
      <c r="BG23" s="4096"/>
      <c r="BH23" s="4096"/>
      <c r="BI23" s="4087"/>
      <c r="BJ23" s="4090"/>
      <c r="BK23" s="4092"/>
      <c r="BL23" s="4076"/>
      <c r="BM23" s="4076"/>
      <c r="BN23" s="4076"/>
      <c r="BO23" s="4076"/>
      <c r="BP23" s="3214"/>
      <c r="BQ23" s="545"/>
      <c r="BR23" s="545"/>
      <c r="BS23" s="545"/>
      <c r="BT23" s="545"/>
      <c r="BU23" s="545"/>
      <c r="BV23" s="545"/>
      <c r="BW23" s="545"/>
      <c r="BX23" s="545"/>
    </row>
    <row r="24" spans="1:76" ht="27" customHeight="1" thickBot="1" x14ac:dyDescent="0.25">
      <c r="A24" s="2214"/>
      <c r="B24" s="4040"/>
      <c r="C24" s="4041"/>
      <c r="D24" s="4051"/>
      <c r="E24" s="4054"/>
      <c r="F24" s="4072"/>
      <c r="G24" s="4072"/>
      <c r="H24" s="3176"/>
      <c r="I24" s="3179"/>
      <c r="J24" s="3179"/>
      <c r="K24" s="3176"/>
      <c r="L24" s="4073"/>
      <c r="M24" s="3176"/>
      <c r="N24" s="3176"/>
      <c r="O24" s="3179"/>
      <c r="P24" s="4060"/>
      <c r="Q24" s="3188"/>
      <c r="R24" s="3179"/>
      <c r="S24" s="4079"/>
      <c r="T24" s="4081"/>
      <c r="U24" s="2215">
        <f>0+155242662</f>
        <v>155242662</v>
      </c>
      <c r="V24" s="2216"/>
      <c r="W24" s="2216"/>
      <c r="X24" s="2210">
        <v>88</v>
      </c>
      <c r="Y24" s="2213" t="s">
        <v>369</v>
      </c>
      <c r="Z24" s="4063"/>
      <c r="AA24" s="4063"/>
      <c r="AB24" s="4063"/>
      <c r="AC24" s="4063"/>
      <c r="AD24" s="4063"/>
      <c r="AE24" s="4063"/>
      <c r="AF24" s="4063"/>
      <c r="AG24" s="4063"/>
      <c r="AH24" s="4063"/>
      <c r="AI24" s="4063"/>
      <c r="AJ24" s="4063"/>
      <c r="AK24" s="4063"/>
      <c r="AL24" s="4063"/>
      <c r="AM24" s="4063"/>
      <c r="AN24" s="4063"/>
      <c r="AO24" s="4063"/>
      <c r="AP24" s="4063"/>
      <c r="AQ24" s="4063"/>
      <c r="AR24" s="4063"/>
      <c r="AS24" s="4063"/>
      <c r="AT24" s="4063"/>
      <c r="AU24" s="4063"/>
      <c r="AV24" s="4063"/>
      <c r="AW24" s="4063"/>
      <c r="AX24" s="4063"/>
      <c r="AY24" s="4063"/>
      <c r="AZ24" s="4063"/>
      <c r="BA24" s="4063"/>
      <c r="BB24" s="4063"/>
      <c r="BC24" s="4063"/>
      <c r="BD24" s="4063"/>
      <c r="BE24" s="4063"/>
      <c r="BF24" s="4094"/>
      <c r="BG24" s="4097"/>
      <c r="BH24" s="4097"/>
      <c r="BI24" s="4088"/>
      <c r="BJ24" s="4091"/>
      <c r="BK24" s="4093"/>
      <c r="BL24" s="4077"/>
      <c r="BM24" s="4077"/>
      <c r="BN24" s="4077"/>
      <c r="BO24" s="4077"/>
      <c r="BP24" s="3214"/>
      <c r="BQ24" s="545"/>
      <c r="BR24" s="545"/>
      <c r="BS24" s="545"/>
      <c r="BT24" s="545"/>
      <c r="BU24" s="545"/>
      <c r="BV24" s="545"/>
      <c r="BW24" s="545"/>
      <c r="BX24" s="545"/>
    </row>
    <row r="25" spans="1:76" s="930" customFormat="1" ht="16.5" thickBot="1" x14ac:dyDescent="0.3">
      <c r="A25" s="2217"/>
      <c r="B25" s="2218"/>
      <c r="C25" s="2218"/>
      <c r="D25" s="2218"/>
      <c r="E25" s="2219"/>
      <c r="F25" s="4083" t="s">
        <v>334</v>
      </c>
      <c r="G25" s="4084"/>
      <c r="H25" s="4084"/>
      <c r="I25" s="4084"/>
      <c r="J25" s="4084"/>
      <c r="K25" s="4084"/>
      <c r="L25" s="4084"/>
      <c r="M25" s="4084"/>
      <c r="N25" s="4084"/>
      <c r="O25" s="4084"/>
      <c r="P25" s="4085"/>
      <c r="Q25" s="2220">
        <f>+Q13+Q17+Q20</f>
        <v>1953092662</v>
      </c>
      <c r="R25" s="2217"/>
      <c r="S25" s="2218"/>
      <c r="T25" s="2221"/>
      <c r="U25" s="2222">
        <f>SUM(U13:U24)</f>
        <v>1953092662</v>
      </c>
      <c r="V25" s="2222">
        <f t="shared" ref="V25:W25" si="0">SUM(V13:V24)</f>
        <v>627530933</v>
      </c>
      <c r="W25" s="2222">
        <f t="shared" si="0"/>
        <v>136707000</v>
      </c>
      <c r="X25" s="2223"/>
      <c r="Y25" s="2224"/>
      <c r="Z25" s="2225"/>
      <c r="AA25" s="2225"/>
      <c r="AB25" s="2225"/>
      <c r="AC25" s="2225"/>
      <c r="AD25" s="2225"/>
      <c r="AE25" s="2225"/>
      <c r="AF25" s="2225"/>
      <c r="AG25" s="2225"/>
      <c r="AH25" s="2225"/>
      <c r="AI25" s="2225"/>
      <c r="AJ25" s="2225"/>
      <c r="AK25" s="2225"/>
      <c r="AL25" s="2225"/>
      <c r="AM25" s="2225"/>
      <c r="AN25" s="2225"/>
      <c r="AO25" s="2225"/>
      <c r="AP25" s="2225"/>
      <c r="AQ25" s="2225"/>
      <c r="AR25" s="2225"/>
      <c r="AS25" s="2225"/>
      <c r="AT25" s="2225"/>
      <c r="AU25" s="2225"/>
      <c r="AV25" s="2225"/>
      <c r="AW25" s="2225"/>
      <c r="AX25" s="2225"/>
      <c r="AY25" s="2225"/>
      <c r="AZ25" s="2225"/>
      <c r="BA25" s="2225"/>
      <c r="BB25" s="2225"/>
      <c r="BC25" s="2225"/>
      <c r="BD25" s="2225"/>
      <c r="BE25" s="2225"/>
      <c r="BF25" s="2225"/>
      <c r="BG25" s="2226">
        <f>SUM(BG13:BG24)</f>
        <v>627530933</v>
      </c>
      <c r="BH25" s="2226">
        <f>SUM(BH13:BH24)</f>
        <v>136707000</v>
      </c>
      <c r="BI25" s="2227">
        <f>BH25/BG25</f>
        <v>0.21784902195410979</v>
      </c>
      <c r="BJ25" s="2225"/>
      <c r="BK25" s="2225"/>
      <c r="BL25" s="2228"/>
      <c r="BM25" s="2228"/>
      <c r="BN25" s="2229"/>
      <c r="BO25" s="2229"/>
      <c r="BP25" s="2230"/>
    </row>
    <row r="26" spans="1:76" x14ac:dyDescent="0.2">
      <c r="Q26" s="1098"/>
    </row>
    <row r="27" spans="1:76" x14ac:dyDescent="0.2">
      <c r="Q27" s="1095"/>
    </row>
    <row r="31" spans="1:76" ht="15.75" x14ac:dyDescent="0.25">
      <c r="K31" s="2232" t="s">
        <v>1926</v>
      </c>
      <c r="L31" s="2232"/>
      <c r="M31" s="2233"/>
      <c r="N31" s="2233"/>
    </row>
    <row r="32" spans="1:76" ht="15.75" x14ac:dyDescent="0.25">
      <c r="K32" s="405" t="s">
        <v>1088</v>
      </c>
      <c r="L32" s="405"/>
      <c r="M32" s="405"/>
    </row>
  </sheetData>
  <sheetProtection password="F3F4" sheet="1" objects="1" scenarios="1"/>
  <mergeCells count="191">
    <mergeCell ref="F25:P25"/>
    <mergeCell ref="BI20:BI24"/>
    <mergeCell ref="BJ20:BJ24"/>
    <mergeCell ref="BK20:BK24"/>
    <mergeCell ref="BL20:BL24"/>
    <mergeCell ref="BM20:BM24"/>
    <mergeCell ref="BN20:BN24"/>
    <mergeCell ref="BC20:BC24"/>
    <mergeCell ref="BD20:BD24"/>
    <mergeCell ref="BE20:BE24"/>
    <mergeCell ref="BF20:BF24"/>
    <mergeCell ref="BG20:BG24"/>
    <mergeCell ref="BH20:BH24"/>
    <mergeCell ref="AW20:AW24"/>
    <mergeCell ref="AX20:AX24"/>
    <mergeCell ref="AY20:AY24"/>
    <mergeCell ref="AZ20:AZ24"/>
    <mergeCell ref="BA20:BA24"/>
    <mergeCell ref="BB20:BB24"/>
    <mergeCell ref="AQ20:AQ24"/>
    <mergeCell ref="AK20:AK24"/>
    <mergeCell ref="AL20:AL24"/>
    <mergeCell ref="AM20:AM24"/>
    <mergeCell ref="AN20:AN24"/>
    <mergeCell ref="AO20:AO24"/>
    <mergeCell ref="BO20:BO24"/>
    <mergeCell ref="BP20:BP24"/>
    <mergeCell ref="S23:S24"/>
    <mergeCell ref="T23:T24"/>
    <mergeCell ref="AE20:AE24"/>
    <mergeCell ref="AF20:AF24"/>
    <mergeCell ref="AG20:AG24"/>
    <mergeCell ref="AH20:AH24"/>
    <mergeCell ref="AI20:AI24"/>
    <mergeCell ref="AJ20:AJ24"/>
    <mergeCell ref="T20:T21"/>
    <mergeCell ref="Z20:Z24"/>
    <mergeCell ref="AA20:AA24"/>
    <mergeCell ref="AB20:AB24"/>
    <mergeCell ref="AC20:AC24"/>
    <mergeCell ref="AD20:AD24"/>
    <mergeCell ref="BQ13:BQ14"/>
    <mergeCell ref="S15:S16"/>
    <mergeCell ref="T15:T16"/>
    <mergeCell ref="BM13:BM16"/>
    <mergeCell ref="BN13:BN16"/>
    <mergeCell ref="BO13:BO16"/>
    <mergeCell ref="BP13:BP16"/>
    <mergeCell ref="AV13:AV16"/>
    <mergeCell ref="AW13:AW16"/>
    <mergeCell ref="AX13:AX16"/>
    <mergeCell ref="AM13:AM16"/>
    <mergeCell ref="AN13:AN16"/>
    <mergeCell ref="AO13:AO16"/>
    <mergeCell ref="AP13:AP16"/>
    <mergeCell ref="AQ13:AQ16"/>
    <mergeCell ref="AR13:AR16"/>
    <mergeCell ref="AG13:AG16"/>
    <mergeCell ref="AS13:AS16"/>
    <mergeCell ref="AT13:AT16"/>
    <mergeCell ref="AU13:AU16"/>
    <mergeCell ref="AD13:AD16"/>
    <mergeCell ref="AE13:AE16"/>
    <mergeCell ref="AF13:AF16"/>
    <mergeCell ref="F20:G24"/>
    <mergeCell ref="H20:H24"/>
    <mergeCell ref="I20:I24"/>
    <mergeCell ref="J20:J24"/>
    <mergeCell ref="K20:K24"/>
    <mergeCell ref="L20:L24"/>
    <mergeCell ref="M20:M24"/>
    <mergeCell ref="N20:N24"/>
    <mergeCell ref="O20:O24"/>
    <mergeCell ref="AT19:AZ19"/>
    <mergeCell ref="AP20:AP24"/>
    <mergeCell ref="BK13:BK16"/>
    <mergeCell ref="BL13:BL16"/>
    <mergeCell ref="BE13:BE16"/>
    <mergeCell ref="BF13:BF16"/>
    <mergeCell ref="BG13:BG16"/>
    <mergeCell ref="BH13:BH16"/>
    <mergeCell ref="BI13:BI16"/>
    <mergeCell ref="BJ13:BJ16"/>
    <mergeCell ref="AY13:AY16"/>
    <mergeCell ref="AZ13:AZ16"/>
    <mergeCell ref="BA13:BA16"/>
    <mergeCell ref="BB13:BB16"/>
    <mergeCell ref="BC13:BC16"/>
    <mergeCell ref="BD13:BD16"/>
    <mergeCell ref="BB19:BD19"/>
    <mergeCell ref="BL19:BP19"/>
    <mergeCell ref="AR20:AR24"/>
    <mergeCell ref="AS20:AS24"/>
    <mergeCell ref="AT20:AT24"/>
    <mergeCell ref="AU20:AU24"/>
    <mergeCell ref="AV20:AV24"/>
    <mergeCell ref="D19:D24"/>
    <mergeCell ref="E19:E24"/>
    <mergeCell ref="G19:K19"/>
    <mergeCell ref="N19:T19"/>
    <mergeCell ref="X19:AB19"/>
    <mergeCell ref="AD19:AJ19"/>
    <mergeCell ref="AL19:AR19"/>
    <mergeCell ref="K13:K16"/>
    <mergeCell ref="L13:L16"/>
    <mergeCell ref="M13:M16"/>
    <mergeCell ref="N13:N16"/>
    <mergeCell ref="O13:O16"/>
    <mergeCell ref="AH13:AH16"/>
    <mergeCell ref="AI13:AI16"/>
    <mergeCell ref="AJ13:AJ16"/>
    <mergeCell ref="AK13:AK16"/>
    <mergeCell ref="P20:P24"/>
    <mergeCell ref="Q20:Q24"/>
    <mergeCell ref="R20:R24"/>
    <mergeCell ref="S20:S22"/>
    <mergeCell ref="AL13:AL16"/>
    <mergeCell ref="AA13:AA16"/>
    <mergeCell ref="AB13:AB16"/>
    <mergeCell ref="AC13:AC16"/>
    <mergeCell ref="B11:C24"/>
    <mergeCell ref="D12:D17"/>
    <mergeCell ref="E12:E17"/>
    <mergeCell ref="F13:F17"/>
    <mergeCell ref="G13:G17"/>
    <mergeCell ref="H13:H16"/>
    <mergeCell ref="I13:I16"/>
    <mergeCell ref="AZ8:BA8"/>
    <mergeCell ref="BB8:BC8"/>
    <mergeCell ref="T7:T8"/>
    <mergeCell ref="U7:W7"/>
    <mergeCell ref="X7:X8"/>
    <mergeCell ref="Y7:Y8"/>
    <mergeCell ref="N7:N8"/>
    <mergeCell ref="O7:O8"/>
    <mergeCell ref="P7:P8"/>
    <mergeCell ref="Q7:Q8"/>
    <mergeCell ref="P13:P16"/>
    <mergeCell ref="Q13:Q16"/>
    <mergeCell ref="R13:R16"/>
    <mergeCell ref="S13:S14"/>
    <mergeCell ref="T13:T14"/>
    <mergeCell ref="Z13:Z16"/>
    <mergeCell ref="J13:J16"/>
    <mergeCell ref="BN7:BO8"/>
    <mergeCell ref="AR8:AS8"/>
    <mergeCell ref="AT8:AU8"/>
    <mergeCell ref="AV8:AW8"/>
    <mergeCell ref="AX8:AY8"/>
    <mergeCell ref="Z7:AB7"/>
    <mergeCell ref="AD7:AJ7"/>
    <mergeCell ref="BI8:BI9"/>
    <mergeCell ref="BJ8:BJ9"/>
    <mergeCell ref="BK8:BK9"/>
    <mergeCell ref="BD8:BE8"/>
    <mergeCell ref="BF8:BF9"/>
    <mergeCell ref="BG8:BG9"/>
    <mergeCell ref="BH8:BH9"/>
    <mergeCell ref="AJ8:AK8"/>
    <mergeCell ref="AL8:AM8"/>
    <mergeCell ref="AN8:AO8"/>
    <mergeCell ref="AP8:AQ8"/>
    <mergeCell ref="AL7:AV7"/>
    <mergeCell ref="AX7:BB7"/>
    <mergeCell ref="BD7:BE7"/>
    <mergeCell ref="BF7:BK7"/>
    <mergeCell ref="BL7:BM8"/>
    <mergeCell ref="R7:R8"/>
    <mergeCell ref="S7:S8"/>
    <mergeCell ref="G7:G8"/>
    <mergeCell ref="H7:H8"/>
    <mergeCell ref="I7:I8"/>
    <mergeCell ref="J7:J8"/>
    <mergeCell ref="K7:L7"/>
    <mergeCell ref="M7:M8"/>
    <mergeCell ref="A1:BL4"/>
    <mergeCell ref="A5:K6"/>
    <mergeCell ref="O5:BP5"/>
    <mergeCell ref="O6:Y6"/>
    <mergeCell ref="BL6:BP6"/>
    <mergeCell ref="A7:A8"/>
    <mergeCell ref="B7:C8"/>
    <mergeCell ref="D7:D8"/>
    <mergeCell ref="E7:E8"/>
    <mergeCell ref="F7:F8"/>
    <mergeCell ref="BP7:BP8"/>
    <mergeCell ref="Z8:AA8"/>
    <mergeCell ref="AB8:AC8"/>
    <mergeCell ref="AD8:AE8"/>
    <mergeCell ref="AF8:AG8"/>
    <mergeCell ref="AH8:AI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3</vt:i4>
      </vt:variant>
    </vt:vector>
  </HeadingPairs>
  <TitlesOfParts>
    <vt:vector size="19" baseType="lpstr">
      <vt:lpstr>SGTO PA ADMINISTRATIVA</vt:lpstr>
      <vt:lpstr>SGTO PA PLANEACION</vt:lpstr>
      <vt:lpstr>SGTO PA HACIENDA</vt:lpstr>
      <vt:lpstr>SGTO PA AGUAS INFRA</vt:lpstr>
      <vt:lpstr>SGTO PA INTERIOR</vt:lpstr>
      <vt:lpstr>SGTO PA CULTURA</vt:lpstr>
      <vt:lpstr>SGTO PA TURISMO</vt:lpstr>
      <vt:lpstr>SGTO PA AGRICULTURA</vt:lpstr>
      <vt:lpstr>SGTO PA PRIVADA</vt:lpstr>
      <vt:lpstr>SGTO PA EDUCACION</vt:lpstr>
      <vt:lpstr>SGTO PA FAMILIA</vt:lpstr>
      <vt:lpstr>SGTO PA REPR JUDICIAL</vt:lpstr>
      <vt:lpstr>SGTO PS SALUD</vt:lpstr>
      <vt:lpstr>SGTO PA INDEPORTES</vt:lpstr>
      <vt:lpstr>SGTO PA PROMOTORA</vt:lpstr>
      <vt:lpstr>SGTO PA IDTQ</vt:lpstr>
      <vt:lpstr>'SGTO PA PLANEACION'!Área_de_impresión</vt:lpstr>
      <vt:lpstr>'SGTO PA PROMOTORA'!Área_de_impresión</vt:lpstr>
      <vt:lpstr>'SGTO PA PLANEACION'!Títulos_a_imprimir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AUXPLANEACION03</cp:lastModifiedBy>
  <dcterms:created xsi:type="dcterms:W3CDTF">2019-05-03T13:19:57Z</dcterms:created>
  <dcterms:modified xsi:type="dcterms:W3CDTF">2019-05-09T16:06:58Z</dcterms:modified>
</cp:coreProperties>
</file>