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7\INSTRUMENTOS PLANIFICACION 2017\INSTRUMENTOS MARZO 2017\INSTRUMENTOS A  MARZO 2017\PROGRAMACION INSTRUMENTOS\"/>
    </mc:Choice>
  </mc:AlternateContent>
  <bookViews>
    <workbookView xWindow="0" yWindow="0" windowWidth="24000" windowHeight="9435" firstSheet="12" activeTab="14"/>
  </bookViews>
  <sheets>
    <sheet name="ADMINISTRATIVA" sheetId="18" r:id="rId1"/>
    <sheet name="PLANEACION" sheetId="5" r:id="rId2"/>
    <sheet name="HACIENDA" sheetId="3" r:id="rId3"/>
    <sheet name="AGUAS E INFRAESTRUCTURA" sheetId="16" r:id="rId4"/>
    <sheet name="CULTURA" sheetId="1" r:id="rId5"/>
    <sheet name="TURISMO" sheetId="6" r:id="rId6"/>
    <sheet name="AGRICULTURA" sheetId="21" r:id="rId7"/>
    <sheet name="INTERIOR" sheetId="19" r:id="rId8"/>
    <sheet name="PRIVADA" sheetId="4" r:id="rId9"/>
    <sheet name="EDUCACION" sheetId="17" r:id="rId10"/>
    <sheet name="FAMILIA" sheetId="8" r:id="rId11"/>
    <sheet name="REPRES. JUDICIAL" sheetId="9" r:id="rId12"/>
    <sheet name="SALUD" sheetId="11" r:id="rId13"/>
    <sheet name="INDEPORTES" sheetId="14" r:id="rId14"/>
    <sheet name="PROMOTORA" sheetId="22" r:id="rId15"/>
    <sheet name="IDTQ" sheetId="10" r:id="rId16"/>
  </sheets>
  <externalReferences>
    <externalReference r:id="rId17"/>
    <externalReference r:id="rId18"/>
    <externalReference r:id="rId19"/>
  </externalReferences>
  <definedNames>
    <definedName name="_1._Apoyo_con_equipos_para_la_seguridad_vial_Licenciamiento_de_software_para_comunicaciones" localSheetId="6">#REF!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7">#REF!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5">#REF!</definedName>
    <definedName name="_1._Apoyo_con_equipos_para_la_seguridad_vial_Licenciamiento_de_software_para_comunicaciones">#REF!</definedName>
    <definedName name="_xlnm.Print_Area" localSheetId="10">FAMILIA!$A$1:$AL$87</definedName>
    <definedName name="_xlnm.Print_Titles" localSheetId="9">EDUCACION!$1:$9</definedName>
    <definedName name="_xlnm.Print_Titles" localSheetId="2">HACIENDA!$1:$8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22" l="1"/>
  <c r="N20" i="22" s="1"/>
  <c r="O22" i="22"/>
  <c r="O20" i="22"/>
  <c r="O18" i="22"/>
  <c r="N18" i="22"/>
  <c r="O16" i="22"/>
  <c r="O14" i="22"/>
  <c r="N14" i="22"/>
  <c r="O12" i="22"/>
  <c r="N12" i="22" l="1"/>
  <c r="N16" i="22"/>
  <c r="V76" i="17"/>
  <c r="V77" i="17"/>
  <c r="P66" i="21"/>
  <c r="T64" i="21"/>
  <c r="O63" i="21"/>
  <c r="T62" i="21"/>
  <c r="O62" i="21"/>
  <c r="T61" i="21"/>
  <c r="O60" i="21"/>
  <c r="T56" i="21"/>
  <c r="O56" i="21"/>
  <c r="T55" i="21"/>
  <c r="O55" i="21"/>
  <c r="T54" i="21"/>
  <c r="T52" i="21"/>
  <c r="T51" i="21"/>
  <c r="O51" i="21"/>
  <c r="T50" i="21"/>
  <c r="T49" i="21"/>
  <c r="T47" i="21"/>
  <c r="O46" i="21"/>
  <c r="O45" i="21"/>
  <c r="O44" i="21"/>
  <c r="O43" i="21"/>
  <c r="T42" i="21"/>
  <c r="O40" i="21"/>
  <c r="O37" i="21"/>
  <c r="O35" i="21"/>
  <c r="O34" i="21"/>
  <c r="O30" i="21"/>
  <c r="O29" i="21"/>
  <c r="T28" i="21"/>
  <c r="O28" i="21"/>
  <c r="O27" i="21"/>
  <c r="T26" i="21"/>
  <c r="T23" i="21"/>
  <c r="O22" i="21"/>
  <c r="T20" i="21"/>
  <c r="O20" i="21"/>
  <c r="T19" i="21"/>
  <c r="O17" i="21"/>
  <c r="T16" i="21"/>
  <c r="O16" i="21"/>
  <c r="O15" i="21"/>
  <c r="T14" i="21"/>
  <c r="T13" i="21"/>
  <c r="O13" i="21"/>
  <c r="T12" i="21"/>
  <c r="O61" i="21"/>
  <c r="O42" i="21"/>
  <c r="O47" i="21"/>
  <c r="O64" i="21"/>
  <c r="O25" i="21"/>
  <c r="O14" i="21"/>
  <c r="O52" i="21"/>
  <c r="O49" i="21"/>
  <c r="O50" i="21"/>
  <c r="O12" i="21"/>
  <c r="O19" i="21"/>
  <c r="O54" i="21"/>
  <c r="T66" i="21"/>
  <c r="V105" i="17"/>
  <c r="V35" i="17"/>
  <c r="V38" i="5"/>
  <c r="V156" i="19"/>
  <c r="R151" i="19"/>
  <c r="R143" i="19"/>
  <c r="R156" i="19"/>
  <c r="Q139" i="19"/>
  <c r="Q132" i="19"/>
  <c r="Q127" i="19"/>
  <c r="Q124" i="19"/>
  <c r="Q121" i="19"/>
  <c r="Q113" i="19"/>
  <c r="Q111" i="19"/>
  <c r="Q105" i="19"/>
  <c r="Q102" i="19"/>
  <c r="Q100" i="19"/>
  <c r="Q93" i="19"/>
  <c r="Q91" i="19"/>
  <c r="Q84" i="19"/>
  <c r="Q80" i="19"/>
  <c r="Q78" i="19"/>
  <c r="Q72" i="19"/>
  <c r="Q70" i="19"/>
  <c r="Q66" i="19"/>
  <c r="Q64" i="19"/>
  <c r="Q57" i="19"/>
  <c r="Q54" i="19"/>
  <c r="Q50" i="19"/>
  <c r="Q44" i="19"/>
  <c r="Q42" i="19"/>
  <c r="Q36" i="19"/>
  <c r="Q21" i="19"/>
  <c r="Q17" i="19"/>
  <c r="Q16" i="19"/>
  <c r="Q15" i="19"/>
  <c r="Q14" i="19"/>
  <c r="T22" i="18"/>
  <c r="T25" i="18"/>
  <c r="P19" i="18"/>
  <c r="O20" i="18"/>
  <c r="O22" i="18"/>
  <c r="O24" i="18"/>
  <c r="O19" i="18"/>
  <c r="O23" i="18"/>
  <c r="P25" i="18"/>
  <c r="O21" i="18"/>
  <c r="R112" i="17"/>
  <c r="Q112" i="17"/>
  <c r="V111" i="17"/>
  <c r="R107" i="17"/>
  <c r="Q107" i="17"/>
  <c r="V106" i="17"/>
  <c r="R105" i="17"/>
  <c r="Q105" i="17"/>
  <c r="V104" i="17"/>
  <c r="R103" i="17"/>
  <c r="Q103" i="17"/>
  <c r="V102" i="17"/>
  <c r="R100" i="17"/>
  <c r="Q101" i="17"/>
  <c r="Q100" i="17"/>
  <c r="V99" i="17"/>
  <c r="R91" i="17"/>
  <c r="Q97" i="17"/>
  <c r="V90" i="17"/>
  <c r="R83" i="17"/>
  <c r="Q87" i="17"/>
  <c r="Q85" i="17"/>
  <c r="Q84" i="17"/>
  <c r="Q86" i="17"/>
  <c r="V82" i="17"/>
  <c r="V113" i="17"/>
  <c r="R71" i="17"/>
  <c r="Q73" i="17"/>
  <c r="Q72" i="17"/>
  <c r="Q75" i="17"/>
  <c r="V70" i="17"/>
  <c r="R48" i="17"/>
  <c r="Q65" i="17"/>
  <c r="Q61" i="17"/>
  <c r="Q56" i="17"/>
  <c r="Q52" i="17"/>
  <c r="Q69" i="17"/>
  <c r="Q48" i="17"/>
  <c r="V47" i="17"/>
  <c r="V39" i="17"/>
  <c r="R38" i="17"/>
  <c r="Q39" i="17"/>
  <c r="Q46" i="17"/>
  <c r="R35" i="17"/>
  <c r="Q35" i="17"/>
  <c r="V34" i="17"/>
  <c r="V12" i="17"/>
  <c r="V22" i="17"/>
  <c r="V37" i="17"/>
  <c r="R23" i="17"/>
  <c r="Q31" i="17"/>
  <c r="Q30" i="17"/>
  <c r="Q29" i="17"/>
  <c r="Q25" i="17"/>
  <c r="R13" i="17"/>
  <c r="Q13" i="17"/>
  <c r="Q16" i="17"/>
  <c r="Q21" i="17"/>
  <c r="Q41" i="17"/>
  <c r="Q62" i="17"/>
  <c r="Q93" i="17"/>
  <c r="Q108" i="17"/>
  <c r="Q23" i="17"/>
  <c r="Q28" i="17"/>
  <c r="Q44" i="17"/>
  <c r="Q49" i="17"/>
  <c r="Q54" i="17"/>
  <c r="Q59" i="17"/>
  <c r="Q63" i="17"/>
  <c r="Q68" i="17"/>
  <c r="Q71" i="17"/>
  <c r="Q74" i="17"/>
  <c r="Q83" i="17"/>
  <c r="Q95" i="17"/>
  <c r="Q96" i="17"/>
  <c r="Q109" i="17"/>
  <c r="Q42" i="17"/>
  <c r="Q92" i="17"/>
  <c r="Q53" i="17"/>
  <c r="Q57" i="17"/>
  <c r="Q66" i="17"/>
  <c r="Q24" i="17"/>
  <c r="Q38" i="17"/>
  <c r="Q43" i="17"/>
  <c r="Q51" i="17"/>
  <c r="Q55" i="17"/>
  <c r="Q60" i="17"/>
  <c r="Q64" i="17"/>
  <c r="Q91" i="17"/>
  <c r="T62" i="16"/>
  <c r="O61" i="16"/>
  <c r="O60" i="16"/>
  <c r="O59" i="16"/>
  <c r="O58" i="16"/>
  <c r="O56" i="16"/>
  <c r="O55" i="16"/>
  <c r="O49" i="16"/>
  <c r="O48" i="16"/>
  <c r="O43" i="16"/>
  <c r="O40" i="16"/>
  <c r="O37" i="16"/>
  <c r="O33" i="16"/>
  <c r="O16" i="16"/>
  <c r="O12" i="16"/>
  <c r="O44" i="14"/>
  <c r="S37" i="14"/>
  <c r="N37" i="14"/>
  <c r="S36" i="14"/>
  <c r="N35" i="14"/>
  <c r="S34" i="14"/>
  <c r="N33" i="14"/>
  <c r="N30" i="14"/>
  <c r="N28" i="14"/>
  <c r="S27" i="14"/>
  <c r="N26" i="14"/>
  <c r="Q20" i="14"/>
  <c r="P20" i="14"/>
  <c r="N20" i="14"/>
  <c r="N18" i="14"/>
  <c r="N12" i="14"/>
  <c r="S44" i="14"/>
  <c r="AD170" i="11"/>
  <c r="AD176" i="11"/>
  <c r="AC170" i="11"/>
  <c r="AC176" i="11"/>
  <c r="AB170" i="11"/>
  <c r="AB176" i="11"/>
  <c r="Z170" i="11"/>
  <c r="Z176" i="11"/>
  <c r="Y170" i="11"/>
  <c r="Y176" i="11"/>
  <c r="AA170" i="11"/>
  <c r="AA176" i="11"/>
  <c r="Q161" i="11"/>
  <c r="Q159" i="11"/>
  <c r="V151" i="11"/>
  <c r="R149" i="11"/>
  <c r="Q146" i="11"/>
  <c r="Q143" i="11"/>
  <c r="Q141" i="11"/>
  <c r="V134" i="11"/>
  <c r="V132" i="11"/>
  <c r="R131" i="11"/>
  <c r="Q134" i="11"/>
  <c r="AJ131" i="11"/>
  <c r="AH131" i="11"/>
  <c r="AG131" i="11"/>
  <c r="AF131" i="11"/>
  <c r="AD131" i="11"/>
  <c r="AC131" i="11"/>
  <c r="AB131" i="11"/>
  <c r="AA131" i="11"/>
  <c r="Z131" i="11"/>
  <c r="Y131" i="11"/>
  <c r="Q131" i="11"/>
  <c r="V127" i="11"/>
  <c r="V126" i="11"/>
  <c r="R126" i="11"/>
  <c r="V123" i="11"/>
  <c r="V122" i="11"/>
  <c r="V120" i="11"/>
  <c r="R120" i="11"/>
  <c r="V118" i="11"/>
  <c r="V117" i="11"/>
  <c r="V104" i="11"/>
  <c r="V105" i="11"/>
  <c r="V106" i="11"/>
  <c r="V110" i="11"/>
  <c r="V111" i="11"/>
  <c r="R104" i="11"/>
  <c r="Q117" i="11"/>
  <c r="Q110" i="11"/>
  <c r="Q104" i="11"/>
  <c r="Q107" i="11"/>
  <c r="V102" i="11"/>
  <c r="V101" i="11"/>
  <c r="V99" i="11"/>
  <c r="V96" i="11"/>
  <c r="R95" i="11"/>
  <c r="Q91" i="11"/>
  <c r="AJ80" i="11"/>
  <c r="AJ88" i="11"/>
  <c r="AH80" i="11"/>
  <c r="AH88" i="11"/>
  <c r="AG80" i="11"/>
  <c r="AG88" i="11"/>
  <c r="AF80" i="11"/>
  <c r="AF88" i="11"/>
  <c r="AD80" i="11"/>
  <c r="AD88" i="11"/>
  <c r="AC80" i="11"/>
  <c r="AC88" i="11"/>
  <c r="AB80" i="11"/>
  <c r="AB88" i="11"/>
  <c r="Z80" i="11"/>
  <c r="Z88" i="11"/>
  <c r="Y80" i="11"/>
  <c r="Y88" i="11"/>
  <c r="Q88" i="11"/>
  <c r="Q83" i="11"/>
  <c r="AI80" i="11"/>
  <c r="AI88" i="11"/>
  <c r="AE80" i="11"/>
  <c r="AE88" i="11"/>
  <c r="AA80" i="11"/>
  <c r="AA88" i="11"/>
  <c r="Q80" i="11"/>
  <c r="V70" i="11"/>
  <c r="R70" i="11"/>
  <c r="V69" i="11"/>
  <c r="R64" i="11"/>
  <c r="Q69" i="11"/>
  <c r="V64" i="11"/>
  <c r="Q64" i="11"/>
  <c r="V61" i="11"/>
  <c r="R61" i="11"/>
  <c r="Q58" i="11"/>
  <c r="Q55" i="11"/>
  <c r="Q52" i="11"/>
  <c r="V46" i="11"/>
  <c r="R46" i="11"/>
  <c r="Q47" i="11"/>
  <c r="AJ46" i="11"/>
  <c r="AI46" i="11"/>
  <c r="AH46" i="11"/>
  <c r="AG46" i="11"/>
  <c r="AF46" i="11"/>
  <c r="AE46" i="11"/>
  <c r="AD46" i="11"/>
  <c r="AC46" i="11"/>
  <c r="AB46" i="11"/>
  <c r="AA46" i="11"/>
  <c r="Z46" i="11"/>
  <c r="Y46" i="11"/>
  <c r="Q46" i="11"/>
  <c r="Q49" i="11"/>
  <c r="Q42" i="11"/>
  <c r="V40" i="11"/>
  <c r="Q39" i="11"/>
  <c r="V38" i="11"/>
  <c r="V36" i="11"/>
  <c r="V35" i="11"/>
  <c r="V34" i="11"/>
  <c r="Q34" i="11"/>
  <c r="V33" i="11"/>
  <c r="V31" i="11"/>
  <c r="Q31" i="11"/>
  <c r="Q28" i="11"/>
  <c r="Q26" i="11"/>
  <c r="V16" i="11"/>
  <c r="V189" i="11"/>
  <c r="R16" i="11"/>
  <c r="Q19" i="11"/>
  <c r="AA95" i="11"/>
  <c r="AE95" i="11"/>
  <c r="AI95" i="11"/>
  <c r="Q99" i="11"/>
  <c r="Q97" i="11"/>
  <c r="Q95" i="11"/>
  <c r="Z95" i="11"/>
  <c r="AB95" i="11"/>
  <c r="AD95" i="11"/>
  <c r="AF95" i="11"/>
  <c r="AH95" i="11"/>
  <c r="AJ95" i="11"/>
  <c r="Q16" i="11"/>
  <c r="Q17" i="11"/>
  <c r="Y95" i="11"/>
  <c r="AC95" i="11"/>
  <c r="AG95" i="11"/>
  <c r="R189" i="11"/>
  <c r="V16" i="10"/>
  <c r="R16" i="10"/>
  <c r="Q15" i="10"/>
  <c r="Q14" i="10"/>
  <c r="Q12" i="10"/>
  <c r="AG104" i="11"/>
  <c r="AE104" i="11"/>
  <c r="AJ104" i="11"/>
  <c r="AH104" i="11"/>
  <c r="AI104" i="11"/>
  <c r="AF104" i="11"/>
  <c r="S16" i="9"/>
  <c r="O16" i="9"/>
  <c r="O73" i="8"/>
  <c r="S63" i="8"/>
  <c r="AB58" i="8"/>
  <c r="S58" i="8"/>
  <c r="S55" i="8"/>
  <c r="S54" i="8"/>
  <c r="S51" i="8"/>
  <c r="S45" i="8"/>
  <c r="S12" i="8"/>
  <c r="S23" i="8"/>
  <c r="S29" i="8"/>
  <c r="S73" i="8"/>
  <c r="V125" i="6"/>
  <c r="R125" i="6"/>
  <c r="Q125" i="6"/>
  <c r="V120" i="6"/>
  <c r="V117" i="6"/>
  <c r="V115" i="6"/>
  <c r="V113" i="6"/>
  <c r="V110" i="6"/>
  <c r="R110" i="6"/>
  <c r="V106" i="6"/>
  <c r="Q106" i="6"/>
  <c r="V100" i="6"/>
  <c r="Q100" i="6"/>
  <c r="V92" i="6"/>
  <c r="Q92" i="6"/>
  <c r="V88" i="6"/>
  <c r="Q88" i="6"/>
  <c r="V82" i="6"/>
  <c r="Q82" i="6"/>
  <c r="V74" i="6"/>
  <c r="Q74" i="6"/>
  <c r="V68" i="6"/>
  <c r="Q68" i="6"/>
  <c r="V61" i="6"/>
  <c r="Q61" i="6"/>
  <c r="V55" i="6"/>
  <c r="Q55" i="6"/>
  <c r="Q48" i="6"/>
  <c r="V47" i="6"/>
  <c r="V39" i="6"/>
  <c r="Q39" i="6"/>
  <c r="V35" i="6"/>
  <c r="V31" i="6"/>
  <c r="Q31" i="6"/>
  <c r="V26" i="6"/>
  <c r="Q26" i="6"/>
  <c r="V21" i="6"/>
  <c r="V133" i="6"/>
  <c r="Q21" i="6"/>
  <c r="R133" i="6"/>
  <c r="Q110" i="6"/>
  <c r="Q90" i="5"/>
  <c r="Q89" i="5"/>
  <c r="Q88" i="5"/>
  <c r="Q87" i="5"/>
  <c r="Q85" i="5"/>
  <c r="Q84" i="5"/>
  <c r="Q83" i="5"/>
  <c r="Q82" i="5"/>
  <c r="Q81" i="5"/>
  <c r="V87" i="5"/>
  <c r="V85" i="5"/>
  <c r="V80" i="5"/>
  <c r="V79" i="5"/>
  <c r="V78" i="5"/>
  <c r="V77" i="5"/>
  <c r="V91" i="5" s="1"/>
  <c r="V76" i="5"/>
  <c r="R75" i="5"/>
  <c r="V71" i="5"/>
  <c r="V70" i="5"/>
  <c r="V69" i="5"/>
  <c r="V68" i="5"/>
  <c r="V59" i="5"/>
  <c r="R58" i="5"/>
  <c r="V48" i="5"/>
  <c r="R43" i="5"/>
  <c r="V37" i="5"/>
  <c r="V35" i="5"/>
  <c r="V33" i="5"/>
  <c r="R81" i="5"/>
  <c r="R91" i="5"/>
  <c r="Q46" i="5"/>
  <c r="Q49" i="5"/>
  <c r="Q43" i="5"/>
  <c r="Q47" i="5"/>
  <c r="Q48" i="5"/>
  <c r="T33" i="4"/>
  <c r="T32" i="4"/>
  <c r="T31" i="4"/>
  <c r="T30" i="4"/>
  <c r="P30" i="4"/>
  <c r="O30" i="4"/>
  <c r="P20" i="4"/>
  <c r="T12" i="4"/>
  <c r="T13" i="4"/>
  <c r="T14" i="4"/>
  <c r="T15" i="4"/>
  <c r="T16" i="4"/>
  <c r="T17" i="4"/>
  <c r="T18" i="4"/>
  <c r="P12" i="4"/>
  <c r="P38" i="4"/>
  <c r="O20" i="4"/>
  <c r="O12" i="4"/>
  <c r="T38" i="4"/>
  <c r="O24" i="3"/>
  <c r="O23" i="3"/>
  <c r="T21" i="3"/>
  <c r="T27" i="3"/>
  <c r="P12" i="3"/>
  <c r="O14" i="3"/>
  <c r="O12" i="3"/>
  <c r="O17" i="3"/>
  <c r="P27" i="3"/>
  <c r="T33" i="1"/>
  <c r="P33" i="1"/>
  <c r="O31" i="1"/>
  <c r="O23" i="1"/>
  <c r="O18" i="1"/>
  <c r="O13" i="1"/>
  <c r="O32" i="1"/>
  <c r="O30" i="1"/>
  <c r="O29" i="1"/>
  <c r="O25" i="1"/>
  <c r="O24" i="1"/>
  <c r="O15" i="1"/>
  <c r="O14" i="1"/>
  <c r="R113" i="17"/>
</calcChain>
</file>

<file path=xl/sharedStrings.xml><?xml version="1.0" encoding="utf-8"?>
<sst xmlns="http://schemas.openxmlformats.org/spreadsheetml/2006/main" count="3507" uniqueCount="1976">
  <si>
    <t xml:space="preserve">CODIGO:  </t>
  </si>
  <si>
    <t xml:space="preserve">VERSIÓN: </t>
  </si>
  <si>
    <t xml:space="preserve">FECHA: </t>
  </si>
  <si>
    <t>PÁGINA:</t>
  </si>
  <si>
    <t>01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</si>
  <si>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</si>
  <si>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</si>
  <si>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</si>
  <si>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</si>
  <si>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</si>
  <si>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</si>
  <si>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</si>
  <si>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</si>
  <si>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</si>
  <si>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</si>
  <si>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</si>
  <si>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</si>
  <si>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</si>
  <si>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</si>
  <si>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</si>
  <si>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</si>
  <si>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</si>
  <si>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</si>
  <si>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</si>
  <si>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</si>
  <si>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</si>
  <si>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</si>
  <si>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</si>
  <si>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</si>
  <si>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</si>
  <si>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</si>
  <si>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</si>
  <si>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</si>
  <si>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</si>
  <si>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</si>
  <si>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</si>
  <si>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</si>
  <si>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</si>
  <si>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</si>
  <si>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</si>
  <si>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P</t>
  </si>
  <si>
    <t>PRESUPUESTADO</t>
  </si>
  <si>
    <t>ESTRATEGIA DE INCLUSION SOCIAL</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</si>
  <si>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</si>
  <si>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</si>
  <si>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</si>
  <si>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  0310 - 5 - 3 1 3 9 29 5 45 - 83</t>
  </si>
  <si>
    <t xml:space="preserve">Apoyo a seguridad social del creador y gestor cultural del Departamento del Quindio </t>
  </si>
  <si>
    <t xml:space="preserve">Garantizar la seguridad social  para artistas y gestores culturales </t>
  </si>
  <si>
    <t>Garantizar seguridad social para los artistas</t>
  </si>
  <si>
    <t xml:space="preserve">JAMES GONZALES MATA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</si>
  <si>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</si>
  <si>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</si>
  <si>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 0310 - 5 - 3 1 3 9 29 5 46-88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</si>
  <si>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</si>
  <si>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</si>
  <si>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</si>
  <si>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</si>
  <si>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Apoyar  treinta y cinco  (35) proyectos del programa de concertación cultural del departamento</t>
  </si>
  <si>
    <t>Nro de proyectos o actividades programadas  /  Proyectos o actividades ejecutados</t>
  </si>
  <si>
    <t>0310 - 5 - 3 1 3 9 29 5 46 - 39 / 0310 - 5 - 3 1 3 9 29 5 46 - 83</t>
  </si>
  <si>
    <t>Alta concertación de proyectos con la institucionalidad cultural</t>
  </si>
  <si>
    <t xml:space="preserve">Ampliación del acceso a recursos para la financiación de proyectos culturales concertados </t>
  </si>
  <si>
    <t>Apoyar once  (11) proyectos mediante estímulos artísticos y culturales</t>
  </si>
  <si>
    <t>0310 - 5 - 3 1 3 9 29 5 46 - 41 / 0310 - 5 - 3 1 3 9 29 5 46 - 83</t>
  </si>
  <si>
    <t>Mayor apoyo a la creación investigación y producción artistica</t>
  </si>
  <si>
    <t xml:space="preserve"> Oportuindades de acceso a estímulos del estado para  creadores independientes</t>
  </si>
  <si>
    <t>Emprendimiento Cultural</t>
  </si>
  <si>
    <t>Fortalecer un  (1) proceso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</si>
  <si>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</si>
  <si>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</si>
  <si>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 xml:space="preserve">Formalizacion del sector </t>
  </si>
  <si>
    <t>Lectura, escritura y bibliotecas</t>
  </si>
  <si>
    <t>Apoyar  seis  (6) proyectos y/o actividades en investigación, capacitación y difusión de la lectura y escritura para fortalecer la Red Departamental de Bibliotecas</t>
  </si>
  <si>
    <t xml:space="preserve"> 0310 - 5 - 3 1 3 9 31 5 48 - 34 / 0310 - 5 - 3 1 3 9 31 5 48 - 83</t>
  </si>
  <si>
    <t xml:space="preserve"> Fortalecimiento al  Plan Departamental  de lectura, escritura y bibliotecas en el Departamento del Quindio .</t>
  </si>
  <si>
    <t>Ampliación de procesos de investigación para la recuperación del patrimonio bibliográfico y hábitos de lectura y escritura en el Departamento</t>
  </si>
  <si>
    <t xml:space="preserve">Valoracion de la investigacion relativa al campo literario </t>
  </si>
  <si>
    <t>Aprovechamiento de la Red Departamental de Bibliotecas Públicas para la formación en lectura y escritura</t>
  </si>
  <si>
    <t xml:space="preserve">Ampliación de espacios y acciones para la difusión de la lectura y escritura </t>
  </si>
  <si>
    <t xml:space="preserve">Ampliacion de espacios y acciones para la difusion de la lectura y escritura </t>
  </si>
  <si>
    <t>Patrimonio, paisaje cultural cafetero, ciudadanía y diversidad cultural</t>
  </si>
  <si>
    <t>Viviendo el patrimonio y el Paisaje Cultural Cafetero</t>
  </si>
  <si>
    <t xml:space="preserve">Apoyar nueve (09) proyectos y/o actividades en gestión, investigación,  protección, divulgación y salvaguardia del patrimonio y diversidad cultural </t>
  </si>
  <si>
    <t>0310 - 5 - 3 1 3 10 32 5 49 - 20 /  0310 - 5 - 3 1 3 10 32 5 49 - 47 /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</si>
  <si>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</si>
  <si>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</si>
  <si>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</si>
  <si>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Programas Departamentales para conservacion, proteccion, salvaguardia y difusion del patrimonio</t>
  </si>
  <si>
    <t>IVA , R.O</t>
  </si>
  <si>
    <t>Mayor reconocimiento y valoración de la diversidad poblacional presente en el Quindío</t>
  </si>
  <si>
    <t xml:space="preserve">Reconocimiento y valoracion de la diversidad poblacional presente en el Quindío </t>
  </si>
  <si>
    <t xml:space="preserve">Apoyar tres (03) proyectos y/o actividades orientados a fortalecer la articulación comunicación y cultura </t>
  </si>
  <si>
    <t>0310-5-31-310-33-5-50-20 /  0310-5-31-310-33-5-50-88</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</si>
  <si>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</si>
  <si>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</si>
  <si>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</si>
  <si>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</si>
  <si>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cuatro   (04) actividades y/o proyectos  para el afianzamiento del Sistema Departamental de Cultura</t>
  </si>
  <si>
    <t>Participación y  apoyo por parte de la Gobernación del Quindío a medios ciudadanos, comunitarios y de interés público</t>
  </si>
  <si>
    <t xml:space="preserve">Fortalecimiento al sistema departamental de cultura </t>
  </si>
  <si>
    <t>33-83</t>
  </si>
  <si>
    <t>20-88</t>
  </si>
  <si>
    <t>RECURSO ORDINARIO</t>
  </si>
  <si>
    <t>ESTAMPILLA PRO CULTURA</t>
  </si>
  <si>
    <t>Educacion Para la Paz</t>
  </si>
  <si>
    <t>39-83</t>
  </si>
  <si>
    <t>41-83</t>
  </si>
  <si>
    <t xml:space="preserve"> Formacion y cualificacion de mediadores de lectura y escritura para el fortalecimiento de la red </t>
  </si>
  <si>
    <t>Ampliación de la capacidad de organización del sector cultural</t>
  </si>
  <si>
    <t>Mayor articulación entre artistas, gestores y estado para tomar decisiones favorables al emprendimiento</t>
  </si>
  <si>
    <t>Suficientes procesos de emprendimiento cultural y de desarrollo de industrias creativas en el departamento</t>
  </si>
  <si>
    <t xml:space="preserve"> Capacitacion para el emprendimiento cultural </t>
  </si>
  <si>
    <t xml:space="preserve"> Formulacion de la politica para el emprendimiento cultural </t>
  </si>
  <si>
    <t>0310 - 5 - 3 1 3 9 30 5 47 - 20/  0310 - 5 - 3 1 3 9 30 5 47 - 88</t>
  </si>
  <si>
    <t>Incremento de las acciones de lectura, escritura creativa e investigación que permitan consolidar la Red Departamental de Bibliotecas Públicas del Quindío</t>
  </si>
  <si>
    <t>34-83</t>
  </si>
  <si>
    <t>20-47-93</t>
  </si>
  <si>
    <t>SECRETARIA DE CULTURA</t>
  </si>
  <si>
    <t>A MARZO 31 DE 2017</t>
  </si>
  <si>
    <t>TOTALES</t>
  </si>
  <si>
    <t>SECRETARIA ADMINISTRATIVA</t>
  </si>
  <si>
    <t>BUEN GOBIERNO</t>
  </si>
  <si>
    <t>GESTIÓN TERRITORIAL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</si>
  <si>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</si>
  <si>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</si>
  <si>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</si>
  <si>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</si>
  <si>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</si>
  <si>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</si>
  <si>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</si>
  <si>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Ordinarios</t>
  </si>
  <si>
    <t>ORDINARIO</t>
  </si>
  <si>
    <t>N/A</t>
  </si>
  <si>
    <t>Catalina Gomez Restrepo Secretario Administrativo</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</si>
  <si>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</si>
  <si>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</si>
  <si>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</si>
  <si>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</si>
  <si>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</si>
  <si>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Realizar 15 actividades de seguridad y salud en el trabajo</t>
  </si>
  <si>
    <t>Formular e implementar  un plan institucional de capacitación</t>
  </si>
  <si>
    <t>Gestionar el desarrollo de 20 procesos de capacitación , priorizados en el pic</t>
  </si>
  <si>
    <t>Formular e implementar el plan de bienestar social</t>
  </si>
  <si>
    <t>Gestionar el desarrollo de 20 actividades de bienestar social</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</si>
  <si>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</si>
  <si>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</si>
  <si>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</si>
  <si>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</si>
  <si>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</si>
  <si>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</si>
  <si>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</si>
  <si>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</si>
  <si>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</si>
  <si>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</si>
  <si>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</si>
  <si>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</si>
  <si>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</si>
  <si>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</si>
  <si>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</si>
  <si>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</si>
  <si>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</si>
  <si>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</si>
  <si>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</si>
  <si>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</si>
  <si>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</si>
  <si>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</si>
  <si>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Implementar un programa de actualización y registro de los bienes de propiedad del departamento   </t>
  </si>
  <si>
    <t xml:space="preserve">Realizar un (1) estudio de modernización administrativa en el departamento </t>
  </si>
  <si>
    <t xml:space="preserve">Realizar un (1) estudio de modernización administrativa en el departamento   </t>
  </si>
  <si>
    <t>Implementar un (1) programa de modernización de la gestión documental en el departamento</t>
  </si>
  <si>
    <t xml:space="preserve">Implementar un (1) programa de modernización de la gestión documental en el departamento  </t>
  </si>
  <si>
    <t>Supervit Recurso Ordinario</t>
  </si>
  <si>
    <t>Adquirir  un (1) bien inmueble para adelantar acciones de cara al servicio de la comunidad</t>
  </si>
  <si>
    <t>SECRETARIA DE HACIENDA</t>
  </si>
  <si>
    <t xml:space="preserve">5. </t>
  </si>
  <si>
    <t xml:space="preserve">BUEN GOBIERNO </t>
  </si>
  <si>
    <t>GESTION TERRITORIAL</t>
  </si>
  <si>
    <t>GESTION TRIBUTARIA Y FINANCIERA</t>
  </si>
  <si>
    <t>Implementar 4 procesos de fiscalización de las Rentas Departamentales</t>
  </si>
  <si>
    <t>Nro.</t>
  </si>
  <si>
    <t>Mejoramiento de la Sostenibilidad de los Procesos de Fiscalizacion, Liquidacion, Control y Cobranza de los Tributos en el Departamento del Quindio</t>
  </si>
  <si>
    <t>Aumentar los porcentajes de crecimiento de los ingresos en el Departamento del Quindio, a través de procesos de fiscalización, procedimientos administrativos de cobro coactivo de la cartera morosa y ejecucion del programa anticontrabando, con el fin de consolidar la cultura tributaria y por consiguiente aumentar la inversion en el Departamento del Quindio durante la Vigencia 2017</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</si>
  <si>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</si>
  <si>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t xml:space="preserve">Realizar  4 procesos de fiscalizaciòn  en los impuestos de vehículos automotores,I.S.V.A, registro, emtampilla y  al consumo y el monopolio de licores destilados y alcoholes potables en el Departamento del Quindio  </t>
  </si>
  <si>
    <t>Recurso Ordinario</t>
  </si>
  <si>
    <t xml:space="preserve">LUZ ELENA MEJIA CARDONA   SECRETARIA DE HACIENDA </t>
  </si>
  <si>
    <t xml:space="preserve">Proceso de fiscalización  (liquidación, Control y Cobranza) de las Tentas Departamentales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</si>
  <si>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</si>
  <si>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</si>
  <si>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</si>
  <si>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88-20</t>
  </si>
  <si>
    <t>Superavit Recurso Ordinario-Recurso Ordinario</t>
  </si>
  <si>
    <t>Procedimiento Administrativo coactivo sobre la cartera morosa de las Rentas Departamentales</t>
  </si>
  <si>
    <t xml:space="preserve">Ejecutar el programa anti contrabando suscrito con la Federación Nacional de Departamentos.                               </t>
  </si>
  <si>
    <t>Ejecutar el Programa Anticontrabando en el Departamento del Quindìo con ocasion de la suscripcion del Convenio entre el Departamento del Quindìo y la Federaciòn Nacional de Departamentos</t>
  </si>
  <si>
    <t>Ejecuciòn de actividades que contribuyan a disminuir la Evasiòn, la Lucha en contra de la Adulteraciòn y el Contrabando que afectan el consumo de cigarrillos, tabaco elaborado, bebidas alcohòlicas, licores, cervezas, vinos y refajos</t>
  </si>
  <si>
    <t>132-56-15-87</t>
  </si>
  <si>
    <t>Fondo Rentas</t>
  </si>
  <si>
    <t>Cofinanciacion convenios interadministrativos</t>
  </si>
  <si>
    <t>Programa Anticontrabando</t>
  </si>
  <si>
    <t>Superavit Convenio Anticobrabando</t>
  </si>
  <si>
    <t>Fondo Rentas-Suepravit Fondo Rentas</t>
  </si>
  <si>
    <t>Elaborar el diagnóstico del sistema de Información tributario y financiero</t>
  </si>
  <si>
    <t>0307 - 5 - 3 1 5 28 88 17 17 - 20        0307 - 5 - 3 1 5 28 88 17 16 - 88</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</si>
  <si>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</si>
  <si>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</si>
  <si>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</si>
  <si>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</si>
  <si>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 xml:space="preserve">Implementar un programa para el cumplimiento de las políticas y prácticas contables para la administración departamental         </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</si>
  <si>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</si>
  <si>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</si>
  <si>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Superavit Ordinario</t>
  </si>
  <si>
    <t>LUZ HELENA MEJIA CARDONA</t>
  </si>
  <si>
    <t>OFICINA PRIVADA</t>
  </si>
  <si>
    <t>QUINDIO TRANSPARENTE Y LEGAL</t>
  </si>
  <si>
    <t>QUINDIO EJEMPLAR Y LEGAL</t>
  </si>
  <si>
    <t xml:space="preserve">Realizar 40 eventos  de sensibilización en transparencia , participación, buen gobierno y valores éticos y morales  </t>
  </si>
  <si>
    <t>0313 - 5 - 3 1 5 26 83 17 82 - 20</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</si>
  <si>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</si>
  <si>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</si>
  <si>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t>
  </si>
  <si>
    <t>Fortalecimiento de cultura de la transparencia, participación, buen gobierno y valores eticos y morales en el departamento del quindio</t>
  </si>
  <si>
    <t>Carlos Alberto Gomez Chacon Secretario Privado</t>
  </si>
  <si>
    <t>Fortalecimiento institucional por medio del buen gobierno</t>
  </si>
  <si>
    <t xml:space="preserve">Incremento de formadores éticos con vivencias y prácticas reconocidas a nivel de la sociedad y del departamento 
</t>
  </si>
  <si>
    <t xml:space="preserve">Promoción en la participación ciudadana </t>
  </si>
  <si>
    <t>Formulación y seguimiento de los indicadores "buen gobierno"</t>
  </si>
  <si>
    <t xml:space="preserve">Mejorar la motivación de los ciudadanos ante las buenas prácticas  de los funcionarios en las instituciones 
</t>
  </si>
  <si>
    <t>Dialogos sociales en los diferentes sectores del departamento</t>
  </si>
  <si>
    <t>Adquisición de bienes y servicios</t>
  </si>
  <si>
    <t>Proyección estratégica</t>
  </si>
  <si>
    <t>Implementar una (1) sala de transparencia "Urna de Cristal" en el Departamento</t>
  </si>
  <si>
    <t>0313 - 5 - 3 1 5 26 83 17 83 - 20</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</si>
  <si>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</si>
  <si>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</si>
  <si>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</si>
  <si>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</si>
  <si>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</si>
  <si>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</si>
  <si>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</si>
  <si>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</si>
  <si>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Administracion profesional de la Oficina de Urna de Cristal</t>
  </si>
  <si>
    <t xml:space="preserve">MODERNIZACIÓN TECNOLOGICA Y ADMINISTRATIVA </t>
  </si>
  <si>
    <t xml:space="preserve">Desarrollar e implementar una (1) estrategía de comunicaciones  </t>
  </si>
  <si>
    <t>0313 - 5 - 3 1 5 28 89 17 81 - 20</t>
  </si>
  <si>
    <t>Implementación de  la estrategia de comunicaciones para  la divulgación de  los programas, proyectos,  actividades y servicios del Departamento del Quindío</t>
  </si>
  <si>
    <t xml:space="preserve">Dar a conocer a la población  los programas y proyectos  institucionales de la gobernación
</t>
  </si>
  <si>
    <t xml:space="preserve">Realizar  campañas institucionales para dar a conocer los programas y proyectos  de la gobernación
</t>
  </si>
  <si>
    <t xml:space="preserve"> Implementación  de la estrategia de comunicaciones de la administración departamental</t>
  </si>
  <si>
    <t>conocer los programas y proyectos  de la gobernación</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</si>
  <si>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</si>
  <si>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</si>
  <si>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</si>
  <si>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</si>
  <si>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TOTAL</t>
  </si>
  <si>
    <t>CARLOS ALBERTO GOMEZ CHACON</t>
  </si>
  <si>
    <t>SECRETARIA PRIVADA</t>
  </si>
  <si>
    <t xml:space="preserve">No </t>
  </si>
  <si>
    <t>0-6</t>
  </si>
  <si>
    <t xml:space="preserve">P </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</si>
  <si>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</si>
  <si>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</si>
  <si>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</si>
  <si>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</si>
  <si>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</si>
  <si>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</si>
  <si>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</si>
  <si>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</si>
  <si>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 xml:space="preserve"> 15/02/2017</t>
  </si>
  <si>
    <t>ALVARO ARIAS YOUNG  SECRETARIO DE PLANEACION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</si>
  <si>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</si>
  <si>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</si>
  <si>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</si>
  <si>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</si>
  <si>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</si>
  <si>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</si>
  <si>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</si>
  <si>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</si>
  <si>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</si>
  <si>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</si>
  <si>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</si>
  <si>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</si>
  <si>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</si>
  <si>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</si>
  <si>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</si>
  <si>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</si>
  <si>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</si>
  <si>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</si>
  <si>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</si>
  <si>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</si>
  <si>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</si>
  <si>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</si>
  <si>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</si>
  <si>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</si>
  <si>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</si>
  <si>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</si>
  <si>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</si>
  <si>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</si>
  <si>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</si>
  <si>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</si>
  <si>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</si>
  <si>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</si>
  <si>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</si>
  <si>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</si>
  <si>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</si>
  <si>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</si>
  <si>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Ordinario</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</si>
  <si>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</si>
  <si>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</si>
  <si>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</si>
  <si>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0305 - 5 - 3 1 5 27 85 16 7 - 88</t>
  </si>
  <si>
    <t>Traslados aéreos, terrestres e internos, alojamiento y alimentación para Consejeros del Sistema Nacional de Planeación en los días que sean acordados por el contratante.</t>
  </si>
  <si>
    <t>Superavit Recurso Ordinario</t>
  </si>
  <si>
    <t xml:space="preserve">Fortalecer el Consejo Territorial de Planeación Departamental, a través   de la estrategia de comunicaciones </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</si>
  <si>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</si>
  <si>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</si>
  <si>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</si>
  <si>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</si>
  <si>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</si>
  <si>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</si>
  <si>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 xml:space="preserve">Los instrumentos  de planificación como  ruta para el cumplimiento de la gestión pública  </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</si>
  <si>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</si>
  <si>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</si>
  <si>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</si>
  <si>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</si>
  <si>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</si>
  <si>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</si>
  <si>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Compilacion, Alimentación y analisis permanente del MOD, producidos Vs MOD</t>
  </si>
  <si>
    <t>Analisis de Información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</si>
  <si>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</si>
  <si>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</si>
  <si>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</si>
  <si>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</si>
  <si>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0305 - 5 - 3 1 5 28 87 17 9 - 88</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</si>
  <si>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</si>
  <si>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</si>
  <si>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</si>
  <si>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</si>
  <si>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</si>
  <si>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</si>
  <si>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</si>
  <si>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</si>
  <si>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</si>
  <si>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</si>
  <si>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</si>
  <si>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</si>
  <si>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</si>
  <si>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</si>
  <si>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Instrumento para el seguimiento de los 173 problemas identificados para el departamento en relación a los ODS. (Incluye la revisión y depuración de los indicadores y de las fuentes de información; así como su actualización por desagregación geográfica y vital)</t>
  </si>
  <si>
    <t>Instrumento para el seguimiento de las metas de resultado del Plan de Desarrollo en relación a los ODS. (Incluye la revisión y depuración de los indicadores y de las fuentes de información; así como su actualización por desagregación geográfica y vital)</t>
  </si>
  <si>
    <t>Análisis de la información recolectada para la actualización de las metas de resultados, los problemas del departamento y los ODS que complementan el Observatorio de Desarrollo Humano. (1 informe semestral y 1 informe Anual)</t>
  </si>
  <si>
    <t>Dar a conocer de forma dinámica los avances del departamento en materia de Desarrollo Humano para contribuir en el conocimiento de las dinámicas sociales, económicas y humanas presentes.</t>
  </si>
  <si>
    <t>Estructuración y cargue de los datos y reportes que se incluirán en el sistema de información de acuerdo con los formatos definidos  y de los sistemas de georeferenciación</t>
  </si>
  <si>
    <t>Gobierno en Línea</t>
  </si>
  <si>
    <t xml:space="preserve">Asistencia técnica a los 12 municipios del departamento </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</si>
  <si>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</si>
  <si>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</si>
  <si>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</si>
  <si>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</si>
  <si>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</si>
  <si>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</si>
  <si>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</si>
  <si>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Seguimiento, control  y evaluación de metas estratégicas periódo administrativo 2017</t>
  </si>
  <si>
    <t>0305 - 5 - 3 1 5 28 87 17 11 - 88</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</si>
  <si>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</si>
  <si>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</si>
  <si>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</si>
  <si>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</si>
  <si>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</si>
  <si>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</si>
  <si>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</si>
  <si>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</si>
  <si>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</si>
  <si>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</si>
  <si>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componentesocial </t>
  </si>
  <si>
    <t xml:space="preserve">Asistencia Técnica  formulación Metodología General Ajustada MGA, gestión de insumos para el cumplimiento de requisitos mínimos,  revisión  de proyectos componente Ambiental </t>
  </si>
  <si>
    <t>0305 - 5 - 3 1 5 28 87 17 12 - 88</t>
  </si>
  <si>
    <t>Seguimiento y evaluación ejecución  proyectos de inversión Sistema General de Regalias ( mensuales)</t>
  </si>
  <si>
    <t>Superavit Recursos Ordinarios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</si>
  <si>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</si>
  <si>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</si>
  <si>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</si>
  <si>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</si>
  <si>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</si>
  <si>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</si>
  <si>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</si>
  <si>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</si>
  <si>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</si>
  <si>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</si>
  <si>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</si>
  <si>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</si>
  <si>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</si>
  <si>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</si>
  <si>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</si>
  <si>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</si>
  <si>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</si>
  <si>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</si>
  <si>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 xml:space="preserve">Ordinarios </t>
  </si>
  <si>
    <t>Brindar asistencia técnica en los procesos de    ajuste y actualización procedimientos    Sistema Integrado de Gestión Administrativa</t>
  </si>
  <si>
    <t xml:space="preserve"> 46  Asistencia Procesos Estratégicos  ( Gestión Gerencial y Planificación)</t>
  </si>
  <si>
    <t xml:space="preserve">139 Asistencia Técnica Procesos Misionales (Salud, Educación, Agricultira Desarrollo Rural y Medio Ambiente, Familia, Interior, Agua e Infraestructura, Turismo Industria y Comercio y Cultura) </t>
  </si>
  <si>
    <t>0305 - 5 - 3 1 5 28 87 17 13 - 88</t>
  </si>
  <si>
    <t>(138) Procesos de Apoyo (Hacienda Pública, Gestión Pública, Gestión Administrativa, Representación Judicial, y Defensa Judicial)</t>
  </si>
  <si>
    <t>(323) Rrevisión, consolidación y ajustes  de   procesos  estratégicos, Misionales y de Apoyo</t>
  </si>
  <si>
    <t xml:space="preserve">3350 Fotocopias </t>
  </si>
  <si>
    <t xml:space="preserve">Implementar el Comité  de Planificación  Departamental   </t>
  </si>
  <si>
    <t>0305 - 5 - 3 1 5 28 87 17 14 - 20</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</si>
  <si>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</si>
  <si>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</si>
  <si>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</si>
  <si>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</si>
  <si>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</si>
  <si>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</si>
  <si>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</si>
  <si>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</si>
  <si>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</si>
  <si>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</si>
  <si>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</si>
  <si>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</si>
  <si>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 Servicios Profesionales ) Capacitación , Asistencia técnica, seguimiento y evaluación  Sistema de Selección de Benficiarios de Programas Sociales SISBEN </t>
  </si>
  <si>
    <t>0305 - 5 - 3 1 5 28 87 17 14 - 88</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</si>
  <si>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</si>
  <si>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</si>
  <si>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</si>
  <si>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</si>
  <si>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</si>
  <si>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</si>
  <si>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</si>
  <si>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</si>
  <si>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</si>
  <si>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 xml:space="preserve">ALVARO ARIAS YOUNG </t>
  </si>
  <si>
    <t xml:space="preserve">SECRETARIO DE PLANEACION DEPARTAMENTAL </t>
  </si>
  <si>
    <t>SECRETARIA DE PLANEACION</t>
  </si>
  <si>
    <t>META FISICA 
PROGRAMADA</t>
  </si>
  <si>
    <t>60 Y MAS</t>
  </si>
  <si>
    <t>PROSPERIDAD CON EQUIDAD</t>
  </si>
  <si>
    <t>.</t>
  </si>
  <si>
    <t>Quindío rural, inteligente, competitivo y empresarial</t>
  </si>
  <si>
    <t>Quindío Prospero y productivo</t>
  </si>
  <si>
    <t xml:space="preserve">Crear (1) y fortalecer (3) rutas competitivas </t>
  </si>
  <si>
    <t>0311 - 5 - 3 1 2 2 8 13 51 - 20 
0311 - 5 - 3 1 2 2 8 13 51 - 88</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</si>
  <si>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</si>
  <si>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</si>
  <si>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</si>
  <si>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</si>
  <si>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20
88</t>
  </si>
  <si>
    <t>ORDINARIO
SUPERAVIT RECURSO ORDINARIO</t>
  </si>
  <si>
    <t xml:space="preserve">JUAN DAVID PACHÓN MORALES                                 
Secretario de Turismo, Industria y Comercio (e).
</t>
  </si>
  <si>
    <t>Conformar e implementar (3) tres clúster priorizados en el Plan de Competitividad</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</si>
  <si>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</si>
  <si>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</si>
  <si>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
0311 - 5 - 3 1 2 2 8 13 52 - 88</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</si>
  <si>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</si>
  <si>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</si>
  <si>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</si>
  <si>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</si>
  <si>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</si>
  <si>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</si>
  <si>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</si>
  <si>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</si>
  <si>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</si>
  <si>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</si>
  <si>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JUAN DAVID PACHÓN MORALES                                 
Secretario de Turismo, Industria y Comercio (e).</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</si>
  <si>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</si>
  <si>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</si>
  <si>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</si>
  <si>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</si>
  <si>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</si>
  <si>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</si>
  <si>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</si>
  <si>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</si>
  <si>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0311 - 5 - 3 1 2 2 9 13 53 - 20
0311 - 5 - 3 1 2 2 9 13 53 - 88</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</si>
  <si>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</si>
  <si>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</si>
  <si>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</si>
  <si>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</si>
  <si>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</si>
  <si>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</si>
  <si>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</si>
  <si>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</si>
  <si>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</si>
  <si>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Apoyar   doce (12) Unidades de emprendimiento de grupos poblacionales con enfoque diferencial.</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</si>
  <si>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</si>
  <si>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</si>
  <si>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</si>
  <si>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</si>
  <si>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</si>
  <si>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0311 - 5 - 3 1 2 2 10 13 56 - 20
0311 - 5 - 3 1 2 2 10 13 56 - 88</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</si>
  <si>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</si>
  <si>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</si>
  <si>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</si>
  <si>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</si>
  <si>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</si>
  <si>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Constituir e implementar una agencia de inversión empresarial</t>
  </si>
  <si>
    <t>Fortalecimiento de mecanismos de inversion y de herramientas tecnologicas de servicios logisticos en el sector empresarial para su conexión a mercados globales</t>
  </si>
  <si>
    <t xml:space="preserve">Puesta en marcha y consolidación de la agencia de inversión empresarial  </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</si>
  <si>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</si>
  <si>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</si>
  <si>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</si>
  <si>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</si>
  <si>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</si>
  <si>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0311 - 5 - 3 1 2 3 11 13 59 - 20
0311 - 5 - 3 1 2 3 11 13 59 - 88</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</si>
  <si>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</si>
  <si>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</si>
  <si>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</si>
  <si>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</si>
  <si>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</si>
  <si>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Elaborar e implementar  un Plan de Calidad Turística del Destino</t>
  </si>
  <si>
    <t>Actualización y ejecución del Plan de Calidad Turistica</t>
  </si>
  <si>
    <t>Mejoramiento de la competitividad del Quindío como destino turístico</t>
  </si>
  <si>
    <t>Gestionar y ejecutar (3) proyectos para mejorar la competitividad del Quindío como destino turístico</t>
  </si>
  <si>
    <t>0311 - 5 - 3 1 2 3 12 13 60 - 20
0311 - 5 - 3 1 2 3 12 13 60 - 88</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</si>
  <si>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</si>
  <si>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</si>
  <si>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</si>
  <si>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</si>
  <si>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</si>
  <si>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Apoyo a la ejecución del Plan Decenal de Turismo</t>
  </si>
  <si>
    <t xml:space="preserve">Fortalecimiento del programa Club de Calidad  "Haciendas del Café" </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</si>
  <si>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</si>
  <si>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</si>
  <si>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</si>
  <si>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</si>
  <si>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0311 - 5 - 3 1 2 3 13 13 62 - 20
0311 - 5 - 3 1 2 3 13 13 62 - 88
0311 - 5 - 3 1 2 3 13 13 62 - 52
0311 - 5 - 3 1 2 3 13 13 62 - 94</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</si>
  <si>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</si>
  <si>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</si>
  <si>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</si>
  <si>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</si>
  <si>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</si>
  <si>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20
52
88
94</t>
  </si>
  <si>
    <t xml:space="preserve">*RECURSO ORDINARIO
*IMPUESTO AL REGISTRO TURISMO Y CULTURA 4%
*SUPERAVIT RECURSO ORDINARIO
*SUPERAVIT IMPUESTO AL REGISTRO TURISMO 4%
</t>
  </si>
  <si>
    <t xml:space="preserve">JUAN DAVID PACHÓN MORALES                                 </t>
  </si>
  <si>
    <t>Secretario de Turismo, Industria y Comercio (E).</t>
  </si>
  <si>
    <t>SECRETARIA DE TURISMO, INDUSTRIA Y COMERCIO</t>
  </si>
  <si>
    <t>SECRETARIA DE FAMILIA</t>
  </si>
  <si>
    <t>PLAN DE DESARROLLO DEPARTAMENTAL  SECRETARIA DE FAMILIA - 2017</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</si>
  <si>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</si>
  <si>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</si>
  <si>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</si>
  <si>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</si>
  <si>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</si>
  <si>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</si>
  <si>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</si>
  <si>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</si>
  <si>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</si>
  <si>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</si>
  <si>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LILIANA JARAMILLO CARDENAS
 SECRETARIA DE FAMILIA</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</si>
  <si>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</si>
  <si>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</si>
  <si>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</si>
  <si>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 xml:space="preserve">Mejorar el acompañamiento en el desarrollo gestacional y  complemento nutricional, pautas de crianza y desarrollo infantil
</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</si>
  <si>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</si>
  <si>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</si>
  <si>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</si>
  <si>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</si>
  <si>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</si>
  <si>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</si>
  <si>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</si>
  <si>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</si>
  <si>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</si>
  <si>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</si>
  <si>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</si>
  <si>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</si>
  <si>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</si>
  <si>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</si>
  <si>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</si>
  <si>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1760 14 109 - 20</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</si>
  <si>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</si>
  <si>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</si>
  <si>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</si>
  <si>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</si>
  <si>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</si>
  <si>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</si>
  <si>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</si>
  <si>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</si>
  <si>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</si>
  <si>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Formular estrategias de prevencion de y atención en la erradicacion del abuso, explotación sexual, comercial, actividdades delecitivas</t>
  </si>
  <si>
    <t xml:space="preserve">Garantizar los derechos de los niños, niñas y adolescentes y el restablecimiento de ellos en el depto. Del Quindío
</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</si>
  <si>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</si>
  <si>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</si>
  <si>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</si>
  <si>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</si>
  <si>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</si>
  <si>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</si>
  <si>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</si>
  <si>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</si>
  <si>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</si>
  <si>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 xml:space="preserve">Apoyo en la generación de estrategias de articulación y gestión para la atención integral de los jóvenes, incluyendo los sectores y actores </t>
  </si>
  <si>
    <t>Desarrollar e implementar una estrategia de prevención del consumo de sustancias psico activas  (SPA)  dirigida a adolescentes y jóvenes del departamento.</t>
  </si>
  <si>
    <t>Estrategia   de  prevención del consumo de sustancias psico activas  (SPA) , implementada.</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</si>
  <si>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</si>
  <si>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</si>
  <si>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</si>
  <si>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</si>
  <si>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</si>
  <si>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</si>
  <si>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</si>
  <si>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</si>
  <si>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</si>
  <si>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Ajustes y actualización  a la Política Publica de Discapacidad</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</si>
  <si>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</si>
  <si>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</si>
  <si>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</si>
  <si>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</si>
  <si>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</si>
  <si>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</si>
  <si>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</si>
  <si>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</si>
  <si>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</si>
  <si>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</si>
  <si>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</si>
  <si>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</si>
  <si>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</si>
  <si>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</si>
  <si>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</si>
  <si>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</si>
  <si>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</si>
  <si>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</si>
  <si>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</si>
  <si>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</si>
  <si>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</si>
  <si>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</si>
  <si>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</si>
  <si>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</si>
  <si>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</si>
  <si>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</si>
  <si>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</si>
  <si>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</si>
  <si>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</si>
  <si>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</si>
  <si>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</si>
  <si>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</si>
  <si>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</si>
  <si>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</si>
  <si>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</si>
  <si>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</si>
  <si>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</si>
  <si>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</si>
  <si>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</si>
  <si>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Apoyo del talento humano para garantizar la atención integral y con enfoque diferencial de las comunidades indigenas asentadas en el Departamento del Quindío</t>
  </si>
  <si>
    <t>Articulación institucional para la atención diferencial de los indígenas del depto</t>
  </si>
  <si>
    <t xml:space="preserve">
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</si>
  <si>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</si>
  <si>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</si>
  <si>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</si>
  <si>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</si>
  <si>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</si>
  <si>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</si>
  <si>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</si>
  <si>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</si>
  <si>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</si>
  <si>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</si>
  <si>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</si>
  <si>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</si>
  <si>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</si>
  <si>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</si>
  <si>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</si>
  <si>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</si>
  <si>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</si>
  <si>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</si>
  <si>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</si>
  <si>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</si>
  <si>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0316 - 5 - 3 1 3 18 66 14 128 - 20</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</si>
  <si>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</si>
  <si>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</si>
  <si>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</si>
  <si>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Conmemoración Día de la No violencia contra la Mujer</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</si>
  <si>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</si>
  <si>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</si>
  <si>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</si>
  <si>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</si>
  <si>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</si>
  <si>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</si>
  <si>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</si>
  <si>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0316 - 5 - 3 1 3 19 67 14 129 - 20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</si>
  <si>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</si>
  <si>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</si>
  <si>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</si>
  <si>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</si>
  <si>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Realizar procesos de motivación para incentivar el interés por la vida disminuyendo índices  de morbilidad del adulto mayor</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</si>
  <si>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</si>
  <si>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</si>
  <si>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</si>
  <si>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</si>
  <si>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</si>
  <si>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</si>
  <si>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 xml:space="preserve">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</si>
  <si>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</si>
  <si>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Estampilla Pro Adulto Mayor</t>
  </si>
  <si>
    <t xml:space="preserve">Apoyar 14 Centros Vida del Departamento </t>
  </si>
  <si>
    <t xml:space="preserve">Apoyar 14 centros vida del departamento </t>
  </si>
  <si>
    <t xml:space="preserve">TOTAL: </t>
  </si>
  <si>
    <t>LILIANA JARAMILLO CARDENAS</t>
  </si>
  <si>
    <t>PROYECTO Y ELABORO: DORIS CASTAÑO AGUDELO,
Contratista</t>
  </si>
  <si>
    <t>SECRETARIA REPRESENTACION JUDICIAL</t>
  </si>
  <si>
    <t>Establecer y socializar veinte (20)  políticas desde la cultura de la legalidad y  la prevención de daño antijurídico en  el Departamento.</t>
  </si>
  <si>
    <t>0317 - 5 - 3 1 5 26 83 17 131 - 20</t>
  </si>
  <si>
    <t>I 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</si>
  <si>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</si>
  <si>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</si>
  <si>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</si>
  <si>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</si>
  <si>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DR. 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</si>
  <si>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</si>
  <si>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</si>
  <si>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</si>
  <si>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</si>
  <si>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</si>
  <si>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Secretaría de Representación Judicial y Defensa</t>
  </si>
  <si>
    <t>INSTITUTO DEPARTAMENTAL DE TRANSITO DEL QUINDIO</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</si>
  <si>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</si>
  <si>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</si>
  <si>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</si>
  <si>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</si>
  <si>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</si>
  <si>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</si>
  <si>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</si>
  <si>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</si>
  <si>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PROPIOS</t>
  </si>
  <si>
    <t>31/03/207</t>
  </si>
  <si>
    <t>Fernado Baena Villareal- Director</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</si>
  <si>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</si>
  <si>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</si>
  <si>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</si>
  <si>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</si>
  <si>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Generear oportunidadesinstitucionales a través de procesos de gestion orientados a insentivar programas de movilidad sostenible en la jurisdiccion del I.D.T.Q</t>
  </si>
  <si>
    <t>Campañas de difusión y sensibilización a la población del Programa Nacional de ciclorutas</t>
  </si>
  <si>
    <t>FERNANDO BAENA VILLAREAL</t>
  </si>
  <si>
    <t>INSTITUTO DEPARTAMENTAL DE TRANSITO</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</si>
  <si>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</si>
  <si>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</si>
  <si>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</si>
  <si>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</si>
  <si>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</si>
  <si>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</si>
  <si>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</si>
  <si>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</si>
  <si>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vigilancia sanitaria de alimentos y bebidas en establecimientos y productos en los municipios competencia del departamento del Quindio</t>
  </si>
  <si>
    <t>Fondo Local de Salud - SGP</t>
  </si>
  <si>
    <t>CESAR AUGUSTO RINCON ZULUAGA  -   SECRETARIO DE SALUD DEPARTAMENTAL</t>
  </si>
  <si>
    <t xml:space="preserve">Ejecutar el plan decenal de lactancia materna </t>
  </si>
  <si>
    <t xml:space="preserve">Cumplir con  el tiempo de la practica de la lactancia Materna exclusiva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</si>
  <si>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</si>
  <si>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</si>
  <si>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</si>
  <si>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 xml:space="preserve">Fortalecer la  atencion nutricional en poblaciones indigenas del departamento 
.
</t>
  </si>
  <si>
    <t>Reliazar seguimiento a casos de desnutricion en comunidades indigenas notificados por el SIVIGILA</t>
  </si>
  <si>
    <t>Realizar canalizacion y busqueda activa de casos de desnutricion en los 11 muncipios de competencia departamental.</t>
  </si>
  <si>
    <t xml:space="preserve">Realizar diagnóstico de la situacion nutricional a 6 comunidades indigenas del departamento </t>
  </si>
  <si>
    <t>implementar  ruta de atencion integral de la desnutrición en menores de 5 años en 6 municipios con población indigena.</t>
  </si>
  <si>
    <t>Realizar capacitacion a personal asistencia de las 11 IPS publica  en lineamientos vigentes de la atencion integrada de la desnutricion aguda moderada y severa en menores de 5 años  Resolución  5406/2016.</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</si>
  <si>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</si>
  <si>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</si>
  <si>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</si>
  <si>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</si>
  <si>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</si>
  <si>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</si>
  <si>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</si>
  <si>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interesctoriales  para  la  gestión integral de la salud ambiental a travez de las mesas tecnicas del COTSA </t>
  </si>
  <si>
    <t>CESAR AUGUSTO RINCON ZULUAGA - SECRETARIO DE SALUD DEPARTAMENTAL</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</si>
  <si>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</si>
  <si>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</si>
  <si>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</si>
  <si>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Realizar levantamiento de 11 mapas de riesgo en el departamento para la vigilancia de la calidad del agua para consumo humano.</t>
  </si>
  <si>
    <t>Realizar autorizaciones sanitarias y certificaciones sanitarias para municipios y prestadores de servicios de acueducto.</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</si>
  <si>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</si>
  <si>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</si>
  <si>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</si>
  <si>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</si>
  <si>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</si>
  <si>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</si>
  <si>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</si>
  <si>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</si>
  <si>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</si>
  <si>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</si>
  <si>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</si>
  <si>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</si>
  <si>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</si>
  <si>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 xml:space="preserve">Asistencia tecnica y seguimiento a las direcciones locales de salud y EAPB en el procesos de capacitacion sobre planificacion familiar y adherencia al programa </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</si>
  <si>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</si>
  <si>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</si>
  <si>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Implementar programa del  control prenatal antes de la semana 12 de la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</si>
  <si>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</si>
  <si>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</si>
  <si>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</si>
  <si>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</si>
  <si>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</si>
  <si>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</si>
  <si>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</si>
  <si>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</si>
  <si>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</si>
  <si>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</si>
  <si>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</si>
  <si>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</si>
  <si>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</si>
  <si>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Desarrollar acciones  en caminadas a fortalecer las capacidades del talento humano y las entidades con compencia en convivencia social y salud mental desde Gestion integral de la salud publica  en Promoción de la Conviencia social y la Salud Mental</t>
  </si>
  <si>
    <t xml:space="preserve">CESAR AUGUSTO RINCON ZULUAGA - SECRETARIO DE SALUD DEPARTAMENTAL </t>
  </si>
  <si>
    <t>Adoptar e implementar el modelo de Atención primaria en Salud Mental (APS) en todos los municipios Quindiano</t>
  </si>
  <si>
    <t>Establecer lineamientos de planificación en la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</si>
  <si>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</si>
  <si>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</si>
  <si>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</si>
  <si>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</si>
  <si>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</si>
  <si>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</si>
  <si>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</si>
  <si>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</si>
  <si>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</si>
  <si>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</si>
  <si>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</si>
  <si>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</si>
  <si>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</si>
  <si>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</si>
  <si>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</si>
  <si>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</si>
  <si>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</si>
  <si>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</si>
  <si>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</si>
  <si>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 xml:space="preserve">Realizar al 100 % de las 11 instituciones educativas la evaluacion del cumplimiento de la estrategia 4x4 </t>
  </si>
  <si>
    <t>Implementar una estrategia para mantener la edad de inicio de consumo de tabaco en los adolescentes escolarizados.</t>
  </si>
  <si>
    <t>Adoptar guías y protocolos de atención de las enfermedades crónicas no transmisibles por parte de las EPS e IPS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</si>
  <si>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</si>
  <si>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</si>
  <si>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</si>
  <si>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</si>
  <si>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</si>
  <si>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</si>
  <si>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</si>
  <si>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</si>
  <si>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promoción del uso de protocolos para enfermedades transmisibles</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</si>
  <si>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</si>
  <si>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</si>
  <si>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acompañamiento a los 12  Municipios  durante la jornadas Nacionales de vacunación.</t>
  </si>
  <si>
    <t>Realizar fortalecimientos de capacidades técnicas en 12 municipios para implementación del PAIWEB y el sistema de garantia de la calidad del plan ampliado de inmunizaciones en el departamento</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</si>
  <si>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</si>
  <si>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</si>
  <si>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</si>
  <si>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</si>
  <si>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 xml:space="preserve">Realizar  actividades de promoción y prevención implementadas para la comunidad y grupos focalizados en dengue, chikungunya y zika con criterios de riesgo epidemiológico. </t>
  </si>
  <si>
    <t xml:space="preserve">Generar informes de acuerdo a la notificación de casos de etv y zoonosis </t>
  </si>
  <si>
    <t>1803 - 5 - 3 1 3 12 40 2 141 - 111</t>
  </si>
  <si>
    <t>Atender en los11 municipioslos brotes y contingencias por etv y zoonosis</t>
  </si>
  <si>
    <t>Res. 781/15 Prev. y control enfermedades por Vect</t>
  </si>
  <si>
    <t>1803 - 5 - 3 1 3 12 40 2 141 - 118</t>
  </si>
  <si>
    <t>Brindar asistencia técnica frente al desarrollo de la EGI ETV  en municipios hipernedemicos: Calarca, La Tebaida, Quimbaya y Montenegro</t>
  </si>
  <si>
    <t>Res. 1288/2016 Promoción, prevención y control ETV</t>
  </si>
  <si>
    <t>1803 - 5 - 3 1 3 12 40 2 141 - 61</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</si>
  <si>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</si>
  <si>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</si>
  <si>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</si>
  <si>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</si>
  <si>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</si>
  <si>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</si>
  <si>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</si>
  <si>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</si>
  <si>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a los 12 municipios en tuberculosis y lepra</t>
  </si>
  <si>
    <t>Capacitar en el programa de tuberculosis</t>
  </si>
  <si>
    <t>Realizar análisis de casos especiales y de farmacorresistencia del programa de TBC</t>
  </si>
  <si>
    <t>Acompañar la vigilancia de cumplimiento a guías y protocolos de vigilancia en tuberculosis y lepra</t>
  </si>
  <si>
    <t>1803 - 5 - 3 1 3 12 40 2 142 - 113</t>
  </si>
  <si>
    <t>Coordinar acciones para la gestión intersectorial</t>
  </si>
  <si>
    <t>Implementar los nuevos planes estratégicos de tuberculosis y lepra</t>
  </si>
  <si>
    <t>Res.1030/2016 Campaña control lepra QuindÍo</t>
  </si>
  <si>
    <t>1803 - 5 - 3 1 3 12 40 2 142 - 114</t>
  </si>
  <si>
    <t>Realizar actividades de promoción y prevención implementadas para la comunidad y grupos focalizados en tuberculosis y lepra en los 12 municipios del departamento</t>
  </si>
  <si>
    <t>Res.1030/2016 campaña control lepra Quindío</t>
  </si>
  <si>
    <t>1803 - 5 - 3 1 3 12 40 2 142 - 61</t>
  </si>
  <si>
    <t>Realizar mesas técnicas para el compromiso político, protección social y sistemas de apoyo</t>
  </si>
  <si>
    <t>Realizar campañas de prevención y atención integral en afectados por tuberculosis</t>
  </si>
  <si>
    <t>Compra de insumos para preparación de medios y colorantes</t>
  </si>
  <si>
    <t>Prevencion y atencion integral centrada en los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</si>
  <si>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</si>
  <si>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</si>
  <si>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</si>
  <si>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</si>
  <si>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</si>
  <si>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</si>
  <si>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</si>
  <si>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</si>
  <si>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</si>
  <si>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</si>
  <si>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</si>
  <si>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</si>
  <si>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</si>
  <si>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</si>
  <si>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</si>
  <si>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</si>
  <si>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</si>
  <si>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</si>
  <si>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</si>
  <si>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</si>
  <si>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</si>
  <si>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</si>
  <si>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</si>
  <si>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</si>
  <si>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</si>
  <si>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</si>
  <si>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</si>
  <si>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</si>
  <si>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</si>
  <si>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</si>
  <si>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</si>
  <si>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</si>
  <si>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</si>
  <si>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</si>
  <si>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Garantizar la disponibilidad permanente de equipos, elemento e insumos requeridos para el fortalecimiento de la autoridad sanitaria.</t>
  </si>
  <si>
    <t xml:space="preserve">Establecer la articulacion de los subsistemas de infiormacíon del sistema de vigilancia en salud publica </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</si>
  <si>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</si>
  <si>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</si>
  <si>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</si>
  <si>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acciones de inspección, vigilancia y/o control  en  establecimientos de interes sanitario en el departamento del quindio</t>
  </si>
  <si>
    <t>1803 - 5 - 3 1 3 12 43 2 146 - 63</t>
  </si>
  <si>
    <t xml:space="preserve">Realizar  la toma de muestras en sangre en el marco del programa de Vigilancia epidemiologica de plaguicdas VEO. </t>
  </si>
  <si>
    <t>Fondo de Estupefacientes</t>
  </si>
  <si>
    <t xml:space="preserve">Consolidar y desarrollar  el sistema de inspección vigilancia y control (SIVC)  en 150 establecimientos farmacéuticos del departamento. </t>
  </si>
  <si>
    <t>0318 - 5 - 3 1 3 12 43 2 146 - 20</t>
  </si>
  <si>
    <t>Realizar suministro de medicamentos de control especial monopolio del estado</t>
  </si>
  <si>
    <t>Mejoramiento del sistema de información del fondo rotatorio de estupefacientes</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</si>
  <si>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</si>
  <si>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</si>
  <si>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</si>
  <si>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</si>
  <si>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</si>
  <si>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</si>
  <si>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</si>
  <si>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Seguimiento a la atencion en salud con enfoque diferencial a las 11 IPS publicas del departamento</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</si>
  <si>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</si>
  <si>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</si>
  <si>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</si>
  <si>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 xml:space="preserve">Implementar programas de participación social que garanticen los derechos de los grupos vulnerables </t>
  </si>
  <si>
    <t>Realizar capacitaciones en deberes y derechos de las poblaciones vulnerables</t>
  </si>
  <si>
    <t>Realizar asistencia tecnica a las direcciones locales de salud en gestion integral a las poblaciones vulnerables</t>
  </si>
  <si>
    <t>1803 - 5 - 3 1 3 12 44 2 148 - 61</t>
  </si>
  <si>
    <t>Diagnostico de necesidades en salud de las poblaciones vulnerables</t>
  </si>
  <si>
    <t>Fortalecimiento de  la estrategia AIEPI en los 12 municipios del Departamento</t>
  </si>
  <si>
    <t>0318 - 5 - 3 1 3 12 44 2 148 - 20</t>
  </si>
  <si>
    <t>Consolidar los programas de atención a la primera infancia</t>
  </si>
  <si>
    <t>Realizar capacitaciones en deberes y derechos de la poblacion infantil</t>
  </si>
  <si>
    <t>Realizar asistencia tecnica a las direcciones locales de salud en gestion integral a las poblaciones de primera y segunda infancia</t>
  </si>
  <si>
    <t>Realizar la verificación del estado de la estrategia IAMI en los 12 municipios del departamento</t>
  </si>
  <si>
    <t>Realizar la verificación del estado de la estrategia AIEPI en los 12 municipios del departamento</t>
  </si>
  <si>
    <t>Realizar la verificación del estado de la estrategia PAI en los 12 municipios del departamento</t>
  </si>
  <si>
    <t>Realizar verificación de cumplimiento  de la Resolución 1070 de 2014</t>
  </si>
  <si>
    <t>Brindar asistencia tecnica a los 12 municipios en la elaboración del plan poara la articulación de las estrategias IAMI, AEPI, PAI</t>
  </si>
  <si>
    <t>Fortalecer en los doce (12) municipios del departamento los  comités municipales de discapacidad</t>
  </si>
  <si>
    <t>Fortalecer atención integral a poblaciones vulnerables</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</si>
  <si>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</si>
  <si>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</si>
  <si>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</si>
  <si>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</si>
  <si>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</si>
  <si>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</si>
  <si>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</si>
  <si>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</si>
  <si>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</si>
  <si>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</si>
  <si>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 xml:space="preserve">Realizar acciones, intervenciones y procedimientos colectivos </t>
  </si>
  <si>
    <t xml:space="preserve">Adecuadas herramientas intersectoriales de educación comunitaria que fortalezcan los entornos saludables  </t>
  </si>
  <si>
    <t>Ejecutar las acciones de la estrategia COMBI en municipios hiperendémicos para enfermedades vectoriales</t>
  </si>
  <si>
    <t>Auditoria a 8  planes de mejoramiento instaurados con la red pública ejecutora del Plan de Intervenciones Colectivas.</t>
  </si>
  <si>
    <t>Planes de mejoramiento instaurados  de Intervenciones Colectivas.</t>
  </si>
  <si>
    <t>Realizar auditoria a 8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</si>
  <si>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</si>
  <si>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</si>
  <si>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</si>
  <si>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</si>
  <si>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</si>
  <si>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</si>
  <si>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</si>
  <si>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</si>
  <si>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 xml:space="preserve">Optimizar los procesos contractuales desde el LSP y  la DTS
</t>
  </si>
  <si>
    <t xml:space="preserve">Fortalecer el recurso humano de la unidad de vigilancia de interes en salud publica </t>
  </si>
  <si>
    <t>Fortalecer el recurso humano de la unidad de vigilancia del ambiente del consumo y factores de riesgo</t>
  </si>
  <si>
    <t>Adecuar infraestructura que de cumplimiento para el buen  funcionamiento del LSP</t>
  </si>
  <si>
    <t>Fortalecer la infrastructura para el desarrollo de las actividades de laboratorio</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</si>
  <si>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</si>
  <si>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</si>
  <si>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</si>
  <si>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</si>
  <si>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</si>
  <si>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</si>
  <si>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</si>
  <si>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</si>
  <si>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</si>
  <si>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</si>
  <si>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</si>
  <si>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</si>
  <si>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</si>
  <si>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</si>
  <si>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</si>
  <si>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</si>
  <si>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</si>
  <si>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</si>
  <si>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</si>
  <si>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</si>
  <si>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</si>
  <si>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</si>
  <si>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Mejorar los procesos de identificación de la población no sisbenizada y no afiliada.</t>
  </si>
  <si>
    <t>Rentas cedidas subcuenta otros gastos en salud</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</si>
  <si>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</si>
  <si>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</si>
  <si>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</si>
  <si>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</si>
  <si>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t>Ley 1393</t>
  </si>
  <si>
    <t>1801 - 5 - 3 1 3 13 48 2 153 - 71</t>
  </si>
  <si>
    <t>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</si>
  <si>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</si>
  <si>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</si>
  <si>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</si>
  <si>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</si>
  <si>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</si>
  <si>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</si>
  <si>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</si>
  <si>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</si>
  <si>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</si>
  <si>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</si>
  <si>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</si>
  <si>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</si>
  <si>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vigilancia y control para el acceso de los afiliados a la red de servicios de salud</t>
  </si>
  <si>
    <t>Resolución 971/2016 programa inimputables</t>
  </si>
  <si>
    <t>1802 - 5 - 3 1 3 14 50 2 154 - 58</t>
  </si>
  <si>
    <t>Rentas cedidas secretaria .de salud</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</si>
  <si>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</si>
  <si>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</si>
  <si>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</si>
  <si>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Fortalecer la tención de la población no afiliada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</si>
  <si>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</si>
  <si>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</si>
  <si>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</si>
  <si>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</si>
  <si>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construcción del Plan Bienal en las 14 Empresas sociales del estado (ESE)del departamento.</t>
  </si>
  <si>
    <t>SGP salud aportes patronales S.S.F</t>
  </si>
  <si>
    <t>0318 - 5 - 3 1 3 14 50 2 154 - 35</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</si>
  <si>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</si>
  <si>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</si>
  <si>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</si>
  <si>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</si>
  <si>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</si>
  <si>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</si>
  <si>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</si>
  <si>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</si>
  <si>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</si>
  <si>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</si>
  <si>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</si>
  <si>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</si>
  <si>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</si>
  <si>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</si>
  <si>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</si>
  <si>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</si>
  <si>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</si>
  <si>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</si>
  <si>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</si>
  <si>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</si>
  <si>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</si>
  <si>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</si>
  <si>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</si>
  <si>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</si>
  <si>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</si>
  <si>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</si>
  <si>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</si>
  <si>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1802 - 5 - 3 1 3 14 52 2 157 - 72</t>
  </si>
  <si>
    <t>regular y coordinar la prestacion de servicios de urgencias y emergencias en salud en el departamento</t>
  </si>
  <si>
    <t xml:space="preserve">realizar asistencia tecnica a los prestadores de servicios de salud </t>
  </si>
  <si>
    <t>Realizar adecuaciones fisicas a las Instalaciones designadas para el funcionamiento del CRUE</t>
  </si>
  <si>
    <t>Adquicion de Equipos de Computo para funcionamiento operativo del CRUE</t>
  </si>
  <si>
    <t>0318 - 5 - 3 1 3 14 52 2 157 - 20</t>
  </si>
  <si>
    <t>Mejorar y dotar el CRUE para su correcto funcionamiento en el Departamento del Quindio.</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</si>
  <si>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</si>
  <si>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</si>
  <si>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</si>
  <si>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</si>
  <si>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</si>
  <si>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</si>
  <si>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</si>
  <si>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</si>
  <si>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Direccion Territorial de acuerdo a lo establecido en la Resolución 3960 de 2008.</t>
  </si>
  <si>
    <t xml:space="preserve">Asegurar la totalidad de los estandares establecidos en el sistema de habilitacion 
</t>
  </si>
  <si>
    <t xml:space="preserve">Realizar asistencia técnica para levantar el diagnóstico del estado de avance del programa PAMEC en la IPS públicas del Departamento. </t>
  </si>
  <si>
    <t>Realizar capacitación del recurso humano de las IPS públicas en el establecimiento de planes de mejora.</t>
  </si>
  <si>
    <t xml:space="preserve">Garantizar eficiencia en el establecimiento de los indicadores de seguimiento a riesgo 
</t>
  </si>
  <si>
    <t>Seguimiento y evaluación al cumplimiento DE los planes de mejoramiento y estandarización de procesos  de habilitación de las EAPB.</t>
  </si>
  <si>
    <t>Realizar visitas de verificación de los requisitos de habilitación a 150 prestadores de servicios de salud.</t>
  </si>
  <si>
    <t xml:space="preserve">Realizar visitas de verificación de los requisitos de habilitación </t>
  </si>
  <si>
    <t>verificación  a 150 prestadores de servicios de salud.</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</si>
  <si>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</si>
  <si>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</si>
  <si>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</si>
  <si>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</si>
  <si>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</si>
  <si>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</si>
  <si>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</si>
  <si>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</si>
  <si>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</si>
  <si>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</si>
  <si>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trimestral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</si>
  <si>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</si>
  <si>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</si>
  <si>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</si>
  <si>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</si>
  <si>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</si>
  <si>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</si>
  <si>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</si>
  <si>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</si>
  <si>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</si>
  <si>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</si>
  <si>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</si>
  <si>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</si>
  <si>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</si>
  <si>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</si>
  <si>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</si>
  <si>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</si>
  <si>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</si>
  <si>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</si>
  <si>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</si>
  <si>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 xml:space="preserve">CESAR AUGUSTO RINCON ZULUAGA </t>
  </si>
  <si>
    <t>SECRETARIA DE SALUD DEPARTAMENTAL</t>
  </si>
  <si>
    <t xml:space="preserve">Gestionar recursos para cofinanciación de la afialicon  MPO y lugares de afiliación
</t>
  </si>
  <si>
    <t>REINSERCION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</si>
  <si>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</si>
  <si>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</si>
  <si>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</si>
  <si>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 xml:space="preserve">0309 - 5 - 3 1 4 23 75 18 28 - 20
0309 - 5 - 3 1 4 23 75 18 28 - 42
0309 - 5 - 3 1 4 23 75 18 28 - 88
0309 - 5 - 3 1 4 23 75 18 28 - 92
</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</si>
  <si>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</si>
  <si>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</si>
  <si>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</si>
  <si>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</si>
  <si>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</si>
  <si>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Juliana Hernandez Henao
Directora de Seguridad Y Convivencia</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</si>
  <si>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</si>
  <si>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</si>
  <si>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</si>
  <si>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</si>
  <si>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</si>
  <si>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</si>
  <si>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</si>
  <si>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</si>
  <si>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</si>
  <si>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</si>
  <si>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</si>
  <si>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</si>
  <si>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</si>
  <si>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</si>
  <si>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</si>
  <si>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Adquisición de bienes muebles necesarios para el funcionamiento de la diferentes iniciativas o programas de los oraganismos de seguridad del departamento</t>
  </si>
  <si>
    <t>Fondo de Seguridad 5%</t>
  </si>
  <si>
    <t>Adquisición de bienes inmuebles necesarios para el funcionamiento de la diferentes iniciativas o programas de los oraganismos de seguridad del departamento</t>
  </si>
  <si>
    <t>Superavit Fondo de Seguridad</t>
  </si>
  <si>
    <t>Procesos de consultoria como requisito para adquisiciónes,interventorias, diagnósticos,diseños,estudios de factibilidad entre otros</t>
  </si>
  <si>
    <t>Programas de prevención del delito y fortalecimeinto institucional para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</si>
  <si>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</si>
  <si>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</si>
  <si>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</si>
  <si>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</si>
  <si>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</si>
  <si>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</si>
  <si>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</si>
  <si>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</si>
  <si>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</si>
  <si>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</si>
  <si>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</si>
  <si>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</si>
  <si>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</si>
  <si>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0309 - 5 - 3 1 4 23 76 18 29 - 20</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</si>
  <si>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</si>
  <si>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</si>
  <si>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</si>
  <si>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</si>
  <si>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</si>
  <si>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Logística, refrigerios,transporte y/o combustible</t>
  </si>
  <si>
    <t>Atencion integral de Barrios con situacion critica de convivencia en los 12 Municipios  del Departamento</t>
  </si>
  <si>
    <t>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</si>
  <si>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</si>
  <si>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</si>
  <si>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</si>
  <si>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 xml:space="preserve">Generación y/o apoyo a programas de intervención social o de seguridad </t>
  </si>
  <si>
    <t>Recurso ordinario</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</si>
  <si>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</si>
  <si>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</si>
  <si>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</si>
  <si>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</si>
  <si>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</si>
  <si>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</si>
  <si>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</si>
  <si>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</si>
  <si>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</si>
  <si>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</si>
  <si>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</si>
  <si>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</si>
  <si>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</si>
  <si>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</si>
  <si>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Diego Fernando Escandon y/o Maria Alejandra Berrio Jaramillo
Dirección de DDHH Y Atención a Víctimas</t>
  </si>
  <si>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</si>
  <si>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</si>
  <si>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</si>
  <si>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</si>
  <si>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</si>
  <si>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</si>
  <si>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</si>
  <si>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</si>
  <si>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</si>
  <si>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</si>
  <si>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</si>
  <si>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</si>
  <si>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</si>
  <si>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</si>
  <si>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</si>
  <si>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</si>
  <si>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</si>
  <si>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</si>
  <si>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</si>
  <si>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</si>
  <si>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</si>
  <si>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</si>
  <si>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</si>
  <si>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</si>
  <si>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</si>
  <si>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</si>
  <si>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</si>
  <si>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</si>
  <si>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</si>
  <si>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</si>
  <si>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</si>
  <si>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</si>
  <si>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</si>
  <si>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</si>
  <si>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</si>
  <si>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</si>
  <si>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</si>
  <si>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</si>
  <si>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</si>
  <si>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</si>
  <si>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</si>
  <si>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</si>
  <si>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</si>
  <si>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</si>
  <si>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</si>
  <si>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</si>
  <si>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</si>
  <si>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</si>
  <si>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</si>
  <si>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</si>
  <si>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</si>
  <si>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</si>
  <si>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</si>
  <si>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</si>
  <si>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</si>
  <si>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</si>
  <si>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</si>
  <si>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</si>
  <si>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</si>
  <si>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</si>
  <si>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</si>
  <si>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</si>
  <si>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</si>
  <si>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</si>
  <si>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</si>
  <si>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</si>
  <si>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Faber Mosquera Álvarez 
Director UDEGERD</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</si>
  <si>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</si>
  <si>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</si>
  <si>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</si>
  <si>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</si>
  <si>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</si>
  <si>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</si>
  <si>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</si>
  <si>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</si>
  <si>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</si>
  <si>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</si>
  <si>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</si>
  <si>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</si>
  <si>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</si>
  <si>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</si>
  <si>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</si>
  <si>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</si>
  <si>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</si>
  <si>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</si>
  <si>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</si>
  <si>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</si>
  <si>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</si>
  <si>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</si>
  <si>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</si>
  <si>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</si>
  <si>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</si>
  <si>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</si>
  <si>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</si>
  <si>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</si>
  <si>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</si>
  <si>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</si>
  <si>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</si>
  <si>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</si>
  <si>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</si>
  <si>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</si>
  <si>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</si>
  <si>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</si>
  <si>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</si>
  <si>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</si>
  <si>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</si>
  <si>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</si>
  <si>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</si>
  <si>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</si>
  <si>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</si>
  <si>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Juliana Hérnandez Henao Dirección de  Seguridad y Convivencia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</si>
  <si>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</si>
  <si>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</si>
  <si>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</si>
  <si>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</si>
  <si>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</si>
  <si>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</si>
  <si>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</si>
  <si>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</si>
  <si>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</si>
  <si>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</si>
  <si>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</si>
  <si>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</si>
  <si>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</si>
  <si>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</si>
  <si>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Comunales comprometidos con el desarrollo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</si>
  <si>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</si>
  <si>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</si>
  <si>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</si>
  <si>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</si>
  <si>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</si>
  <si>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</si>
  <si>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</si>
  <si>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Recurso Ordinario
Superavit Recurso Ordinario</t>
  </si>
  <si>
    <t>Celebración dia comunal</t>
  </si>
  <si>
    <t>Coofinanciación para organización de los juegos comunales</t>
  </si>
  <si>
    <t>Apoyo a eventos de capacitación comunal</t>
  </si>
  <si>
    <t>Apoyo para fortalecimietno de programas intitucionales de los organismos comunales</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</si>
  <si>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</si>
  <si>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</si>
  <si>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</si>
  <si>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</si>
  <si>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</si>
  <si>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</si>
  <si>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</si>
  <si>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</si>
  <si>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</si>
  <si>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</si>
  <si>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</si>
  <si>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</si>
  <si>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</si>
  <si>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CICLO VITAL</t>
  </si>
  <si>
    <t>ESTRATEGIA</t>
  </si>
  <si>
    <t>PROGRAMA</t>
  </si>
  <si>
    <t>SUBPROGRAMA</t>
  </si>
  <si>
    <t>META PRODUCTO PLAN DE DESARROLLO</t>
  </si>
  <si>
    <t>META FISICA 2017</t>
  </si>
  <si>
    <t xml:space="preserve">NOMBRE DEL PROYECTO </t>
  </si>
  <si>
    <t>VALOR PROYECTO</t>
  </si>
  <si>
    <t>Apoyo al deporte asociado</t>
  </si>
  <si>
    <t xml:space="preserve"> Ligas deportivas del departamento del Quindío</t>
  </si>
  <si>
    <t xml:space="preserve">Apoyar  y fortalecer veintitrés (23) ligas deportivas   </t>
  </si>
  <si>
    <t>Numero</t>
  </si>
  <si>
    <t xml:space="preserve">2234468202-4
</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</si>
  <si>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</si>
  <si>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</si>
  <si>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</si>
  <si>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</si>
  <si>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Recursos Ordinarios</t>
  </si>
  <si>
    <t>OLGA LUCIA FERNANDEZ CARDENAS</t>
  </si>
  <si>
    <t>2234468202-3</t>
  </si>
  <si>
    <t>IVA de Licores Cedido 30% Deporte</t>
  </si>
  <si>
    <t>Apoyo a las ligas en los eventos deportivos de carácter federal</t>
  </si>
  <si>
    <t>apoyar  a veinte  (20) deportistas en nivel de talento, de proyección y de altos logros con el programa de incentivos económicos a deportistas.</t>
  </si>
  <si>
    <t>2234468203-3</t>
  </si>
  <si>
    <t>Apoyo a deportistas de alto logros y reserva deportiva</t>
  </si>
  <si>
    <t>Apoyo a eventos deportivos</t>
  </si>
  <si>
    <t>Apoyar trece (13)  ligas en   los eventos deportivos de carácter federado  nacional y departamental.</t>
  </si>
  <si>
    <t>2234469204-4
2234469204-9</t>
  </si>
  <si>
    <t xml:space="preserve">Apoyo  logistico a las 13 ligas estrategicas </t>
  </si>
  <si>
    <t xml:space="preserve">Recursos Ordinarios
</t>
  </si>
  <si>
    <t>Rendimientos financieros</t>
  </si>
  <si>
    <t xml:space="preserve"> Juegos intercolegiados </t>
  </si>
  <si>
    <t>Desarrollar cuatro (4) juegos Intercolegiados  en sus diferentes fases.</t>
  </si>
  <si>
    <t xml:space="preserve">2234470205-4
</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</si>
  <si>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</si>
  <si>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</si>
  <si>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</si>
  <si>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</si>
  <si>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2234470205-7</t>
  </si>
  <si>
    <t xml:space="preserve">
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</si>
  <si>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</si>
  <si>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</si>
  <si>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
2234471206-7</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</si>
  <si>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</si>
  <si>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</si>
  <si>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</si>
  <si>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</si>
  <si>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</si>
  <si>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Coldeportes</t>
  </si>
  <si>
    <t>Desarrollar  4 eventos de deporte social y comunitario.</t>
  </si>
  <si>
    <t>2234471207-4
2234471207-7</t>
  </si>
  <si>
    <t>Realizacion de eventos deportivos en el departamento</t>
  </si>
  <si>
    <t>Apoyar  técnicamente un 1  evento de  Juegos Comunales en la fase Departamental</t>
  </si>
  <si>
    <t>2234471208-4</t>
  </si>
  <si>
    <t xml:space="preserve"> Si Recreación y actividad física para ti</t>
  </si>
  <si>
    <t>Recreación,  para el Bien Común</t>
  </si>
  <si>
    <t>Apoyar de forma articulada el desarrollo del programa (1) "Campamentos Juveniles"</t>
  </si>
  <si>
    <t>2234572209-4
2234572209-7
2234572210-4
2234572210-7
2234572211-7</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</si>
  <si>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</si>
  <si>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</si>
  <si>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</si>
  <si>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</si>
  <si>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4
7</t>
  </si>
  <si>
    <t>Apoyar de forma articulada el programa nuevo comienzo "Otro Motivo para Vivir" (1).</t>
  </si>
  <si>
    <t>Apoyo logistico y tecnico al adulto mayor</t>
  </si>
  <si>
    <t>Crear y desarrollar una estrategia para articular la actividad recreativa social comunitaria desde la primera infancia hasta las personas mayores.</t>
  </si>
  <si>
    <t>Apoyo logistico tecnico</t>
  </si>
  <si>
    <t xml:space="preserve"> Actividad física, hábitos y estilos de vida saludables</t>
  </si>
  <si>
    <t xml:space="preserve">implementar un (1) programa que permita ejecutar proyectos  de actividad física para la promoción de hábitos y estilos de vida saludables </t>
  </si>
  <si>
    <t>2234573212-4
2234573212-7</t>
  </si>
  <si>
    <t>Apoyo a la actividad fisica, salud y productiva en el Departamento</t>
  </si>
  <si>
    <t>Disminuir los  índices en el consumo de estupefacientes  y sedentarismo en los municipios del departamento a traves de programa de actividad fisica y habitos saludables</t>
  </si>
  <si>
    <t>Fomentar estilos de vida saludable y actividad fisica</t>
  </si>
  <si>
    <t>Capacitaciones en actividad fisica</t>
  </si>
  <si>
    <t xml:space="preserve">Recurso ordinario
</t>
  </si>
  <si>
    <t>OLGA LUCIA FERNANDEZ CARDENASÇ</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</si>
  <si>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</si>
  <si>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</si>
  <si>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</si>
  <si>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</si>
  <si>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</si>
  <si>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Disminuir los índices en el consumo de estupefacientes en los municipios del departamento</t>
  </si>
  <si>
    <t>Fortalecer la articulacion interinstitucional</t>
  </si>
  <si>
    <t>Brindar acompañamiento tecnico a los municipios</t>
  </si>
  <si>
    <t>Otros Iva Telefonía Móvil</t>
  </si>
  <si>
    <t>Gerente</t>
  </si>
  <si>
    <t xml:space="preserve">1. </t>
  </si>
  <si>
    <t>DESARROLLO SOSTENIBLE</t>
  </si>
  <si>
    <t>1.</t>
  </si>
  <si>
    <t xml:space="preserve">QUINDIO TERRITORIO VITAL </t>
  </si>
  <si>
    <t xml:space="preserve">2. </t>
  </si>
  <si>
    <t xml:space="preserve">MANEJO INTEGRAL DEL AGUA Y SANEAMIENTO BÁSICO </t>
  </si>
  <si>
    <t>Formular y ejecutar veinte (20) proyectos de infraestructura de agua potable y saneamiento básico</t>
  </si>
  <si>
    <t xml:space="preserve">N° de proyectos formulados y/o ejecutados </t>
  </si>
  <si>
    <t>0308 - 5 - 3 1 1 1 2 3 22 - 04 / 0308 - 5 - 3 1 1 1 2 3 22 - 27</t>
  </si>
  <si>
    <t>Apoyo en atenciones prioritarias en Agua Potable y/o Saneamiento Básico en el Departamento del Quindío</t>
  </si>
  <si>
    <t xml:space="preserve">Generar proyectos para atender la poblacion vulnerable en sus necesidades basicas de </t>
  </si>
  <si>
    <t>Generar intervenciones prioritaria para la adecuacion y optimizacion de sistemas de APSB.</t>
  </si>
  <si>
    <t>Apoyo en atenciones prioritarias en Saneamiento Básico en el Departamento del Quindío</t>
  </si>
  <si>
    <t>EPD</t>
  </si>
  <si>
    <t>ALVARO JOSE JIMENEZ TORRES/ MARY CIELO SOLER CHACON.</t>
  </si>
  <si>
    <t>Formular proyectos para ejecutar diferentes proyectos con el fin de brindar un buen servicio de Agua potable y Saneamiento basico</t>
  </si>
  <si>
    <t>Reposición y Optimización de Acueducto y Alcalntarillado de la Calle 16 Carreras 6 y  8 Municipio de Quimbaya Quindio</t>
  </si>
  <si>
    <t>Mejoramiento y Optimización puesta en marcha planta de tratamiento de agua potable acueducto Barragan La Coca</t>
  </si>
  <si>
    <t>Construción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</si>
  <si>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</si>
  <si>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</si>
  <si>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Proyectos AAA Ejecutados</t>
  </si>
  <si>
    <t>SGP AGUA POTABLE SSF27</t>
  </si>
  <si>
    <t xml:space="preserve">Formular,priorizar, viabilizar y ejecutar proyectos de infraestructura de Agua Potable y Saneamiento Basico </t>
  </si>
  <si>
    <t>04/23/2017</t>
  </si>
  <si>
    <t>Apoyar  veinte (20) proyectos de agua potable y saneamiento básico de acuerdo al plan de acompañamiento social</t>
  </si>
  <si>
    <t xml:space="preserve">N° de proyectos apoyados </t>
  </si>
  <si>
    <t>Ejecución del plan de acompañamiento social a los proyectos y obras de infraestructura de agua potable y saneamiento básico en el Departamento del Quindío</t>
  </si>
  <si>
    <t>Ejecutar el plan de aseguramiento social para los proyectos de agua potable y saneamiento básico Aguas del Departamento del Quindío</t>
  </si>
  <si>
    <t>Seguimiento a la socializacion de proyectos de Agua potable y Saneamiento Basico - Diseño de estrategias de participacion de la comunidad en los proyectos de agua potable y saneamiento basico</t>
  </si>
  <si>
    <t>Campanas de Socializacion</t>
  </si>
  <si>
    <t>Actualizar e implementar el plan ambiental para el sector de agua potable y saneamiento básico</t>
  </si>
  <si>
    <t>Un plan Ambiental Implementado y en Ejecución</t>
  </si>
  <si>
    <t>0308 - 5 - 3 1 1 1 2 3 26 - 27</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</si>
  <si>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</si>
  <si>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</si>
  <si>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Preveer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 Definir el cumplimiento de los mínimos ambientales para los proyectos de acueducto, alcantarillado y aseo en el Plan ambiental para el sector de agua potable y saneamiento básico - Concertar obras e inversines entre el departamento, el gestor y la Corporación Autónoma Regional del Quindío on base en el diagnóstico del sector, la priorización de proyectos y las inversiones disponibles.</t>
  </si>
  <si>
    <t>Actualizacion e implementacion del Plan Ambiental para el Sector de Agua Potable y Saneamiento Basico.</t>
  </si>
  <si>
    <t>Ejecutar tres (3) proyectos para el aseguramiento de la prestación de los servicios públicos de agua potable y saneamiento básico urbano y rural</t>
  </si>
  <si>
    <t xml:space="preserve">N° de proyectos ejecutados para el aseguramiento de la prestación de servicios </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</si>
  <si>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</si>
  <si>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</si>
  <si>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</si>
  <si>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</si>
  <si>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</si>
  <si>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Contratar al grupo gestor del PAP-PDA Quindío (INVERSIÓN)</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</si>
  <si>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</si>
  <si>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</si>
  <si>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</si>
  <si>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</si>
  <si>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</si>
  <si>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</si>
  <si>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t>
  </si>
  <si>
    <t>ESTRUCTURACIÓN PRIORIZADA DE INVERSION POR FASES PARA LA GESTION DEL RIESGO EN EL SECTOR DE AGUA POTABLE Y SANEAMIENTO BÁSICO</t>
  </si>
  <si>
    <t>ELABORACIÓN DE UN MAPA DE ZONIFICACION DE RIESGO PARA EL SECTOR DE AGUA POTABLE Y SANEAMIENTO BÁSICO</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</si>
  <si>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</si>
  <si>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</si>
  <si>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</si>
  <si>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</si>
  <si>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</si>
  <si>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</si>
  <si>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</si>
  <si>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 xml:space="preserve">  0308 - 5 - 312 1 4919 - 23   0308-5 -312414919- 88  0308-53 112414919- 89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</si>
  <si>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</si>
  <si>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</si>
  <si>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</si>
  <si>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Adquisicion de Bienes y Servicios</t>
  </si>
  <si>
    <t>9. Transporte</t>
  </si>
  <si>
    <t>SOBRETASA ACPM (23) SUPERAVIT RECURSO ORDINARIO (88) SUPERAVIT SOBRETASA ACPM (89)</t>
  </si>
  <si>
    <t>MARY CIELO SOLER CHACON</t>
  </si>
  <si>
    <t>02/15/2017</t>
  </si>
  <si>
    <t>0616/2017</t>
  </si>
  <si>
    <t>Componente Tecnico</t>
  </si>
  <si>
    <t>01/15/2017</t>
  </si>
  <si>
    <t>06/25/2017</t>
  </si>
  <si>
    <t>Obra Fisica</t>
  </si>
  <si>
    <t>03/15/2017</t>
  </si>
  <si>
    <t>Estudios</t>
  </si>
  <si>
    <t>04/15/2017</t>
  </si>
  <si>
    <t>Apoyar la atención de emergencias viales en los doce (12) Municipios del Departamento del Quindío.</t>
  </si>
  <si>
    <t>Numero de municipios con emergencias viales apoyados</t>
  </si>
  <si>
    <t>Atender oportuna y eficientemente las emergencias presentadas en el departamento del Quindìo</t>
  </si>
  <si>
    <t>Adqusicion de Bienes y Servicios</t>
  </si>
  <si>
    <t>Apoyo Institucional</t>
  </si>
  <si>
    <t>06/15/2017</t>
  </si>
  <si>
    <t xml:space="preserve">Realizar ocho (8) estudios y/o diseños para el mantenimiento, mejoramiento y/o rehabilitación de la infraestructura vial del departamento para la implementación del Plan Vial </t>
  </si>
  <si>
    <t>No.de Estudios y/o disenos realizados.</t>
  </si>
  <si>
    <t xml:space="preserve">Ejecutar actividades y procesos que permitan realizar control, seguimiento y veeduría ciudadan a los proyectos de agua potable y saneamiento básico. </t>
  </si>
  <si>
    <t>Ingenieria y Administracion</t>
  </si>
  <si>
    <t>01/302017</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</si>
  <si>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</si>
  <si>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</si>
  <si>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</si>
  <si>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</si>
  <si>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12 4 15 15 21 - 04  0308 - 5 - 3 12 4 15 15 21 - 82</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</si>
  <si>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</si>
  <si>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</si>
  <si>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15. Equipamiento</t>
  </si>
  <si>
    <t>EPD (04) RECURSO ORDINARIO (20) SUPERAVIT CAE LA PRIMAVERA (128)  SUPERAVIT EPD (82) SUPERAVIT RECURSO ORDINARIO (88)</t>
  </si>
  <si>
    <t>05/15/2017</t>
  </si>
  <si>
    <t>Apoyar la construcción, mejoramiento y/o rehabilitación de cuatro (4) obras de infraestructura de salud del departamento del Quindío</t>
  </si>
  <si>
    <t>Numero de instituciones de salud mejoradas y/o apoyadas</t>
  </si>
  <si>
    <t xml:space="preserve"> 0308 - 5 - 3 12 4 15 15 21 - 20</t>
  </si>
  <si>
    <t>Apoyar la construcción, mejoramiento y/o  rehabilitación de la infraestructura de doce (12) escenarios deportivos y/o recreativos en el departamento del Quindío</t>
  </si>
  <si>
    <t>Número de escenarios deportivo o recreativo  apoyado</t>
  </si>
  <si>
    <t>06/14/2017</t>
  </si>
  <si>
    <t>Asistencia Tecnica</t>
  </si>
  <si>
    <t>0/01/2017</t>
  </si>
  <si>
    <t>05/20/2017</t>
  </si>
  <si>
    <t>Apoyar la construcción, el mantenimiento, el mejoramiento y/o la rehabilitación de la infraestructura de cuatro (4) equipamientos públicos y colectivos del Departamento del Quindío.</t>
  </si>
  <si>
    <t>Número de  equipamientos públcos  y colectivos rehabilitados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</si>
  <si>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</si>
  <si>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</si>
  <si>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 xml:space="preserve"> 0308 - 5 - 3 12 4 15 15 21 - 20     0308 - 5 - 3 12 4 15 15 21 - 128    0308 - 5 - 3 12 4 15 15 21 - 88</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</si>
  <si>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</si>
  <si>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</si>
  <si>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</si>
  <si>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</si>
  <si>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 xml:space="preserve">Desarrollar tres (3) ejercicios de presupuesto participativo con la ciudadanía, para la priorización de recursos de infraestructura física en el Departamento </t>
  </si>
  <si>
    <t>Numero de ejercicios de presupuesto participativo realizados.</t>
  </si>
  <si>
    <t>SECRETARIA (E) DE  AGUAS E INFRAESTRUCTURA</t>
  </si>
  <si>
    <t>GOBERNACION DEL QUINDIO</t>
  </si>
  <si>
    <t>Cobertura Educativa</t>
  </si>
  <si>
    <t>Acceso y Pemanencia</t>
  </si>
  <si>
    <t>Implementar un (1) plan, programa y/o proyecto para el acceso de niños, niñas y jóvenes en las instituciones educativas</t>
  </si>
  <si>
    <t>Número</t>
  </si>
  <si>
    <t>0314 - 5 - 3 1 3 5 16 1 84 - 20     0314 - 5 - 3 1 3 5 16 1 84 - 35     
0314-5-313516184-88
0314-5-313516184-134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</si>
  <si>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</si>
  <si>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</si>
  <si>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</si>
  <si>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</si>
  <si>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</si>
  <si>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ALVARO ARIAS VELASQUEZ, SECRETARIO DE EDUCACIÓN</t>
  </si>
  <si>
    <t>Extracción Minera</t>
  </si>
  <si>
    <t>Implementar el Programa de Alimentación Escolar (PAE) en el departamento del Quindío</t>
  </si>
  <si>
    <t>1404 - 5 - 3 1 3 5 16 1 84 - 81
0314 - 5 - 3 1 3 5 16 1 84 - 20     0314 - 5 - 3 1 3 5 16 1 84 - 35    
1404-5-313516184-137
0314-5-313516184-91 
1404-5-313516184-80</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</si>
  <si>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</si>
  <si>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</si>
  <si>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Recurso Fondo de Educación PAE</t>
  </si>
  <si>
    <t>Rendimientos Financieros</t>
  </si>
  <si>
    <t>x</t>
  </si>
  <si>
    <t>Contratación Equipo PAE</t>
  </si>
  <si>
    <t>Implementar el programa de transporte escolar en el departamento del Quindio</t>
  </si>
  <si>
    <t xml:space="preserve">  0314 - 5 - 3 1 3 5 16 1 84 - 35</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</si>
  <si>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</si>
  <si>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</si>
  <si>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Educación inclusiva con acceso y permanencia para poblaciones vulnerables - diferenciales</t>
  </si>
  <si>
    <t>Atender cuatro mil quinientos (4.500)  personas de la población adulta del departamento (jóvenes y adultos, madres cabeza de hogar)</t>
  </si>
  <si>
    <t>0314-5-313517186-20
1404-5-313517186-25</t>
  </si>
  <si>
    <t>Implementación de estrategias de inclusión para garantizar la atención educativa a población vulnerable en el  Departamento del  Quindío.</t>
  </si>
  <si>
    <t>Aumentar la cobertura en el sistema educativo de poblacion adulta en  el departamento del quindio.</t>
  </si>
  <si>
    <t xml:space="preserve">Matriculatón
</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</si>
  <si>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</si>
  <si>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</si>
  <si>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</si>
  <si>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</si>
  <si>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</si>
  <si>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</si>
  <si>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Matriculatón</t>
  </si>
  <si>
    <t xml:space="preserve">Atender dos mil quinientos setenta estudiantes (2570) en condición de población  victima del conflicto, residentes en el departamento del Quindío </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</si>
  <si>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</si>
  <si>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</si>
  <si>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</si>
  <si>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</si>
  <si>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</si>
  <si>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SGP EDUCACIÓN</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</si>
  <si>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</si>
  <si>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</si>
  <si>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</si>
  <si>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</si>
  <si>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</si>
  <si>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1402-5-3135181
1403-5-3135181</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</si>
  <si>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</si>
  <si>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</si>
  <si>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</si>
  <si>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</si>
  <si>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</si>
  <si>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</si>
  <si>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</si>
  <si>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</si>
  <si>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</si>
  <si>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</si>
  <si>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</si>
  <si>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</si>
  <si>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</si>
  <si>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0314-5-313619189-35
0314-5-313619189-91</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</si>
  <si>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</si>
  <si>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</si>
  <si>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0314-5-313619189-35</t>
  </si>
  <si>
    <t>Beneficiar a ochenta (80) docentes  con becas de posgrado</t>
  </si>
  <si>
    <t>0314-5-313619189-20</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</si>
  <si>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</si>
  <si>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</si>
  <si>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</si>
  <si>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</si>
  <si>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</si>
  <si>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</si>
  <si>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1404-5-313619189-80</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</si>
  <si>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</si>
  <si>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</si>
  <si>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</si>
  <si>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</si>
  <si>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</si>
  <si>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</si>
  <si>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</si>
  <si>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0314-5-313620190-20
0314-5313620190-91
1404-5-313620190-80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</si>
  <si>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</si>
  <si>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</si>
  <si>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</si>
  <si>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</si>
  <si>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</si>
  <si>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</si>
  <si>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</si>
  <si>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</si>
  <si>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</si>
  <si>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</si>
  <si>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</si>
  <si>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</si>
  <si>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</si>
  <si>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</si>
  <si>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</si>
  <si>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</si>
  <si>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</si>
  <si>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Conformacion degrupos culturales artísticos en instituciones educativas</t>
  </si>
  <si>
    <t xml:space="preserve"> Compra de Instrumentos Músicales para conformar Grupos Artísticos</t>
  </si>
  <si>
    <t>Implementar el proyecto PRAE en treinta y seis (36)  instituciones educativas del departamento</t>
  </si>
  <si>
    <t>Implementarcion y fortalefcimiento del proyecto PRAE en instituciones educativas del Quindio</t>
  </si>
  <si>
    <t>Contratación Profesional - PRAES</t>
  </si>
  <si>
    <t>Realizar eventos académicos, investigativos y culturales, liderados por la Secretaría de Educación Departamental para el fortalecimiento de la calidad educativa, la convivencia, la paz, la formación ciudadana y pensamiento ambiental</t>
  </si>
  <si>
    <t>Apoyo a grupos culturales y artisticos de las Instituciones EducativasConformar y dotar grupos culturales artísticos en instituciones educativas</t>
  </si>
  <si>
    <t>Encuentro Cultural de Étnoeducación</t>
  </si>
  <si>
    <t>Recursos Monopolio</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</si>
  <si>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</si>
  <si>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</si>
  <si>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</si>
  <si>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</si>
  <si>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</si>
  <si>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Implementacion  y Fortalecimiento de jornada única</t>
  </si>
  <si>
    <t>Inicio clases Jornada Unica
Reunión rectores Jornada Única</t>
  </si>
  <si>
    <t xml:space="preserve">Mantener, adecuar y/o construir la infraestructura ciento treinta (130) sedes de las instituciones educativas  </t>
  </si>
  <si>
    <t>Mejorar y rehabiliar la Infraestructura de Sedes Educativas del Quindìo</t>
  </si>
  <si>
    <t>Inicio Procesos de Tranferencia de Recursos para Pequeñas Intervenciones</t>
  </si>
  <si>
    <t>Dotación de implementos de mitigación, prevención y atención del riesgo, para el fortalecimiento del Plan Escolar de Gestión del Riesgo (PEGER) como parte del Proyecto Ambiental Escolar (PRAE)</t>
  </si>
  <si>
    <t xml:space="preserve">Dotar cincuenta y cuatro (54) instituciones educativas con material didáctico, mobiliario escolar y/o infraestructura tecnológica  </t>
  </si>
  <si>
    <t>Dotacion  de material didáctico, mobiliario escolar y/o infraestructura tecnológica</t>
  </si>
  <si>
    <t>Dotar Instituciones Educativas de Material Didàctico, Mobiliario Escolar  y/o Infraestructura Tecnològica</t>
  </si>
  <si>
    <t>Recrso Monopolio</t>
  </si>
  <si>
    <t>Implementar la jornada complementaria y/o unica que articule arte,deporte y cultura, en seis (6) municipios declarados en el sistema de alertas tempranas de la defensoría del pueblo</t>
  </si>
  <si>
    <t>Articulacion de la jornada complementaria y/o única con el arte el deporte y la cultura en los municipio declarados en el sistema de alertas tempranas de la defensoria del pueblo.</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</si>
  <si>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</si>
  <si>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</si>
  <si>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</si>
  <si>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</si>
  <si>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</si>
  <si>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</si>
  <si>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</si>
  <si>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</si>
  <si>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0314-5-313621191-20</t>
  </si>
  <si>
    <t xml:space="preserve"> Dotar sedes educativas del Departamento del Quindío con la colección semilla</t>
  </si>
  <si>
    <t>Inicio Proceso de Compra Colección Semilla</t>
  </si>
  <si>
    <t>Apoyar los  procesos de capacitación  de quinientos (500) docentes del departamento</t>
  </si>
  <si>
    <t>1404-5-313621191-25</t>
  </si>
  <si>
    <t>Apoyar los  procesos de capacitación  de docentes de instituciones educativas del departamento del quindío en estrategias de lectura y escritur</t>
  </si>
  <si>
    <t>Contratacion Personal - Profesionales en:
-  Inglés
- Español y Literatura
- Convivencia Escolar 
- PRAES</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</si>
  <si>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</si>
  <si>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</si>
  <si>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</si>
  <si>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</si>
  <si>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</si>
  <si>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0314-5-313622193-35</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</si>
  <si>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</si>
  <si>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</si>
  <si>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</si>
  <si>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Pertinencia e Innovación</t>
  </si>
  <si>
    <t>Quindío Bilingüe</t>
  </si>
  <si>
    <t>Apoyar cincuenta y cinco (55) docentes licenciados en lenguas modernas formados en ingles con  dominio B2</t>
  </si>
  <si>
    <t>0314 - 5 - 3 1 3 7 23 1 94 - 35</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</si>
  <si>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</si>
  <si>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</si>
  <si>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</si>
  <si>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</si>
  <si>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</si>
  <si>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</si>
  <si>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</si>
  <si>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</si>
  <si>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</si>
  <si>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</si>
  <si>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</si>
  <si>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</si>
  <si>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</si>
  <si>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</si>
  <si>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</si>
  <si>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</si>
  <si>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</si>
  <si>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</si>
  <si>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0314 - 5 - 3 1 3 7 24 1 95 - 20 
 0314 - 5 - 3 1 3 7 24 1 95 - 35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</si>
  <si>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</si>
  <si>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</si>
  <si>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</si>
  <si>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</si>
  <si>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Fortalecer cincuenta (50)   instituciones educativas en competencias básicas</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</si>
  <si>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</si>
  <si>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</si>
  <si>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Reunión con Rectores de Universidades del Dpto del Quindío</t>
  </si>
  <si>
    <t>Implementar un Programa de Alimentación Escolar Universitario PAEU para estudiantes universitarios</t>
  </si>
  <si>
    <t>Iniaciar el Proceso - Convenio - Fundación Providencia</t>
  </si>
  <si>
    <t>Implementar el programa de acceso y permanencia de la educación técnica, tecnologica y superior en el departamento del Quindío</t>
  </si>
  <si>
    <t>Iniciar con el Proceso Precontractual para Entrega de Becas a Estudianrtes Egresados de las I.E. Oficiales del Departamento</t>
  </si>
  <si>
    <t>Eficiencia Educativa</t>
  </si>
  <si>
    <t>Eficiencia y modernización administrativa</t>
  </si>
  <si>
    <t>Fortalecer, hacer seguimiento y auditar cuatro (4)  procesos certificados con que cuenta la Secretaria de Educación Departamental</t>
  </si>
  <si>
    <t>0314-5-313825196-20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</si>
  <si>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</si>
  <si>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</si>
  <si>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</si>
  <si>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</si>
  <si>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</si>
  <si>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</si>
  <si>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</si>
  <si>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</si>
  <si>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</si>
  <si>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 xml:space="preserve"> 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</si>
  <si>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</si>
  <si>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</si>
  <si>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</si>
  <si>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</si>
  <si>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</si>
  <si>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Funcionamiento y prestación de servicios del sector educativo del nivel central</t>
  </si>
  <si>
    <t>Realizar el pago oportuno al 100% de los funcionarios de la planta de  administrativos, docentes y directivos docentes del sector central</t>
  </si>
  <si>
    <t>Porcentaje</t>
  </si>
  <si>
    <t>1400 - 5 - 3 1 3 8 27 1  
1401 - 5 - 3 1 3 8 27 1</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</si>
  <si>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</si>
  <si>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</si>
  <si>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</si>
  <si>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</si>
  <si>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</si>
  <si>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</si>
  <si>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0314 - 5 - 3 1 3 8 28 1 100 - 20 0314 - 5 - 3 1 3 8 28 1 100 - 35</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</si>
  <si>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</si>
  <si>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</si>
  <si>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</si>
  <si>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</si>
  <si>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</si>
  <si>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Realizar (ocho) 8 eventos y actividades culturales y recreativas, desarrolladas para los funcionarios del servicio educativo del departamento del Quindío</t>
  </si>
  <si>
    <t>Celebración día del Administrativo.</t>
  </si>
  <si>
    <t xml:space="preserve">Educación Inicial Integral </t>
  </si>
  <si>
    <t>Implementar  un (1)  programa de educación integral  a la primera infancia</t>
  </si>
  <si>
    <t>0314-5-3131657101-20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</si>
  <si>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</si>
  <si>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</si>
  <si>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</si>
  <si>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ALVARO ARIAS VELASQUEZ</t>
  </si>
  <si>
    <t>SECRETARIO DE EDUCACION DEPARTAMENTAL</t>
  </si>
  <si>
    <r>
      <t xml:space="preserve">0307 - 5 - 3 1 5 28 88 17 17 - </t>
    </r>
    <r>
      <rPr>
        <b/>
        <sz val="11"/>
        <rFont val="Arial"/>
        <family val="2"/>
      </rPr>
      <t xml:space="preserve">20 </t>
    </r>
    <r>
      <rPr>
        <sz val="11"/>
        <rFont val="Arial"/>
        <family val="2"/>
      </rPr>
      <t xml:space="preserve"> 0307 - 5 - 3 1 5 28 88 17 16 - 132   0307 - 5 - 3 1 5 28 88 17 16 - </t>
    </r>
    <r>
      <rPr>
        <b/>
        <sz val="11"/>
        <rFont val="Arial"/>
        <family val="2"/>
      </rPr>
      <t xml:space="preserve">15  </t>
    </r>
    <r>
      <rPr>
        <sz val="11"/>
        <rFont val="Arial"/>
        <family val="2"/>
      </rPr>
      <t xml:space="preserve">           0307 - 5 - 3 1 5 28 88 17 16 -</t>
    </r>
    <r>
      <rPr>
        <b/>
        <sz val="11"/>
        <rFont val="Arial"/>
        <family val="2"/>
      </rPr>
      <t xml:space="preserve"> 56  </t>
    </r>
    <r>
      <rPr>
        <sz val="11"/>
        <rFont val="Arial"/>
        <family val="2"/>
      </rPr>
      <t xml:space="preserve">        0307 - 5 - 3 1 5 28 88 17 16 - </t>
    </r>
    <r>
      <rPr>
        <b/>
        <sz val="11"/>
        <rFont val="Arial"/>
        <family val="2"/>
      </rPr>
      <t xml:space="preserve">88    </t>
    </r>
    <r>
      <rPr>
        <sz val="11"/>
        <rFont val="Arial"/>
        <family val="2"/>
      </rPr>
      <t xml:space="preserve">  0307 - 5 - 3 1 5 28 88 17 16 -</t>
    </r>
    <r>
      <rPr>
        <b/>
        <sz val="11"/>
        <rFont val="Arial"/>
        <family val="2"/>
      </rPr>
      <t xml:space="preserve"> 87</t>
    </r>
  </si>
  <si>
    <r>
      <t xml:space="preserve">Apoyar las actividades de la mesa Departamental de Victimas con enfoque diferencial, y análisis de sus  propuestas </t>
    </r>
    <r>
      <rPr>
        <b/>
        <sz val="11"/>
        <rFont val="Arial"/>
        <family val="2"/>
      </rPr>
      <t xml:space="preserve"> </t>
    </r>
  </si>
  <si>
    <t>F-PLA-06</t>
  </si>
  <si>
    <t>Agosto 1 de 2016</t>
  </si>
  <si>
    <t>PLAN DE ACCIÓN</t>
  </si>
  <si>
    <t xml:space="preserve">PLAN DE ACCIÓN  VIGENCIA 2017 </t>
  </si>
  <si>
    <t>PLAN DE ACCIÓN 
SECRETARIA DE AGUAS E INFRAESTRUCTURA
A MARZO 31 DE 2017</t>
  </si>
  <si>
    <t xml:space="preserve">PLAN DE ACCIÓN </t>
  </si>
  <si>
    <t>PLAN DE ACCIÓN
SECRETARIA DEL INTERIOR
A MARZO 31 DE 2017</t>
  </si>
  <si>
    <t>PLAN DE ACCIÓN 
SECRETARIA DE EDUCACION
A MARZO 31 DE 2017</t>
  </si>
  <si>
    <t xml:space="preserve"> PLAN DE ACCIÓN</t>
  </si>
  <si>
    <t>PLAN DE ACCIÓN
SECRETARIA SALUD
A MARZO 31 DE 2017</t>
  </si>
  <si>
    <t>PLAN DE ACCIÓN 
INDEPORTES
A MARZO 31 DE 2017</t>
  </si>
  <si>
    <t>SECRETARIA DE AGRICULTURA</t>
  </si>
  <si>
    <t>Quindío territorio vital</t>
  </si>
  <si>
    <t>Generación de entornos favorables y sostenibilidad ambiental</t>
  </si>
  <si>
    <t xml:space="preserve">Implementar un (1)  Sistema de Gestión Ambiental Departamental SIGAD </t>
  </si>
  <si>
    <t>0312-5-311111064-20  /  0312-5-311111064-88</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</si>
  <si>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</si>
  <si>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</si>
  <si>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</si>
  <si>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Analisis de la información ambiental de los doce municipios </t>
  </si>
  <si>
    <t>OR</t>
  </si>
  <si>
    <t>CARLOS ALBERTO SOTO RAVE SECRETARIO DE AGRICULTURA, DESARROLLO RURAL Y MEDIO AMBIENTE</t>
  </si>
  <si>
    <t xml:space="preserve">Apoyar cuatro (4) planes de manejo de áreas protegidas del Departamento </t>
  </si>
  <si>
    <t>Actualización  planes de manejo de áreas protegidas del departamento</t>
  </si>
  <si>
    <t xml:space="preserve">Apoyar el Plan Departamental  para la Gestión Integral de la Biodiversidad y sus Servicios Ecosistémicos PDGIB 2013-2024  </t>
  </si>
  <si>
    <t>Adecuadar planificación para la sostenibilidad de los recursos naturales</t>
  </si>
  <si>
    <t>Gestión de la biodiversidad y sus servicios ecosistemicos PDGIB</t>
  </si>
  <si>
    <t>Diseñar y ejecutar una politica Departamental de uso racional de residuos solidos y uso eficiente de energia</t>
  </si>
  <si>
    <t>Realizar actividades de educación ambiental</t>
  </si>
  <si>
    <t xml:space="preserve">Desarrollar en (5) cinco de los sectores productivos del Departamento, actividades de producción más limpia y Buenas  Prácticas Ambientales (BPA) </t>
  </si>
  <si>
    <t xml:space="preserve">Acciones  de producción más limpia y Buenas  Prácticas Ambientales (BPA) en los sectores productivos </t>
  </si>
  <si>
    <t xml:space="preserve">Apoyar a los doce (12) municipios en las acciones de control y vigilancia de la explotación minera en coordinación con la autoridad ambiental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</si>
  <si>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</si>
  <si>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</si>
  <si>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</si>
  <si>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0312-5-311121067-20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</si>
  <si>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</si>
  <si>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</si>
  <si>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</si>
  <si>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</si>
  <si>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RO</t>
  </si>
  <si>
    <t>CARLOS ALBERTO SOTO RAVE SECRETARIODE AGRICULTURA, DESARROLLO RURAL Y MEDIO AMBIENTE</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</si>
  <si>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</si>
  <si>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</si>
  <si>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</si>
  <si>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</si>
  <si>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0312-5-311131068-20  /  0312-5-311131068-88</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</si>
  <si>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</si>
  <si>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</si>
  <si>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</si>
  <si>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</si>
  <si>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Recuperación y mantenimiento de  las  zonas deterioradas en las áreas de protección.</t>
  </si>
  <si>
    <t>Adecuación, remodelación y construcción de las viviendas</t>
  </si>
  <si>
    <t>Conservar para la sostenibilidad ambiental dos (2) cuencas de los municipios con declaratoria de Paisaje Cultural Cafetero PCC</t>
  </si>
  <si>
    <t>0312-5-311131069-20 /  0312-5-311131069-88</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</si>
  <si>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</si>
  <si>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</si>
  <si>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</si>
  <si>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 PCC</t>
  </si>
  <si>
    <t xml:space="preserve">Intervenir cuencas hidrograficas </t>
  </si>
  <si>
    <t xml:space="preserve">Promover la creación y adopción  en los doce (12) municipios del departamento, de herramientas para el estímulo de incentivos a la conservación </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</si>
  <si>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</si>
  <si>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</si>
  <si>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</si>
  <si>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</si>
  <si>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</si>
  <si>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</si>
  <si>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</si>
  <si>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</si>
  <si>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</si>
  <si>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</si>
  <si>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</si>
  <si>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0312-5-312241372-20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</si>
  <si>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</si>
  <si>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</si>
  <si>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</si>
  <si>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Capacitación a caficultores en buenas prácticas agrícolas sostenible y aseguramiento de la calidad de café</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</si>
  <si>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</si>
  <si>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</si>
  <si>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</si>
  <si>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</si>
  <si>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Bajo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</si>
  <si>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</si>
  <si>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</si>
  <si>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</si>
  <si>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</si>
  <si>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</si>
  <si>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</si>
  <si>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</si>
  <si>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0312-5-312258176-20  /  0312-5-312258176-88</t>
  </si>
  <si>
    <t>Creacion e implementacion de los centros agroindustriales para  la paz CAPAZ en el Departamento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</si>
  <si>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</si>
  <si>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</si>
  <si>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</si>
  <si>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</si>
  <si>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</si>
  <si>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</si>
  <si>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</si>
  <si>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</si>
  <si>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</si>
  <si>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</si>
  <si>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</si>
  <si>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</si>
  <si>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312-5-312258177-20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</si>
  <si>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</si>
  <si>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</si>
  <si>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</si>
  <si>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</si>
  <si>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</si>
  <si>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312-5-312258175-20  /  312-5-312258175-88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</si>
  <si>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</si>
  <si>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</si>
  <si>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</si>
  <si>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</si>
  <si>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</si>
  <si>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</si>
  <si>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0312-5-312261375-20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</si>
  <si>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</si>
  <si>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</si>
  <si>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</si>
  <si>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</si>
  <si>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</si>
  <si>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</si>
  <si>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</si>
  <si>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</si>
  <si>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</si>
  <si>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</si>
  <si>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</si>
  <si>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</si>
  <si>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</si>
  <si>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</si>
  <si>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</si>
  <si>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0312-5-312271378-20  /  0312-5-312271378-88</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</si>
  <si>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</si>
  <si>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</si>
  <si>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</si>
  <si>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</si>
  <si>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</si>
  <si>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</si>
  <si>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</si>
  <si>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</si>
  <si>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 xml:space="preserve">Ejecucion de instrumento de planificacion e informacion rural para la comercializacion de productos transables </t>
  </si>
  <si>
    <t>Fomento a la Agricultura Familiar Campesina, agricultura urbana y mercados campesinos para la soberanía y  Seguridad alimentaria</t>
  </si>
  <si>
    <t>Diseñar e implementar un (1) programa de agricultura familiar campesina</t>
  </si>
  <si>
    <t>0312-5-3131134879-20  /  0312-5-3131134879-88</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</si>
  <si>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</si>
  <si>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</si>
  <si>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</si>
  <si>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Apoyar la conformación de cuatro (4) alianzas para contratos de compra anticipada de productos de la agricultura familiar en el Departamento del Quindío</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</si>
  <si>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</si>
  <si>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</si>
  <si>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Sembrar quinientas (500) Ha de productos de la canasta básica familiar para aumentar la disponibilidad de alimentos</t>
  </si>
  <si>
    <t xml:space="preserve">Incrementar la disponibilidad de alimentos de la canasta familiar producidas en el Quindo a travez de la siembra de nuevas hectareas </t>
  </si>
  <si>
    <t>Mejorar el estado nutricional de 1795 niños menor de 5 años y de 1531 niños de 6 a 18 años  en riesgo de desnutrición en el Departamento</t>
  </si>
  <si>
    <t xml:space="preserve">1795 -  1531 </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</si>
  <si>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</si>
  <si>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</si>
  <si>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Beneficiar a 2400 familias urbanas y periurbanas con parcelas de agricultura familiar para autoconsumo y comercio de excedentes</t>
  </si>
  <si>
    <t xml:space="preserve">Establecer parcelas de agricultura familiar urbanas y priurbanas </t>
  </si>
  <si>
    <t>CATALINA GOMEZ RESTREPO</t>
  </si>
  <si>
    <t>HECTOR ALBERTO MARIN RIOS</t>
  </si>
  <si>
    <t>SECRETARIO DEL INTERIOR</t>
  </si>
  <si>
    <t>JAMES GONZALEZ MATTA</t>
  </si>
  <si>
    <t>SECRETARIO DE CULTURA</t>
  </si>
  <si>
    <t>CARLOS ALBERTO SOTO RAVE</t>
  </si>
  <si>
    <t>SECRETARIO DE AGRICULTURA DESARROLLO RURAL Y MEDIO AMBIENTE</t>
  </si>
  <si>
    <t>Socialización de los componentes administrativos de la guia ministerial para el manejo de los recursos de los fondos educativos</t>
  </si>
  <si>
    <t>Capacitación de los procesos protocolizados en la guia ministerial</t>
  </si>
  <si>
    <t>Manual de procesos y procedimiento unificados por las Instituciones Educativas del Departamento del Quindío</t>
  </si>
  <si>
    <t>Reunión comité Territorial de Formación Docente - Capacitación
Reunión lideres SIMAT</t>
  </si>
  <si>
    <t>PLAN DE ACCIÓN
PROMOTORA DE VIVIENDA DEL QUINDIO
A MARZO 31 DE 2017</t>
  </si>
  <si>
    <t xml:space="preserve">F-PLA-06   </t>
  </si>
  <si>
    <t>05</t>
  </si>
  <si>
    <t xml:space="preserve"> 1 de 1</t>
  </si>
  <si>
    <t>Infraestructura Sostenible para la Paz</t>
  </si>
  <si>
    <t>Mejora de la Infraestructura Vial del Departamento del Quindío</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</si>
  <si>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</si>
  <si>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</si>
  <si>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</si>
  <si>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</si>
  <si>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</si>
  <si>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</si>
  <si>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Impuesto al Registro)</t>
  </si>
  <si>
    <t>HERNAN MAURICIO CAÑAS  GERENTE</t>
  </si>
  <si>
    <t>Mejora de la Infraestructura  Social del Departamento del Quindío</t>
  </si>
  <si>
    <t xml:space="preserve">Desarrollo de Programas y Proyectos, en los componentes de vivienda, infraestructura, equipamiento colectivo y comunitario.
</t>
  </si>
  <si>
    <t>Escenarios Deportivos y Recreativos</t>
  </si>
  <si>
    <t>Estampilla Pro Desarrollo</t>
  </si>
  <si>
    <t>Instituciones Educativas</t>
  </si>
  <si>
    <t>Apoyar la construcción, el mantenimiento, el mejoramiento y/o la rehabilitación de la infraestructura de dos (2) equipamientos públicos y colectivos del Departamento del Quindío.</t>
  </si>
  <si>
    <t xml:space="preserve">Equipamientos </t>
  </si>
  <si>
    <t>construcción y/o mejoramiento de vivienda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</si>
</sst>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 [$€-2]\ * #,##0.00_ ;_ [$€-2]\ * \-#,##0.00_ ;_ [$€-2]\ * &quot;-&quot;??_ "/>
    <numFmt numFmtId="170" formatCode="dd/mm/yy;@"/>
    <numFmt numFmtId="171" formatCode="_-* #,##0_-;\-* #,##0_-;_-* &quot;-&quot;??_-;_-@_-"/>
    <numFmt numFmtId="172" formatCode="&quot;$&quot;#,##0"/>
    <numFmt numFmtId="173" formatCode="_(&quot;$&quot;\ * #,##0_);_(&quot;$&quot;\ * \(#,##0\);_(&quot;$&quot;\ * &quot;-&quot;??_);_(@_)"/>
    <numFmt numFmtId="174" formatCode="#,##0_ ;\-#,##0\ "/>
    <numFmt numFmtId="175" formatCode="_(* #,##0_);_(* \(#,##0\);_(* &quot;-&quot;??_);_(@_)"/>
    <numFmt numFmtId="176" formatCode="&quot;$&quot;\ #,##0"/>
    <numFmt numFmtId="177" formatCode="dd/mm/yyyy;@"/>
    <numFmt numFmtId="178" formatCode="_-* #,##0.00\ _€_-;\-* #,##0.00\ _€_-;_-* &quot;-&quot;??\ _€_-;_-@_-"/>
    <numFmt numFmtId="179" formatCode="_ &quot;$&quot;\ * #,##0.00_ ;_ &quot;$&quot;\ * \-#,##0.00_ ;_ &quot;$&quot;\ * &quot;-&quot;??_ ;_ @_ "/>
    <numFmt numFmtId="180" formatCode="0.0"/>
    <numFmt numFmtId="181" formatCode="0.0%"/>
    <numFmt numFmtId="182" formatCode="#,##0.00_ ;\-#,##0.00\ "/>
    <numFmt numFmtId="183" formatCode="0.000"/>
    <numFmt numFmtId="184" formatCode="#,##0.00_);\-#,##0.00"/>
    <numFmt numFmtId="185" formatCode="#,##0.00;[Red]#,##0.00"/>
    <numFmt numFmtId="186" formatCode="#,##0;[Red]#,##0"/>
    <numFmt numFmtId="187" formatCode="_-* #,##0.00\ &quot;€&quot;_-;\-* #,##0.00\ &quot;€&quot;_-;_-* &quot;-&quot;??\ &quot;€&quot;_-;_-@_-"/>
    <numFmt numFmtId="188" formatCode="0;[Red]0"/>
    <numFmt numFmtId="189" formatCode="&quot;$&quot;\ #,##0.00"/>
    <numFmt numFmtId="190" formatCode="d/mm/yyyy;@"/>
    <numFmt numFmtId="191" formatCode="_([$$-240A]\ * #,##0_);_([$$-240A]\ * \(#,##0\);_([$$-240A]\ * &quot;-&quot;_);_(@_)"/>
    <numFmt numFmtId="192" formatCode="[$€-2]\ #,##0.00"/>
    <numFmt numFmtId="193" formatCode="_ [$€-2]\ * #,##0_ ;_ [$€-2]\ * \-#,##0_ ;_ [$€-2]\ * &quot;-&quot;??_ "/>
    <numFmt numFmtId="194" formatCode="_-* #,##0.0_-;\-* #,##0.0_-;_-* &quot;-&quot;_-;_-@_-"/>
    <numFmt numFmtId="195" formatCode="_-[$$-240A]* #,##0_-;\-[$$-240A]* #,##0_-;_-[$$-240A]* &quot;-&quot;_-;_-@_-"/>
    <numFmt numFmtId="196" formatCode="_-[$$-240A]* #,##0.00_-;\-[$$-240A]* #,##0.00_-;_-[$$-240A]* &quot;-&quot;??_-;_-@_-"/>
    <numFmt numFmtId="197" formatCode="_([$$-240A]\ * #,##0.00_);_([$$-240A]\ * \(#,##0.00\);_([$$-240A]\ * &quot;-&quot;??_);_(@_)"/>
    <numFmt numFmtId="198" formatCode="_-[$$-240A]* #,##0_-;\-[$$-240A]* #,##0_-;_-[$$-240A]*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11"/>
      <color rgb="FF000000"/>
      <name val="Calibri"/>
      <family val="2"/>
    </font>
    <font>
      <b/>
      <sz val="11"/>
      <name val="Arial"/>
      <family val="2"/>
    </font>
    <font>
      <sz val="11"/>
      <name val="Arial"/>
      <family val="2"/>
    </font>
    <font>
      <sz val="11"/>
      <name val="Calibri"/>
      <family val="2"/>
      <scheme val="minor"/>
    </font>
    <font>
      <b/>
      <sz val="11"/>
      <color theme="1"/>
      <name val="Arial"/>
      <family val="2"/>
    </font>
    <font>
      <sz val="11"/>
      <color theme="1"/>
      <name val="Arial"/>
      <family val="2"/>
    </font>
    <font>
      <b/>
      <sz val="11"/>
      <name val="Arial Narrow"/>
      <family val="2"/>
    </font>
    <font>
      <sz val="11"/>
      <name val="Arial Narrow"/>
      <family val="2"/>
    </font>
    <font>
      <b/>
      <sz val="11"/>
      <name val="Times New Roman"/>
      <family val="1"/>
    </font>
    <font>
      <sz val="11"/>
      <name val="Times New Roman"/>
      <family val="1"/>
    </font>
    <font>
      <b/>
      <sz val="10"/>
      <color theme="1"/>
      <name val="Arial"/>
      <family val="2"/>
    </font>
    <font>
      <b/>
      <sz val="10"/>
      <color indexed="8"/>
      <name val="Arial"/>
      <family val="2"/>
    </font>
    <font>
      <b/>
      <sz val="12"/>
      <name val="Arial"/>
      <family val="2"/>
    </font>
    <font>
      <sz val="12"/>
      <name val="Arial"/>
      <family val="2"/>
    </font>
    <font>
      <b/>
      <sz val="11"/>
      <color indexed="8"/>
      <name val="Arial"/>
      <family val="2"/>
    </font>
  </fonts>
  <fills count="20">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bgColor indexed="64"/>
      </patternFill>
    </fill>
    <fill>
      <patternFill patternType="solid">
        <fgColor them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25">
    <xf numFmtId="0" fontId="0" fillId="0" borderId="0"/>
    <xf numFmtId="41" fontId="1" fillId="0" borderId="0" applyFont="0" applyFill="0" applyBorder="0" applyAlignment="0" applyProtection="0"/>
    <xf numFmtId="169" fontId="1" fillId="0" borderId="0"/>
    <xf numFmtId="9"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1" fillId="0" borderId="0" applyFont="0" applyFill="0" applyBorder="0" applyAlignment="0" applyProtection="0"/>
    <xf numFmtId="179" fontId="5" fillId="0" borderId="0"/>
    <xf numFmtId="167" fontId="1" fillId="0" borderId="0" applyFont="0" applyFill="0" applyBorder="0" applyAlignment="0" applyProtection="0"/>
    <xf numFmtId="164" fontId="1" fillId="0" borderId="0" applyFont="0" applyFill="0" applyBorder="0" applyAlignment="0" applyProtection="0"/>
    <xf numFmtId="187" fontId="2" fillId="0" borderId="0" applyFont="0" applyFill="0" applyBorder="0" applyAlignment="0" applyProtection="0"/>
    <xf numFmtId="9" fontId="2" fillId="0" borderId="0" applyFont="0" applyFill="0" applyBorder="0" applyAlignment="0" applyProtection="0"/>
    <xf numFmtId="0" fontId="3" fillId="0" borderId="0"/>
    <xf numFmtId="0" fontId="1" fillId="0" borderId="0"/>
    <xf numFmtId="43" fontId="2" fillId="0" borderId="0" applyFont="0" applyFill="0" applyBorder="0" applyAlignment="0" applyProtection="0"/>
    <xf numFmtId="164" fontId="3" fillId="0" borderId="0" applyFont="0" applyFill="0" applyBorder="0" applyAlignment="0" applyProtection="0"/>
    <xf numFmtId="0" fontId="3"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418">
    <xf numFmtId="0" fontId="0" fillId="0" borderId="0" xfId="0"/>
    <xf numFmtId="0" fontId="3" fillId="0" borderId="0" xfId="0" applyFont="1"/>
    <xf numFmtId="0" fontId="3" fillId="0" borderId="1" xfId="0" applyFont="1" applyBorder="1" applyAlignment="1">
      <alignment horizontal="justify" vertical="center"/>
    </xf>
    <xf numFmtId="0" fontId="3" fillId="0" borderId="0" xfId="0" applyFont="1" applyAlignment="1"/>
    <xf numFmtId="1" fontId="3" fillId="0" borderId="0" xfId="0" applyNumberFormat="1" applyFont="1"/>
    <xf numFmtId="0" fontId="4" fillId="6" borderId="4" xfId="0" applyFont="1" applyFill="1" applyBorder="1" applyAlignment="1">
      <alignment horizontal="left" vertical="center"/>
    </xf>
    <xf numFmtId="0" fontId="4" fillId="6" borderId="4" xfId="0" applyFont="1" applyFill="1" applyBorder="1" applyAlignment="1">
      <alignment horizontal="center" vertical="center"/>
    </xf>
    <xf numFmtId="0" fontId="4" fillId="6" borderId="4" xfId="0" applyFont="1" applyFill="1" applyBorder="1" applyAlignment="1">
      <alignment horizontal="justify" vertical="center"/>
    </xf>
    <xf numFmtId="0" fontId="3" fillId="5" borderId="0" xfId="0" applyFont="1" applyFill="1"/>
    <xf numFmtId="0" fontId="3" fillId="5" borderId="1" xfId="0" applyFont="1" applyFill="1" applyBorder="1" applyAlignment="1">
      <alignment horizontal="justify"/>
    </xf>
    <xf numFmtId="0" fontId="4" fillId="10" borderId="2" xfId="0" applyFont="1" applyFill="1" applyBorder="1" applyAlignment="1">
      <alignment vertical="center"/>
    </xf>
    <xf numFmtId="0" fontId="4" fillId="10" borderId="2" xfId="0" applyFont="1" applyFill="1" applyBorder="1" applyAlignment="1">
      <alignment horizontal="justify" vertical="center"/>
    </xf>
    <xf numFmtId="0" fontId="4" fillId="10" borderId="2" xfId="0" applyFont="1" applyFill="1" applyBorder="1" applyAlignment="1">
      <alignment horizontal="center" vertical="center"/>
    </xf>
    <xf numFmtId="0" fontId="4" fillId="9" borderId="4" xfId="0" applyFont="1" applyFill="1" applyBorder="1" applyAlignment="1">
      <alignment vertical="center"/>
    </xf>
    <xf numFmtId="0" fontId="4" fillId="9" borderId="5" xfId="0" applyFont="1" applyFill="1" applyBorder="1" applyAlignment="1">
      <alignment horizontal="justify" vertical="center"/>
    </xf>
    <xf numFmtId="1" fontId="4" fillId="9" borderId="4" xfId="0" applyNumberFormat="1" applyFont="1" applyFill="1" applyBorder="1" applyAlignment="1">
      <alignment horizontal="center" vertical="center"/>
    </xf>
    <xf numFmtId="176" fontId="3" fillId="5" borderId="0" xfId="0" applyNumberFormat="1" applyFont="1" applyFill="1" applyAlignment="1">
      <alignment horizontal="center" vertical="center"/>
    </xf>
    <xf numFmtId="1" fontId="4" fillId="10" borderId="2" xfId="0" applyNumberFormat="1" applyFont="1" applyFill="1" applyBorder="1" applyAlignment="1">
      <alignment horizontal="center" vertical="center"/>
    </xf>
    <xf numFmtId="0" fontId="4" fillId="10" borderId="13" xfId="0" applyFont="1" applyFill="1" applyBorder="1" applyAlignment="1">
      <alignment horizontal="justify" vertical="center"/>
    </xf>
    <xf numFmtId="176" fontId="4" fillId="9" borderId="4" xfId="0" applyNumberFormat="1" applyFont="1" applyFill="1" applyBorder="1" applyAlignment="1">
      <alignment horizontal="right" vertical="center"/>
    </xf>
    <xf numFmtId="0" fontId="4" fillId="9" borderId="1" xfId="0" applyFont="1" applyFill="1" applyBorder="1" applyAlignment="1">
      <alignment horizontal="justify" vertical="center"/>
    </xf>
    <xf numFmtId="0" fontId="4" fillId="10" borderId="1" xfId="0" applyFont="1" applyFill="1" applyBorder="1" applyAlignment="1">
      <alignment horizontal="justify" vertical="center"/>
    </xf>
    <xf numFmtId="0" fontId="4" fillId="9" borderId="9" xfId="0" applyFont="1" applyFill="1" applyBorder="1" applyAlignment="1">
      <alignment vertical="center"/>
    </xf>
    <xf numFmtId="180" fontId="3" fillId="0"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5" borderId="0" xfId="0" applyFont="1" applyFill="1" applyAlignment="1">
      <alignment horizontal="justify" vertical="center"/>
    </xf>
    <xf numFmtId="0" fontId="3" fillId="5" borderId="0" xfId="0" applyFont="1" applyFill="1" applyAlignment="1">
      <alignment horizontal="center"/>
    </xf>
    <xf numFmtId="0" fontId="3" fillId="5" borderId="0" xfId="0" applyFont="1" applyFill="1" applyAlignment="1">
      <alignment horizontal="center" vertical="center"/>
    </xf>
    <xf numFmtId="177" fontId="3" fillId="0" borderId="0" xfId="0" applyNumberFormat="1" applyFont="1" applyFill="1" applyAlignment="1">
      <alignment horizontal="right" vertical="center"/>
    </xf>
    <xf numFmtId="177" fontId="3" fillId="0" borderId="0" xfId="0" applyNumberFormat="1" applyFont="1" applyAlignment="1">
      <alignment horizontal="center"/>
    </xf>
    <xf numFmtId="0" fontId="3" fillId="0" borderId="0" xfId="0" applyFont="1" applyAlignment="1">
      <alignment horizontal="justify" vertical="center"/>
    </xf>
    <xf numFmtId="1" fontId="3" fillId="5" borderId="0" xfId="0" applyNumberFormat="1" applyFont="1" applyFill="1" applyAlignment="1">
      <alignment horizontal="center" vertical="center"/>
    </xf>
    <xf numFmtId="176" fontId="3" fillId="5" borderId="0" xfId="0" applyNumberFormat="1" applyFont="1" applyFill="1" applyAlignment="1">
      <alignment vertical="center"/>
    </xf>
    <xf numFmtId="0" fontId="6" fillId="0" borderId="0" xfId="0" applyFont="1" applyBorder="1" applyAlignment="1">
      <alignment vertical="center" wrapText="1"/>
    </xf>
    <xf numFmtId="0" fontId="7" fillId="0" borderId="0" xfId="0" applyFont="1"/>
    <xf numFmtId="0" fontId="6" fillId="0" borderId="15" xfId="0" applyFont="1" applyBorder="1" applyAlignment="1">
      <alignment vertical="center" wrapText="1"/>
    </xf>
    <xf numFmtId="0" fontId="7" fillId="0" borderId="0" xfId="0" applyFont="1" applyAlignment="1">
      <alignment wrapText="1"/>
    </xf>
    <xf numFmtId="0" fontId="7" fillId="0" borderId="15" xfId="0" applyFont="1" applyBorder="1"/>
    <xf numFmtId="3" fontId="6" fillId="13" borderId="8"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left" vertical="center"/>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7" fillId="0" borderId="0" xfId="0" applyFont="1" applyFill="1"/>
    <xf numFmtId="0" fontId="6" fillId="10" borderId="3" xfId="0" applyFont="1" applyFill="1" applyBorder="1" applyAlignment="1">
      <alignment horizontal="center" vertical="center" wrapText="1"/>
    </xf>
    <xf numFmtId="0" fontId="6" fillId="10" borderId="4" xfId="0" applyFont="1" applyFill="1" applyBorder="1" applyAlignment="1">
      <alignment vertical="center"/>
    </xf>
    <xf numFmtId="0" fontId="6" fillId="10" borderId="0" xfId="0" applyFont="1" applyFill="1" applyBorder="1" applyAlignment="1">
      <alignment vertical="center"/>
    </xf>
    <xf numFmtId="0" fontId="6" fillId="10" borderId="19" xfId="0" applyFont="1" applyFill="1" applyBorder="1" applyAlignment="1">
      <alignment vertical="center"/>
    </xf>
    <xf numFmtId="0" fontId="6" fillId="9" borderId="3" xfId="0" applyFont="1" applyFill="1" applyBorder="1" applyAlignment="1">
      <alignment horizontal="center" vertical="center" wrapText="1"/>
    </xf>
    <xf numFmtId="0" fontId="6" fillId="9" borderId="20" xfId="0" applyFont="1" applyFill="1" applyBorder="1" applyAlignment="1">
      <alignment horizontal="left" vertical="center"/>
    </xf>
    <xf numFmtId="0" fontId="7" fillId="0" borderId="1" xfId="0" applyFont="1" applyFill="1" applyBorder="1" applyAlignment="1">
      <alignment horizontal="justify" vertical="center" wrapText="1"/>
    </xf>
    <xf numFmtId="176" fontId="7" fillId="5" borderId="1" xfId="13"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5" borderId="8" xfId="0" applyFont="1" applyFill="1" applyBorder="1" applyAlignment="1">
      <alignment vertical="center" wrapText="1"/>
    </xf>
    <xf numFmtId="0" fontId="6" fillId="10" borderId="4" xfId="0" applyFont="1" applyFill="1" applyBorder="1" applyAlignment="1">
      <alignment horizontal="justify" vertical="center"/>
    </xf>
    <xf numFmtId="0" fontId="6" fillId="10" borderId="20" xfId="0" applyFont="1" applyFill="1" applyBorder="1" applyAlignment="1">
      <alignment horizontal="center" vertical="center"/>
    </xf>
    <xf numFmtId="0" fontId="6" fillId="9" borderId="4" xfId="0" applyFont="1" applyFill="1" applyBorder="1" applyAlignment="1">
      <alignment horizontal="justify" vertical="center"/>
    </xf>
    <xf numFmtId="0" fontId="6" fillId="9" borderId="20" xfId="0" applyFont="1" applyFill="1" applyBorder="1" applyAlignment="1">
      <alignment horizontal="center" vertical="center"/>
    </xf>
    <xf numFmtId="0" fontId="7" fillId="0" borderId="1" xfId="0" applyFont="1" applyFill="1" applyBorder="1" applyAlignment="1">
      <alignment vertical="center" wrapText="1"/>
    </xf>
    <xf numFmtId="0" fontId="7" fillId="5" borderId="1" xfId="0" applyFont="1" applyFill="1" applyBorder="1" applyAlignment="1">
      <alignment horizontal="justify" vertical="justify" wrapText="1"/>
    </xf>
    <xf numFmtId="0" fontId="6" fillId="9" borderId="2" xfId="0" applyFont="1" applyFill="1" applyBorder="1" applyAlignment="1">
      <alignment horizontal="left" vertical="center"/>
    </xf>
    <xf numFmtId="0" fontId="6" fillId="9" borderId="2" xfId="0" applyFont="1" applyFill="1" applyBorder="1" applyAlignment="1">
      <alignment horizontal="justify" vertical="center"/>
    </xf>
    <xf numFmtId="0" fontId="6" fillId="9" borderId="23" xfId="0" applyFont="1" applyFill="1" applyBorder="1" applyAlignment="1">
      <alignment horizontal="justify" vertical="center"/>
    </xf>
    <xf numFmtId="0" fontId="8" fillId="0" borderId="0" xfId="0" applyFont="1" applyFill="1" applyAlignment="1">
      <alignment horizontal="justify" vertical="center" wrapText="1"/>
    </xf>
    <xf numFmtId="0" fontId="6" fillId="9" borderId="20" xfId="0" applyFont="1" applyFill="1" applyBorder="1" applyAlignment="1">
      <alignment horizontal="justify" vertical="center"/>
    </xf>
    <xf numFmtId="0" fontId="7" fillId="5" borderId="1" xfId="0" applyFont="1" applyFill="1" applyBorder="1" applyAlignment="1">
      <alignment vertical="center" wrapText="1"/>
    </xf>
    <xf numFmtId="185" fontId="8" fillId="5" borderId="1" xfId="0" applyNumberFormat="1" applyFont="1" applyFill="1" applyBorder="1" applyAlignment="1">
      <alignment horizontal="center" vertical="center" wrapText="1"/>
    </xf>
    <xf numFmtId="0" fontId="7" fillId="0" borderId="17" xfId="0" applyFont="1" applyFill="1" applyBorder="1" applyAlignment="1">
      <alignment vertical="center" wrapText="1"/>
    </xf>
    <xf numFmtId="0" fontId="7" fillId="5" borderId="8" xfId="0" applyFont="1" applyFill="1" applyBorder="1" applyAlignment="1">
      <alignment horizontal="justify" vertical="top" wrapText="1"/>
    </xf>
    <xf numFmtId="0" fontId="6" fillId="9" borderId="4" xfId="0" applyFont="1" applyFill="1" applyBorder="1" applyAlignment="1">
      <alignment horizontal="center" vertical="center"/>
    </xf>
    <xf numFmtId="0" fontId="6" fillId="9" borderId="25" xfId="0" applyFont="1" applyFill="1" applyBorder="1" applyAlignment="1">
      <alignment horizontal="justify" vertical="center"/>
    </xf>
    <xf numFmtId="0" fontId="7" fillId="5" borderId="1" xfId="0" applyFont="1" applyFill="1" applyBorder="1" applyAlignment="1">
      <alignment horizontal="justify" vertical="top" wrapText="1"/>
    </xf>
    <xf numFmtId="176" fontId="7" fillId="5" borderId="3" xfId="13" applyNumberFormat="1" applyFont="1" applyFill="1" applyBorder="1" applyAlignment="1">
      <alignment horizontal="center" vertical="center" wrapText="1"/>
    </xf>
    <xf numFmtId="176" fontId="7" fillId="5" borderId="12" xfId="13" applyNumberFormat="1" applyFont="1" applyFill="1" applyBorder="1" applyAlignment="1">
      <alignment horizontal="center" vertical="center" wrapText="1"/>
    </xf>
    <xf numFmtId="0" fontId="7" fillId="5" borderId="8" xfId="0" applyFont="1" applyFill="1" applyBorder="1" applyAlignment="1">
      <alignment horizontal="justify" vertical="justify" wrapText="1"/>
    </xf>
    <xf numFmtId="176" fontId="7" fillId="5" borderId="6" xfId="13" applyNumberFormat="1" applyFont="1" applyFill="1" applyBorder="1" applyAlignment="1">
      <alignment horizontal="center" vertical="center" wrapText="1"/>
    </xf>
    <xf numFmtId="0" fontId="6" fillId="10" borderId="5" xfId="0" applyFont="1" applyFill="1" applyBorder="1" applyAlignment="1">
      <alignment horizontal="justify" vertical="center"/>
    </xf>
    <xf numFmtId="0" fontId="6" fillId="0" borderId="0" xfId="0" applyFont="1" applyAlignment="1">
      <alignment wrapText="1"/>
    </xf>
    <xf numFmtId="0" fontId="6" fillId="0" borderId="0" xfId="0" applyFont="1"/>
    <xf numFmtId="0" fontId="6" fillId="9" borderId="5" xfId="0" applyFont="1" applyFill="1" applyBorder="1" applyAlignment="1">
      <alignment vertical="center"/>
    </xf>
    <xf numFmtId="0" fontId="6" fillId="9" borderId="1" xfId="0" applyFont="1" applyFill="1" applyBorder="1" applyAlignment="1">
      <alignment vertical="center"/>
    </xf>
    <xf numFmtId="0" fontId="6" fillId="9" borderId="4" xfId="0" applyFont="1" applyFill="1" applyBorder="1" applyAlignment="1">
      <alignment vertical="center"/>
    </xf>
    <xf numFmtId="49" fontId="7" fillId="5" borderId="1" xfId="0" applyNumberFormat="1" applyFont="1" applyFill="1" applyBorder="1" applyAlignment="1">
      <alignment horizontal="justify" vertical="center" wrapText="1"/>
    </xf>
    <xf numFmtId="185" fontId="7" fillId="5" borderId="1" xfId="7" applyNumberFormat="1" applyFont="1" applyFill="1" applyBorder="1" applyAlignment="1">
      <alignment horizontal="center" vertical="center" wrapText="1" readingOrder="1"/>
    </xf>
    <xf numFmtId="0" fontId="8" fillId="5" borderId="1" xfId="0" applyFont="1" applyFill="1" applyBorder="1" applyAlignment="1">
      <alignment horizontal="justify" vertical="center" wrapText="1"/>
    </xf>
    <xf numFmtId="176" fontId="7" fillId="5" borderId="1" xfId="13" applyNumberFormat="1" applyFont="1" applyFill="1" applyBorder="1" applyAlignment="1">
      <alignment horizontal="center" vertical="center" wrapText="1" readingOrder="1"/>
    </xf>
    <xf numFmtId="0" fontId="6" fillId="9" borderId="3" xfId="0" applyFont="1" applyFill="1" applyBorder="1" applyAlignment="1">
      <alignment horizontal="center" vertical="center"/>
    </xf>
    <xf numFmtId="0" fontId="6" fillId="10" borderId="20" xfId="0" applyFont="1" applyFill="1" applyBorder="1" applyAlignment="1">
      <alignment horizontal="justify" vertical="center"/>
    </xf>
    <xf numFmtId="0" fontId="7" fillId="0" borderId="0" xfId="0" applyFont="1" applyFill="1" applyAlignment="1">
      <alignment wrapText="1"/>
    </xf>
    <xf numFmtId="0" fontId="7" fillId="5" borderId="5" xfId="0" applyFont="1" applyFill="1" applyBorder="1" applyAlignment="1">
      <alignment horizontal="center" vertical="center" wrapText="1"/>
    </xf>
    <xf numFmtId="3" fontId="7" fillId="5" borderId="1" xfId="0" applyNumberFormat="1" applyFont="1" applyFill="1" applyBorder="1" applyAlignment="1">
      <alignment horizontal="center" vertical="center"/>
    </xf>
    <xf numFmtId="168" fontId="7" fillId="0" borderId="1" xfId="0" applyNumberFormat="1" applyFont="1" applyFill="1" applyBorder="1" applyAlignment="1">
      <alignment horizontal="center" vertical="center" wrapText="1"/>
    </xf>
    <xf numFmtId="10" fontId="7" fillId="0" borderId="8" xfId="5" applyNumberFormat="1" applyFont="1" applyFill="1" applyBorder="1" applyAlignment="1">
      <alignment horizontal="center" vertical="center"/>
    </xf>
    <xf numFmtId="185" fontId="7" fillId="5" borderId="0" xfId="0" applyNumberFormat="1" applyFont="1" applyFill="1" applyBorder="1" applyAlignment="1">
      <alignment horizontal="center" vertical="center" wrapText="1"/>
    </xf>
    <xf numFmtId="168" fontId="7" fillId="0" borderId="14" xfId="0" applyNumberFormat="1" applyFont="1" applyFill="1" applyBorder="1" applyAlignment="1">
      <alignment horizontal="center" vertical="center" wrapText="1"/>
    </xf>
    <xf numFmtId="176" fontId="6" fillId="0" borderId="30" xfId="0" applyNumberFormat="1" applyFont="1" applyFill="1" applyBorder="1" applyAlignment="1">
      <alignment horizontal="center" vertical="center" wrapText="1"/>
    </xf>
    <xf numFmtId="176" fontId="7" fillId="5" borderId="27" xfId="0" applyNumberFormat="1" applyFont="1" applyFill="1" applyBorder="1" applyAlignment="1">
      <alignment vertical="center" wrapText="1"/>
    </xf>
    <xf numFmtId="0" fontId="7" fillId="5" borderId="28" xfId="0" applyFont="1" applyFill="1" applyBorder="1" applyAlignment="1">
      <alignment vertical="center" wrapText="1"/>
    </xf>
    <xf numFmtId="0" fontId="7" fillId="5" borderId="29" xfId="0" applyFont="1" applyFill="1" applyBorder="1" applyAlignment="1">
      <alignment vertical="center" wrapText="1"/>
    </xf>
    <xf numFmtId="0" fontId="7" fillId="5" borderId="27" xfId="0" applyFont="1" applyFill="1" applyBorder="1" applyAlignment="1">
      <alignment vertical="center" wrapText="1"/>
    </xf>
    <xf numFmtId="0" fontId="7" fillId="0" borderId="0" xfId="0" applyNumberFormat="1" applyFont="1" applyAlignment="1">
      <alignment wrapText="1"/>
    </xf>
    <xf numFmtId="0" fontId="7" fillId="0" borderId="0" xfId="0" applyNumberFormat="1" applyFont="1" applyBorder="1" applyAlignment="1">
      <alignment horizontal="center" wrapText="1"/>
    </xf>
    <xf numFmtId="0" fontId="7" fillId="0" borderId="0" xfId="0" applyFont="1" applyFill="1" applyBorder="1" applyAlignment="1">
      <alignment vertical="center" wrapText="1"/>
    </xf>
    <xf numFmtId="0" fontId="7" fillId="5" borderId="0" xfId="0" applyFont="1" applyFill="1" applyBorder="1" applyAlignment="1">
      <alignment vertical="center" wrapText="1"/>
    </xf>
    <xf numFmtId="0" fontId="7" fillId="0" borderId="0" xfId="0" applyNumberFormat="1" applyFont="1" applyBorder="1" applyAlignment="1">
      <alignment wrapText="1"/>
    </xf>
    <xf numFmtId="0" fontId="7" fillId="0" borderId="0" xfId="0" applyFont="1" applyBorder="1" applyAlignment="1">
      <alignment wrapText="1"/>
    </xf>
    <xf numFmtId="176" fontId="6" fillId="0" borderId="0" xfId="0"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176" fontId="7" fillId="0" borderId="0" xfId="0" applyNumberFormat="1" applyFont="1" applyAlignment="1">
      <alignment horizontal="center" vertical="center" wrapText="1"/>
    </xf>
    <xf numFmtId="0" fontId="7" fillId="5" borderId="32" xfId="0" applyFont="1" applyFill="1" applyBorder="1" applyAlignment="1">
      <alignment vertical="center" wrapText="1"/>
    </xf>
    <xf numFmtId="0" fontId="7" fillId="0" borderId="0" xfId="0" applyFont="1" applyAlignment="1">
      <alignment horizontal="center" vertical="center" wrapText="1"/>
    </xf>
    <xf numFmtId="0" fontId="7" fillId="0" borderId="0" xfId="0" applyNumberFormat="1" applyFont="1" applyAlignment="1">
      <alignment horizontal="center" wrapText="1"/>
    </xf>
    <xf numFmtId="176" fontId="7" fillId="0" borderId="0" xfId="0" applyNumberFormat="1" applyFont="1" applyBorder="1" applyAlignment="1">
      <alignment wrapText="1"/>
    </xf>
    <xf numFmtId="176" fontId="7" fillId="0" borderId="0" xfId="0" applyNumberFormat="1" applyFont="1"/>
    <xf numFmtId="176" fontId="7" fillId="0" borderId="0" xfId="0" applyNumberFormat="1" applyFont="1" applyAlignment="1">
      <alignment wrapText="1"/>
    </xf>
    <xf numFmtId="0" fontId="7" fillId="0" borderId="0" xfId="0" applyFont="1" applyAlignment="1">
      <alignment horizontal="justify" wrapText="1"/>
    </xf>
    <xf numFmtId="0" fontId="7" fillId="0" borderId="0" xfId="0" applyFont="1" applyAlignment="1">
      <alignment horizontal="center" wrapText="1"/>
    </xf>
    <xf numFmtId="0" fontId="7" fillId="0" borderId="0" xfId="0" applyFont="1" applyAlignment="1">
      <alignment horizontal="center"/>
    </xf>
    <xf numFmtId="0" fontId="6" fillId="0" borderId="18" xfId="0" applyFont="1" applyBorder="1" applyAlignment="1">
      <alignment vertical="center" wrapText="1"/>
    </xf>
    <xf numFmtId="0" fontId="6" fillId="0" borderId="16" xfId="0" applyFont="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7" fillId="5" borderId="15" xfId="0" applyFont="1" applyFill="1" applyBorder="1" applyAlignment="1">
      <alignment vertical="center" wrapText="1"/>
    </xf>
    <xf numFmtId="0" fontId="7" fillId="5" borderId="16" xfId="0" applyFont="1" applyFill="1" applyBorder="1" applyAlignment="1">
      <alignment vertical="center" wrapText="1"/>
    </xf>
    <xf numFmtId="0" fontId="7" fillId="5" borderId="15" xfId="0" applyNumberFormat="1" applyFont="1" applyFill="1" applyBorder="1" applyAlignment="1">
      <alignment vertical="center" wrapText="1"/>
    </xf>
    <xf numFmtId="0" fontId="7" fillId="5" borderId="16" xfId="0" applyNumberFormat="1" applyFont="1" applyFill="1" applyBorder="1" applyAlignment="1">
      <alignment vertical="center" wrapText="1"/>
    </xf>
    <xf numFmtId="0" fontId="7" fillId="5" borderId="12" xfId="0" applyFont="1" applyFill="1" applyBorder="1" applyAlignment="1">
      <alignment vertical="center" wrapText="1"/>
    </xf>
    <xf numFmtId="0" fontId="7" fillId="5" borderId="13"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7" fillId="0" borderId="6" xfId="0" applyNumberFormat="1" applyFont="1" applyBorder="1" applyAlignment="1">
      <alignment vertical="center" wrapText="1"/>
    </xf>
    <xf numFmtId="0" fontId="7" fillId="0" borderId="7"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16" xfId="0" applyNumberFormat="1" applyFont="1" applyBorder="1" applyAlignment="1">
      <alignment vertical="center" wrapText="1"/>
    </xf>
    <xf numFmtId="0" fontId="7" fillId="0" borderId="12" xfId="0" applyNumberFormat="1" applyFont="1" applyBorder="1" applyAlignment="1">
      <alignment vertical="center" wrapText="1"/>
    </xf>
    <xf numFmtId="0" fontId="7" fillId="0" borderId="13" xfId="0" applyNumberFormat="1" applyFont="1" applyBorder="1" applyAlignment="1">
      <alignment vertical="center" wrapText="1"/>
    </xf>
    <xf numFmtId="169" fontId="6" fillId="13" borderId="3" xfId="2" applyFont="1" applyFill="1" applyBorder="1" applyAlignment="1">
      <alignment vertical="center"/>
    </xf>
    <xf numFmtId="169" fontId="6" fillId="13" borderId="4" xfId="2" applyFont="1" applyFill="1" applyBorder="1" applyAlignment="1">
      <alignment vertical="center"/>
    </xf>
    <xf numFmtId="169" fontId="6" fillId="13" borderId="5" xfId="2" applyFont="1" applyFill="1" applyBorder="1" applyAlignment="1">
      <alignment vertical="center"/>
    </xf>
    <xf numFmtId="9" fontId="7" fillId="5" borderId="1" xfId="5"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0" fontId="3" fillId="5" borderId="0" xfId="0" applyFont="1" applyFill="1" applyAlignment="1">
      <alignment horizontal="left"/>
    </xf>
    <xf numFmtId="0" fontId="7" fillId="5" borderId="0" xfId="0" applyFont="1" applyFill="1"/>
    <xf numFmtId="0" fontId="7" fillId="5" borderId="0" xfId="0" applyFont="1" applyFill="1" applyAlignment="1"/>
    <xf numFmtId="0" fontId="7" fillId="5" borderId="0" xfId="0" applyFont="1" applyFill="1" applyAlignment="1">
      <alignment horizontal="center" vertical="center"/>
    </xf>
    <xf numFmtId="3" fontId="7" fillId="5" borderId="0" xfId="0" applyNumberFormat="1" applyFont="1" applyFill="1" applyAlignment="1">
      <alignment horizontal="center" vertical="center"/>
    </xf>
    <xf numFmtId="0" fontId="7" fillId="5" borderId="0" xfId="0" applyFont="1" applyFill="1" applyAlignment="1">
      <alignment horizontal="justify"/>
    </xf>
    <xf numFmtId="0" fontId="7" fillId="5" borderId="0" xfId="0" applyFont="1" applyFill="1" applyAlignment="1">
      <alignment horizontal="justify" vertical="center"/>
    </xf>
    <xf numFmtId="3" fontId="7" fillId="5" borderId="0" xfId="0" applyNumberFormat="1" applyFont="1" applyFill="1" applyAlignment="1">
      <alignment horizontal="justify" vertical="center"/>
    </xf>
    <xf numFmtId="0" fontId="7" fillId="5" borderId="0" xfId="0" applyFont="1" applyFill="1" applyAlignment="1">
      <alignment horizontal="right" vertical="center"/>
    </xf>
    <xf numFmtId="170" fontId="7" fillId="5" borderId="0" xfId="0" applyNumberFormat="1" applyFont="1" applyFill="1" applyAlignment="1">
      <alignment horizontal="center"/>
    </xf>
    <xf numFmtId="0" fontId="7" fillId="5" borderId="0" xfId="0" applyFont="1" applyFill="1" applyAlignment="1">
      <alignment horizontal="left"/>
    </xf>
    <xf numFmtId="0" fontId="7" fillId="5" borderId="0" xfId="0" applyFont="1" applyFill="1" applyBorder="1"/>
    <xf numFmtId="49" fontId="7" fillId="5" borderId="0" xfId="0" applyNumberFormat="1" applyFont="1" applyFill="1"/>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xf>
    <xf numFmtId="44" fontId="10" fillId="0" borderId="0" xfId="0" applyNumberFormat="1" applyFont="1" applyFill="1" applyBorder="1" applyAlignment="1">
      <alignment horizontal="justify" vertical="center"/>
    </xf>
    <xf numFmtId="0" fontId="10" fillId="0" borderId="0" xfId="0" applyFont="1" applyFill="1" applyBorder="1" applyAlignment="1"/>
    <xf numFmtId="44" fontId="10" fillId="0" borderId="0" xfId="7" applyFont="1" applyFill="1" applyBorder="1" applyAlignment="1"/>
    <xf numFmtId="0" fontId="10" fillId="0" borderId="0" xfId="0" applyFont="1" applyFill="1" applyBorder="1"/>
    <xf numFmtId="9" fontId="10" fillId="0" borderId="0" xfId="5" applyFont="1" applyFill="1" applyBorder="1" applyAlignment="1"/>
    <xf numFmtId="0" fontId="10" fillId="0" borderId="0" xfId="0" applyFont="1" applyFill="1" applyBorder="1" applyAlignment="1">
      <alignment horizontal="right" vertical="center"/>
    </xf>
    <xf numFmtId="170" fontId="10" fillId="0" borderId="0" xfId="0" applyNumberFormat="1" applyFont="1" applyFill="1" applyBorder="1" applyAlignment="1">
      <alignment horizontal="center"/>
    </xf>
    <xf numFmtId="0" fontId="10" fillId="0" borderId="0" xfId="0" applyFont="1" applyFill="1" applyBorder="1" applyAlignment="1">
      <alignment horizontal="left"/>
    </xf>
    <xf numFmtId="164" fontId="10" fillId="0" borderId="0" xfId="0" applyNumberFormat="1" applyFont="1" applyFill="1" applyBorder="1" applyAlignment="1">
      <alignment horizontal="justify" vertical="center"/>
    </xf>
    <xf numFmtId="43" fontId="10" fillId="0" borderId="0" xfId="0" applyNumberFormat="1" applyFont="1" applyFill="1" applyBorder="1" applyAlignment="1">
      <alignment horizontal="justify" vertical="center"/>
    </xf>
    <xf numFmtId="173" fontId="10" fillId="0" borderId="0" xfId="0" applyNumberFormat="1" applyFont="1" applyFill="1" applyBorder="1" applyAlignment="1">
      <alignment horizontal="justify" vertical="center"/>
    </xf>
    <xf numFmtId="1" fontId="10" fillId="0" borderId="0" xfId="0" applyNumberFormat="1" applyFont="1" applyFill="1" applyBorder="1" applyAlignment="1"/>
    <xf numFmtId="0" fontId="9" fillId="0" borderId="0" xfId="0" applyFont="1" applyFill="1" applyBorder="1" applyAlignment="1">
      <alignment horizontal="justify" vertical="center"/>
    </xf>
    <xf numFmtId="176" fontId="10" fillId="0" borderId="0" xfId="0" applyNumberFormat="1" applyFont="1" applyFill="1" applyBorder="1" applyAlignment="1">
      <alignment horizontal="center" vertical="center"/>
    </xf>
    <xf numFmtId="0" fontId="10" fillId="0" borderId="0" xfId="0" applyFont="1"/>
    <xf numFmtId="0" fontId="10" fillId="0" borderId="0" xfId="0" applyFont="1" applyAlignment="1">
      <alignment horizontal="center"/>
    </xf>
    <xf numFmtId="0" fontId="10" fillId="0" borderId="0" xfId="0" applyFont="1" applyAlignment="1">
      <alignment horizontal="justify"/>
    </xf>
    <xf numFmtId="0" fontId="10" fillId="0" borderId="9" xfId="0" applyFont="1" applyBorder="1"/>
    <xf numFmtId="3" fontId="9" fillId="13" borderId="8" xfId="0" applyNumberFormat="1" applyFont="1" applyFill="1" applyBorder="1" applyAlignment="1">
      <alignment horizontal="center" vertical="center" wrapText="1"/>
    </xf>
    <xf numFmtId="0" fontId="9" fillId="0" borderId="0" xfId="0" applyFont="1" applyFill="1" applyAlignment="1"/>
    <xf numFmtId="0" fontId="10" fillId="6" borderId="1" xfId="0" applyFont="1" applyFill="1" applyBorder="1" applyAlignment="1">
      <alignment horizontal="center" vertical="center"/>
    </xf>
    <xf numFmtId="0" fontId="10" fillId="0" borderId="0" xfId="0" applyFont="1" applyFill="1" applyAlignment="1"/>
    <xf numFmtId="0" fontId="9" fillId="10"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vertical="center"/>
    </xf>
    <xf numFmtId="0" fontId="9" fillId="9" borderId="1" xfId="0" applyFont="1" applyFill="1" applyBorder="1" applyAlignment="1">
      <alignment horizontal="justify" vertical="center"/>
    </xf>
    <xf numFmtId="0" fontId="9" fillId="9" borderId="3" xfId="0" applyFont="1" applyFill="1" applyBorder="1" applyAlignment="1">
      <alignment vertical="center"/>
    </xf>
    <xf numFmtId="0" fontId="9" fillId="9" borderId="4" xfId="0" applyFont="1" applyFill="1" applyBorder="1" applyAlignment="1">
      <alignment vertical="center"/>
    </xf>
    <xf numFmtId="0" fontId="9" fillId="9" borderId="4" xfId="0" applyFont="1" applyFill="1" applyBorder="1" applyAlignment="1">
      <alignment horizontal="justify" vertical="center"/>
    </xf>
    <xf numFmtId="0" fontId="9" fillId="9" borderId="4" xfId="0" applyFont="1" applyFill="1" applyBorder="1" applyAlignment="1">
      <alignment horizontal="center" vertical="center"/>
    </xf>
    <xf numFmtId="0" fontId="10" fillId="9" borderId="4" xfId="0" applyFont="1" applyFill="1" applyBorder="1" applyAlignment="1">
      <alignment vertical="center"/>
    </xf>
    <xf numFmtId="0" fontId="10" fillId="9" borderId="5" xfId="0"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9" fillId="9" borderId="1" xfId="0" applyFont="1" applyFill="1" applyBorder="1" applyAlignment="1">
      <alignment horizontal="left" vertical="center"/>
    </xf>
    <xf numFmtId="0" fontId="9" fillId="9" borderId="3" xfId="0" applyFont="1" applyFill="1" applyBorder="1" applyAlignment="1">
      <alignment horizontal="justify" vertical="center"/>
    </xf>
    <xf numFmtId="0" fontId="9" fillId="9" borderId="4" xfId="0" applyFont="1" applyFill="1" applyBorder="1" applyAlignment="1">
      <alignment horizontal="left" vertical="center"/>
    </xf>
    <xf numFmtId="0" fontId="10" fillId="9" borderId="4" xfId="0" applyFont="1" applyFill="1" applyBorder="1" applyAlignment="1">
      <alignment horizontal="left" vertical="center"/>
    </xf>
    <xf numFmtId="0" fontId="10" fillId="9" borderId="5" xfId="0" applyFont="1" applyFill="1" applyBorder="1" applyAlignment="1">
      <alignment horizontal="left" vertical="center"/>
    </xf>
    <xf numFmtId="0" fontId="10" fillId="0" borderId="0" xfId="0" applyFont="1" applyFill="1"/>
    <xf numFmtId="0" fontId="9" fillId="9" borderId="1" xfId="0" applyFont="1" applyFill="1" applyBorder="1" applyAlignment="1">
      <alignment horizontal="center" vertical="center"/>
    </xf>
    <xf numFmtId="0" fontId="10" fillId="9" borderId="1" xfId="0" applyFont="1" applyFill="1" applyBorder="1" applyAlignment="1">
      <alignment vertical="center"/>
    </xf>
    <xf numFmtId="189" fontId="10" fillId="5" borderId="1" xfId="0" applyNumberFormat="1" applyFont="1" applyFill="1" applyBorder="1" applyAlignment="1">
      <alignment horizontal="center" vertical="center" wrapText="1"/>
    </xf>
    <xf numFmtId="164" fontId="10" fillId="0" borderId="1" xfId="12" applyFont="1" applyFill="1" applyBorder="1" applyAlignment="1">
      <alignment horizontal="center" vertical="center" wrapText="1"/>
    </xf>
    <xf numFmtId="0" fontId="9" fillId="10" borderId="3" xfId="0" applyFont="1" applyFill="1" applyBorder="1" applyAlignment="1">
      <alignment vertical="center"/>
    </xf>
    <xf numFmtId="0" fontId="9" fillId="10" borderId="4" xfId="0" applyFont="1" applyFill="1" applyBorder="1" applyAlignment="1">
      <alignment vertical="center"/>
    </xf>
    <xf numFmtId="0" fontId="9" fillId="10" borderId="4" xfId="0" applyFont="1" applyFill="1" applyBorder="1" applyAlignment="1">
      <alignment horizontal="justify" vertical="center"/>
    </xf>
    <xf numFmtId="0" fontId="9" fillId="10" borderId="4" xfId="0" applyFont="1" applyFill="1" applyBorder="1" applyAlignment="1">
      <alignment horizontal="center" vertical="center"/>
    </xf>
    <xf numFmtId="0" fontId="10" fillId="10" borderId="5" xfId="0" applyFont="1" applyFill="1" applyBorder="1" applyAlignment="1">
      <alignment vertical="center"/>
    </xf>
    <xf numFmtId="189" fontId="10" fillId="5" borderId="1" xfId="0" applyNumberFormat="1" applyFont="1" applyFill="1" applyBorder="1" applyAlignment="1">
      <alignment vertical="center" wrapText="1"/>
    </xf>
    <xf numFmtId="0" fontId="9" fillId="10" borderId="17" xfId="0" applyFont="1" applyFill="1" applyBorder="1" applyAlignment="1">
      <alignment horizontal="center" vertical="center" wrapText="1"/>
    </xf>
    <xf numFmtId="0" fontId="9" fillId="10" borderId="12" xfId="0" applyFont="1" applyFill="1" applyBorder="1" applyAlignment="1">
      <alignment horizontal="left" vertical="center"/>
    </xf>
    <xf numFmtId="0" fontId="9" fillId="10" borderId="2" xfId="0" applyFont="1" applyFill="1" applyBorder="1" applyAlignment="1">
      <alignment horizontal="left" vertical="center"/>
    </xf>
    <xf numFmtId="0" fontId="9" fillId="10" borderId="2" xfId="0" applyFont="1" applyFill="1" applyBorder="1" applyAlignment="1">
      <alignment horizontal="justify" vertical="center"/>
    </xf>
    <xf numFmtId="0" fontId="9" fillId="10" borderId="2" xfId="0" applyFont="1" applyFill="1" applyBorder="1" applyAlignment="1">
      <alignment horizontal="center" vertical="center"/>
    </xf>
    <xf numFmtId="0" fontId="10" fillId="10" borderId="2" xfId="0" applyFont="1" applyFill="1" applyBorder="1" applyAlignment="1">
      <alignment horizontal="left" vertical="center"/>
    </xf>
    <xf numFmtId="0" fontId="10" fillId="10" borderId="13" xfId="0" applyFont="1" applyFill="1" applyBorder="1" applyAlignment="1">
      <alignment horizontal="left" vertical="center"/>
    </xf>
    <xf numFmtId="0" fontId="9" fillId="9" borderId="3" xfId="0" applyFont="1" applyFill="1" applyBorder="1" applyAlignment="1">
      <alignment horizontal="left" vertical="center"/>
    </xf>
    <xf numFmtId="0" fontId="9" fillId="9" borderId="9" xfId="0" applyFont="1" applyFill="1" applyBorder="1" applyAlignment="1">
      <alignment horizontal="left" vertical="center"/>
    </xf>
    <xf numFmtId="0" fontId="9" fillId="9" borderId="9" xfId="0" applyFont="1" applyFill="1" applyBorder="1" applyAlignment="1">
      <alignment horizontal="justify" vertical="center"/>
    </xf>
    <xf numFmtId="0" fontId="9" fillId="9" borderId="9" xfId="0" applyFont="1" applyFill="1" applyBorder="1" applyAlignment="1">
      <alignment horizontal="center" vertical="center"/>
    </xf>
    <xf numFmtId="0" fontId="10" fillId="9" borderId="9" xfId="0" applyFont="1" applyFill="1" applyBorder="1" applyAlignment="1">
      <alignment horizontal="left" vertical="center"/>
    </xf>
    <xf numFmtId="0" fontId="10" fillId="9" borderId="7" xfId="0" applyFont="1" applyFill="1" applyBorder="1" applyAlignment="1">
      <alignment horizontal="left" vertical="center"/>
    </xf>
    <xf numFmtId="0" fontId="10" fillId="0" borderId="8" xfId="0" applyFont="1" applyBorder="1" applyAlignment="1">
      <alignment horizontal="justify" vertical="center" wrapText="1" readingOrder="2"/>
    </xf>
    <xf numFmtId="0" fontId="10" fillId="0" borderId="8" xfId="0" applyFont="1" applyBorder="1" applyAlignment="1">
      <alignment horizontal="center" vertical="center" wrapText="1"/>
    </xf>
    <xf numFmtId="0" fontId="10" fillId="0" borderId="8" xfId="0" applyFont="1" applyFill="1" applyBorder="1" applyAlignment="1">
      <alignment wrapText="1"/>
    </xf>
    <xf numFmtId="3" fontId="9" fillId="0" borderId="30" xfId="0" applyNumberFormat="1" applyFont="1" applyBorder="1" applyAlignment="1">
      <alignment horizontal="right" vertical="center"/>
    </xf>
    <xf numFmtId="0" fontId="9" fillId="0" borderId="27" xfId="0" applyFont="1" applyBorder="1" applyAlignment="1">
      <alignment horizontal="justify" vertical="center"/>
    </xf>
    <xf numFmtId="0" fontId="9" fillId="0" borderId="28" xfId="0" applyFont="1" applyBorder="1" applyAlignment="1">
      <alignment horizontal="justify" vertical="center"/>
    </xf>
    <xf numFmtId="175" fontId="9" fillId="0" borderId="30" xfId="0" applyNumberFormat="1" applyFont="1" applyBorder="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0" xfId="0" applyFont="1" applyAlignment="1">
      <alignment vertical="center"/>
    </xf>
    <xf numFmtId="0" fontId="10" fillId="0" borderId="0" xfId="0" applyFont="1" applyAlignment="1">
      <alignment horizontal="right"/>
    </xf>
    <xf numFmtId="3" fontId="10" fillId="0" borderId="0" xfId="0" applyNumberFormat="1" applyFont="1" applyAlignment="1">
      <alignment horizontal="justify"/>
    </xf>
    <xf numFmtId="175" fontId="10" fillId="0" borderId="0" xfId="0" applyNumberFormat="1" applyFont="1" applyAlignment="1">
      <alignment horizontal="center"/>
    </xf>
    <xf numFmtId="3" fontId="10" fillId="0" borderId="0" xfId="0" applyNumberFormat="1" applyFont="1" applyAlignment="1">
      <alignment horizontal="right"/>
    </xf>
    <xf numFmtId="0" fontId="9" fillId="0" borderId="9" xfId="0" applyFont="1" applyBorder="1" applyAlignment="1">
      <alignment horizontal="justify"/>
    </xf>
    <xf numFmtId="0" fontId="6" fillId="0" borderId="1" xfId="0" applyFont="1" applyBorder="1"/>
    <xf numFmtId="168" fontId="6" fillId="0" borderId="1" xfId="0" applyNumberFormat="1" applyFont="1" applyBorder="1" applyAlignment="1">
      <alignment horizontal="left"/>
    </xf>
    <xf numFmtId="17" fontId="6" fillId="0" borderId="1" xfId="0" applyNumberFormat="1" applyFont="1" applyBorder="1" applyAlignment="1">
      <alignment horizontal="left"/>
    </xf>
    <xf numFmtId="3" fontId="6" fillId="2" borderId="1" xfId="0" applyNumberFormat="1" applyFont="1" applyFill="1" applyBorder="1" applyAlignment="1">
      <alignment horizontal="left" vertical="center" wrapText="1"/>
    </xf>
    <xf numFmtId="176" fontId="4" fillId="10" borderId="2" xfId="0" applyNumberFormat="1" applyFont="1" applyFill="1" applyBorder="1" applyAlignment="1">
      <alignment vertical="center"/>
    </xf>
    <xf numFmtId="176" fontId="4" fillId="10" borderId="2" xfId="0" applyNumberFormat="1" applyFont="1" applyFill="1" applyBorder="1" applyAlignment="1">
      <alignment horizontal="center" vertical="center"/>
    </xf>
    <xf numFmtId="176" fontId="4" fillId="9" borderId="4" xfId="0" applyNumberFormat="1" applyFont="1" applyFill="1" applyBorder="1" applyAlignment="1">
      <alignment vertical="center"/>
    </xf>
    <xf numFmtId="176" fontId="4" fillId="9" borderId="4" xfId="0" applyNumberFormat="1" applyFont="1" applyFill="1" applyBorder="1" applyAlignment="1">
      <alignment horizontal="center" vertical="center"/>
    </xf>
    <xf numFmtId="0" fontId="4" fillId="9" borderId="2" xfId="0" applyFont="1" applyFill="1" applyBorder="1" applyAlignment="1">
      <alignment vertical="center"/>
    </xf>
    <xf numFmtId="0" fontId="6" fillId="6" borderId="42" xfId="0" applyFont="1" applyFill="1" applyBorder="1" applyAlignment="1">
      <alignment vertical="center"/>
    </xf>
    <xf numFmtId="0" fontId="6" fillId="6" borderId="9" xfId="0" applyFont="1" applyFill="1" applyBorder="1" applyAlignment="1">
      <alignment vertical="center"/>
    </xf>
    <xf numFmtId="0" fontId="6" fillId="6" borderId="9" xfId="0" applyFont="1" applyFill="1" applyBorder="1" applyAlignment="1">
      <alignment horizontal="justify" vertical="center"/>
    </xf>
    <xf numFmtId="169" fontId="7" fillId="0" borderId="0" xfId="0" applyNumberFormat="1" applyFont="1" applyFill="1" applyBorder="1"/>
    <xf numFmtId="0" fontId="6" fillId="5" borderId="8" xfId="0" applyFont="1" applyFill="1" applyBorder="1" applyAlignment="1">
      <alignment horizontal="center" vertical="center" wrapText="1"/>
    </xf>
    <xf numFmtId="0" fontId="6" fillId="5" borderId="8" xfId="0" applyFont="1" applyFill="1" applyBorder="1" applyAlignment="1">
      <alignment vertical="center" wrapText="1"/>
    </xf>
    <xf numFmtId="0" fontId="6" fillId="10" borderId="9" xfId="0" applyFont="1" applyFill="1" applyBorder="1" applyAlignment="1">
      <alignment vertical="center"/>
    </xf>
    <xf numFmtId="0" fontId="6" fillId="5" borderId="14" xfId="0" applyFont="1" applyFill="1" applyBorder="1" applyAlignment="1">
      <alignment horizontal="center" vertical="center" wrapText="1"/>
    </xf>
    <xf numFmtId="0" fontId="6" fillId="5" borderId="14" xfId="0" applyFont="1" applyFill="1" applyBorder="1" applyAlignment="1">
      <alignment vertical="center" wrapText="1"/>
    </xf>
    <xf numFmtId="0" fontId="6" fillId="12" borderId="4" xfId="0" applyFont="1" applyFill="1" applyBorder="1" applyAlignment="1">
      <alignment horizontal="left" vertical="center"/>
    </xf>
    <xf numFmtId="0" fontId="6" fillId="12" borderId="4" xfId="0" applyFont="1" applyFill="1" applyBorder="1" applyAlignment="1">
      <alignment vertical="center"/>
    </xf>
    <xf numFmtId="0" fontId="6" fillId="12" borderId="4" xfId="0" applyFont="1" applyFill="1" applyBorder="1" applyAlignment="1">
      <alignment horizontal="justify" vertical="center"/>
    </xf>
    <xf numFmtId="0" fontId="6" fillId="9" borderId="3" xfId="0" applyFont="1" applyFill="1" applyBorder="1" applyAlignment="1">
      <alignment horizontal="left" vertical="center"/>
    </xf>
    <xf numFmtId="0" fontId="6" fillId="5" borderId="17" xfId="0" applyFont="1" applyFill="1" applyBorder="1" applyAlignment="1">
      <alignment vertical="center" wrapText="1"/>
    </xf>
    <xf numFmtId="165" fontId="4" fillId="3" borderId="1" xfId="20" applyFont="1" applyFill="1" applyBorder="1" applyAlignment="1">
      <alignment horizontal="center" vertical="center" wrapText="1"/>
    </xf>
    <xf numFmtId="176" fontId="4" fillId="3" borderId="1" xfId="0" applyNumberFormat="1" applyFont="1" applyFill="1" applyBorder="1" applyAlignment="1">
      <alignment vertical="center"/>
    </xf>
    <xf numFmtId="1" fontId="4" fillId="6" borderId="3" xfId="0" applyNumberFormat="1" applyFont="1" applyFill="1" applyBorder="1" applyAlignment="1">
      <alignment horizontal="left" vertical="center"/>
    </xf>
    <xf numFmtId="165" fontId="4" fillId="6" borderId="4" xfId="20" applyFont="1" applyFill="1" applyBorder="1" applyAlignment="1">
      <alignment horizontal="center" vertical="center"/>
    </xf>
    <xf numFmtId="180" fontId="4" fillId="6" borderId="4" xfId="0" applyNumberFormat="1" applyFont="1" applyFill="1" applyBorder="1" applyAlignment="1">
      <alignment horizontal="left" vertical="center"/>
    </xf>
    <xf numFmtId="176" fontId="4" fillId="6" borderId="4" xfId="0" applyNumberFormat="1" applyFont="1" applyFill="1" applyBorder="1" applyAlignment="1">
      <alignment horizontal="left" vertical="center"/>
    </xf>
    <xf numFmtId="1" fontId="4" fillId="6" borderId="4" xfId="0" applyNumberFormat="1" applyFont="1" applyFill="1" applyBorder="1" applyAlignment="1">
      <alignment horizontal="left" vertical="center"/>
    </xf>
    <xf numFmtId="0" fontId="4" fillId="6" borderId="1" xfId="0" applyFont="1" applyFill="1" applyBorder="1" applyAlignment="1">
      <alignment horizontal="left" vertical="center"/>
    </xf>
    <xf numFmtId="177" fontId="4" fillId="6" borderId="4" xfId="0" applyNumberFormat="1" applyFont="1" applyFill="1" applyBorder="1" applyAlignment="1">
      <alignment horizontal="left" vertical="center"/>
    </xf>
    <xf numFmtId="0" fontId="4" fillId="6" borderId="1" xfId="0" applyFont="1" applyFill="1" applyBorder="1" applyAlignment="1">
      <alignment horizontal="justify" vertical="center"/>
    </xf>
    <xf numFmtId="0" fontId="3" fillId="0" borderId="0" xfId="0" applyFont="1" applyBorder="1" applyAlignment="1">
      <alignment horizontal="left"/>
    </xf>
    <xf numFmtId="1" fontId="4" fillId="5" borderId="15" xfId="0" applyNumberFormat="1" applyFont="1" applyFill="1" applyBorder="1" applyAlignment="1">
      <alignment horizontal="left" vertical="center"/>
    </xf>
    <xf numFmtId="0" fontId="4" fillId="5" borderId="0" xfId="0" applyFont="1" applyFill="1" applyBorder="1" applyAlignment="1">
      <alignment horizontal="left" vertical="center"/>
    </xf>
    <xf numFmtId="1" fontId="4" fillId="10" borderId="12" xfId="0" applyNumberFormat="1" applyFont="1" applyFill="1" applyBorder="1" applyAlignment="1">
      <alignment horizontal="left" vertical="center"/>
    </xf>
    <xf numFmtId="0" fontId="4" fillId="10" borderId="2" xfId="0" applyFont="1" applyFill="1" applyBorder="1" applyAlignment="1">
      <alignment horizontal="left" vertical="center"/>
    </xf>
    <xf numFmtId="165" fontId="4" fillId="10" borderId="2" xfId="20" applyFont="1" applyFill="1" applyBorder="1" applyAlignment="1">
      <alignment horizontal="center" vertical="center"/>
    </xf>
    <xf numFmtId="180" fontId="4" fillId="10" borderId="2" xfId="0" applyNumberFormat="1" applyFont="1" applyFill="1" applyBorder="1" applyAlignment="1">
      <alignment horizontal="left" vertical="center"/>
    </xf>
    <xf numFmtId="176" fontId="4" fillId="10" borderId="2" xfId="0" applyNumberFormat="1" applyFont="1" applyFill="1" applyBorder="1" applyAlignment="1">
      <alignment horizontal="left" vertical="center"/>
    </xf>
    <xf numFmtId="1" fontId="4" fillId="10" borderId="2" xfId="0" applyNumberFormat="1" applyFont="1" applyFill="1" applyBorder="1" applyAlignment="1">
      <alignment horizontal="left" vertical="center"/>
    </xf>
    <xf numFmtId="177" fontId="4" fillId="10" borderId="2" xfId="0" applyNumberFormat="1" applyFont="1" applyFill="1" applyBorder="1" applyAlignment="1">
      <alignment horizontal="left" vertical="center"/>
    </xf>
    <xf numFmtId="0" fontId="4" fillId="5" borderId="6" xfId="0" applyFont="1" applyFill="1" applyBorder="1" applyAlignment="1">
      <alignment horizontal="left" vertical="center"/>
    </xf>
    <xf numFmtId="1" fontId="4" fillId="9" borderId="3" xfId="0" applyNumberFormat="1" applyFont="1" applyFill="1" applyBorder="1" applyAlignment="1">
      <alignment horizontal="left" vertical="center"/>
    </xf>
    <xf numFmtId="165" fontId="4" fillId="9" borderId="4" xfId="20" applyFont="1" applyFill="1" applyBorder="1" applyAlignment="1">
      <alignment horizontal="center" vertical="center"/>
    </xf>
    <xf numFmtId="180" fontId="4" fillId="9" borderId="4" xfId="0" applyNumberFormat="1" applyFont="1" applyFill="1" applyBorder="1" applyAlignment="1">
      <alignment horizontal="left" vertical="center"/>
    </xf>
    <xf numFmtId="176" fontId="4" fillId="9" borderId="4" xfId="0" applyNumberFormat="1" applyFont="1" applyFill="1" applyBorder="1" applyAlignment="1">
      <alignment horizontal="left" vertical="center"/>
    </xf>
    <xf numFmtId="1" fontId="4" fillId="9" borderId="4" xfId="0" applyNumberFormat="1" applyFont="1" applyFill="1" applyBorder="1" applyAlignment="1">
      <alignment horizontal="left" vertical="center"/>
    </xf>
    <xf numFmtId="177" fontId="4" fillId="9" borderId="4"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0" fontId="3" fillId="5" borderId="0" xfId="0" applyFont="1" applyFill="1" applyAlignment="1"/>
    <xf numFmtId="176" fontId="3" fillId="0" borderId="1" xfId="0" applyNumberFormat="1" applyFont="1" applyFill="1" applyBorder="1" applyAlignment="1">
      <alignment horizontal="center" vertical="center" wrapText="1"/>
    </xf>
    <xf numFmtId="0" fontId="3" fillId="5" borderId="8" xfId="0" applyNumberFormat="1" applyFont="1" applyFill="1" applyBorder="1" applyAlignment="1">
      <alignment horizontal="justify" vertical="center"/>
    </xf>
    <xf numFmtId="177" fontId="3" fillId="5" borderId="6" xfId="0" applyNumberFormat="1" applyFont="1" applyFill="1" applyBorder="1" applyAlignment="1">
      <alignment horizontal="center" vertical="center"/>
    </xf>
    <xf numFmtId="1" fontId="4" fillId="9" borderId="6" xfId="0" applyNumberFormat="1" applyFont="1" applyFill="1" applyBorder="1" applyAlignment="1">
      <alignment horizontal="justify" vertical="center"/>
    </xf>
    <xf numFmtId="0" fontId="3" fillId="5" borderId="9" xfId="0" applyFont="1" applyFill="1" applyBorder="1" applyAlignment="1"/>
    <xf numFmtId="0" fontId="3" fillId="5" borderId="0" xfId="0" applyFont="1" applyFill="1" applyBorder="1" applyAlignment="1"/>
    <xf numFmtId="0" fontId="3" fillId="5" borderId="5" xfId="0" applyFont="1" applyFill="1" applyBorder="1" applyAlignment="1"/>
    <xf numFmtId="0" fontId="3" fillId="5" borderId="1" xfId="0" applyFont="1" applyFill="1" applyBorder="1" applyAlignment="1"/>
    <xf numFmtId="165" fontId="3" fillId="5" borderId="1" xfId="20"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top"/>
    </xf>
    <xf numFmtId="180" fontId="3" fillId="5" borderId="1" xfId="0" applyNumberFormat="1" applyFont="1" applyFill="1" applyBorder="1" applyAlignment="1">
      <alignment vertical="center"/>
    </xf>
    <xf numFmtId="176" fontId="3" fillId="0" borderId="1" xfId="0" applyNumberFormat="1" applyFont="1" applyFill="1" applyBorder="1" applyAlignment="1">
      <alignment vertical="center" wrapText="1"/>
    </xf>
    <xf numFmtId="0" fontId="4" fillId="9" borderId="4" xfId="0" applyNumberFormat="1" applyFont="1" applyFill="1" applyBorder="1" applyAlignment="1">
      <alignment vertical="center"/>
    </xf>
    <xf numFmtId="176"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textRotation="180"/>
    </xf>
    <xf numFmtId="1" fontId="4" fillId="10" borderId="8" xfId="0" applyNumberFormat="1" applyFont="1" applyFill="1" applyBorder="1" applyAlignment="1">
      <alignment horizontal="justify" vertical="center"/>
    </xf>
    <xf numFmtId="180" fontId="4" fillId="10" borderId="2" xfId="0" applyNumberFormat="1" applyFont="1" applyFill="1" applyBorder="1" applyAlignment="1">
      <alignment horizontal="center" vertical="center"/>
    </xf>
    <xf numFmtId="0" fontId="4" fillId="10" borderId="2" xfId="0" applyNumberFormat="1" applyFont="1" applyFill="1" applyBorder="1" applyAlignment="1">
      <alignment horizontal="center" vertical="center"/>
    </xf>
    <xf numFmtId="1" fontId="4" fillId="5" borderId="15" xfId="0" applyNumberFormat="1" applyFont="1" applyFill="1" applyBorder="1" applyAlignment="1">
      <alignment horizontal="justify" vertical="center"/>
    </xf>
    <xf numFmtId="1" fontId="4" fillId="9" borderId="3" xfId="0" applyNumberFormat="1" applyFont="1" applyFill="1" applyBorder="1" applyAlignment="1">
      <alignment horizontal="justify" vertical="center"/>
    </xf>
    <xf numFmtId="0" fontId="3" fillId="5" borderId="0" xfId="0" applyFont="1" applyFill="1" applyAlignment="1">
      <alignment horizontal="justify"/>
    </xf>
    <xf numFmtId="180" fontId="3" fillId="0" borderId="1" xfId="0" applyNumberFormat="1" applyFont="1" applyFill="1" applyBorder="1" applyAlignment="1">
      <alignment vertical="center"/>
    </xf>
    <xf numFmtId="0" fontId="3" fillId="0" borderId="0" xfId="0" applyFont="1" applyFill="1" applyAlignment="1">
      <alignment horizontal="justify" vertical="center"/>
    </xf>
    <xf numFmtId="176" fontId="3" fillId="0" borderId="8" xfId="0" applyNumberFormat="1" applyFont="1" applyFill="1" applyBorder="1" applyAlignment="1">
      <alignment horizontal="left" wrapText="1"/>
    </xf>
    <xf numFmtId="0" fontId="3" fillId="0" borderId="0" xfId="0" applyFont="1" applyFill="1" applyAlignment="1"/>
    <xf numFmtId="176" fontId="3" fillId="0" borderId="14" xfId="0" applyNumberFormat="1" applyFont="1" applyFill="1" applyBorder="1" applyAlignment="1">
      <alignment horizontal="left" wrapText="1"/>
    </xf>
    <xf numFmtId="0" fontId="3" fillId="0" borderId="1" xfId="0" applyNumberFormat="1" applyFont="1" applyFill="1" applyBorder="1" applyAlignment="1">
      <alignment horizontal="center" vertical="center"/>
    </xf>
    <xf numFmtId="176" fontId="3" fillId="0" borderId="17" xfId="0" applyNumberFormat="1" applyFont="1" applyFill="1" applyBorder="1" applyAlignment="1">
      <alignment horizontal="left" wrapText="1"/>
    </xf>
    <xf numFmtId="3" fontId="3" fillId="5" borderId="8" xfId="0" applyNumberFormat="1" applyFont="1" applyFill="1" applyBorder="1" applyAlignment="1">
      <alignment horizontal="justify" vertical="center"/>
    </xf>
    <xf numFmtId="3" fontId="3" fillId="5" borderId="17" xfId="0" applyNumberFormat="1" applyFont="1" applyFill="1" applyBorder="1" applyAlignment="1">
      <alignment horizontal="justify" vertical="center"/>
    </xf>
    <xf numFmtId="176" fontId="3" fillId="5" borderId="1" xfId="0" applyNumberFormat="1" applyFont="1" applyFill="1" applyBorder="1" applyAlignment="1">
      <alignment horizontal="justify" vertical="center"/>
    </xf>
    <xf numFmtId="1" fontId="4" fillId="5" borderId="6" xfId="0" applyNumberFormat="1" applyFont="1" applyFill="1" applyBorder="1" applyAlignment="1">
      <alignment horizontal="justify" vertical="center"/>
    </xf>
    <xf numFmtId="0" fontId="4" fillId="9" borderId="4" xfId="0" applyNumberFormat="1" applyFont="1" applyFill="1" applyBorder="1" applyAlignment="1">
      <alignment horizontal="left" vertical="center"/>
    </xf>
    <xf numFmtId="1" fontId="4" fillId="0" borderId="7" xfId="0" applyNumberFormat="1" applyFont="1" applyFill="1" applyBorder="1" applyAlignment="1">
      <alignment horizontal="justify" vertical="center"/>
    </xf>
    <xf numFmtId="1" fontId="4" fillId="10" borderId="7" xfId="0" applyNumberFormat="1" applyFont="1" applyFill="1" applyBorder="1" applyAlignment="1">
      <alignment horizontal="justify" vertical="center"/>
    </xf>
    <xf numFmtId="1" fontId="4" fillId="0" borderId="16" xfId="0" applyNumberFormat="1" applyFont="1" applyFill="1" applyBorder="1" applyAlignment="1">
      <alignment horizontal="justify" vertical="center"/>
    </xf>
    <xf numFmtId="165" fontId="3" fillId="0" borderId="1" xfId="20" applyFont="1" applyBorder="1" applyAlignment="1">
      <alignment horizontal="center" vertical="center"/>
    </xf>
    <xf numFmtId="0" fontId="3" fillId="5" borderId="4" xfId="0" applyFont="1" applyFill="1" applyBorder="1" applyAlignment="1">
      <alignment horizontal="center" vertical="center"/>
    </xf>
    <xf numFmtId="176" fontId="3" fillId="5" borderId="1" xfId="0" applyNumberFormat="1" applyFont="1" applyFill="1" applyBorder="1" applyAlignment="1">
      <alignment vertical="center"/>
    </xf>
    <xf numFmtId="180" fontId="4" fillId="9" borderId="4" xfId="0" applyNumberFormat="1" applyFont="1" applyFill="1" applyBorder="1" applyAlignment="1">
      <alignment horizontal="center" vertical="center"/>
    </xf>
    <xf numFmtId="0" fontId="4" fillId="9" borderId="4" xfId="0" applyNumberFormat="1" applyFont="1" applyFill="1" applyBorder="1" applyAlignment="1">
      <alignment horizontal="center" vertical="center"/>
    </xf>
    <xf numFmtId="1" fontId="4" fillId="0" borderId="13" xfId="0" applyNumberFormat="1" applyFont="1" applyFill="1" applyBorder="1" applyAlignment="1">
      <alignment horizontal="justify" vertical="center"/>
    </xf>
    <xf numFmtId="2" fontId="4" fillId="0" borderId="3" xfId="0" applyNumberFormat="1" applyFont="1" applyBorder="1"/>
    <xf numFmtId="2" fontId="4" fillId="0" borderId="4" xfId="0" applyNumberFormat="1" applyFont="1" applyBorder="1"/>
    <xf numFmtId="2" fontId="4" fillId="0" borderId="4" xfId="0" applyNumberFormat="1" applyFont="1" applyBorder="1" applyAlignment="1">
      <alignment horizontal="center"/>
    </xf>
    <xf numFmtId="2" fontId="4" fillId="5" borderId="4" xfId="0" applyNumberFormat="1" applyFont="1" applyFill="1" applyBorder="1" applyAlignment="1">
      <alignment horizontal="justify" vertical="center"/>
    </xf>
    <xf numFmtId="2" fontId="4" fillId="5" borderId="4" xfId="0" applyNumberFormat="1" applyFont="1" applyFill="1" applyBorder="1"/>
    <xf numFmtId="2" fontId="4" fillId="5" borderId="4" xfId="20" applyNumberFormat="1" applyFont="1" applyFill="1" applyBorder="1" applyAlignment="1">
      <alignment horizontal="center"/>
    </xf>
    <xf numFmtId="2" fontId="4" fillId="5" borderId="4" xfId="0" applyNumberFormat="1" applyFont="1" applyFill="1" applyBorder="1" applyAlignment="1">
      <alignment horizontal="justify"/>
    </xf>
    <xf numFmtId="2" fontId="4" fillId="5" borderId="4" xfId="0" applyNumberFormat="1" applyFont="1" applyFill="1" applyBorder="1" applyAlignment="1">
      <alignment horizontal="center"/>
    </xf>
    <xf numFmtId="2" fontId="4" fillId="5" borderId="5" xfId="0" applyNumberFormat="1" applyFont="1" applyFill="1" applyBorder="1" applyAlignment="1">
      <alignment horizontal="right" vertical="center"/>
    </xf>
    <xf numFmtId="2" fontId="4" fillId="5" borderId="3" xfId="0" applyNumberFormat="1" applyFont="1" applyFill="1" applyBorder="1" applyAlignment="1">
      <alignment horizontal="center" vertical="center"/>
    </xf>
    <xf numFmtId="2" fontId="4" fillId="5" borderId="4" xfId="0" applyNumberFormat="1" applyFont="1" applyFill="1" applyBorder="1" applyAlignment="1">
      <alignment horizontal="center" vertical="center"/>
    </xf>
    <xf numFmtId="2" fontId="4" fillId="0" borderId="4" xfId="0" applyNumberFormat="1" applyFont="1" applyFill="1" applyBorder="1" applyAlignment="1">
      <alignment horizontal="right" vertical="center"/>
    </xf>
    <xf numFmtId="2" fontId="4" fillId="0" borderId="5" xfId="0" applyNumberFormat="1" applyFont="1" applyBorder="1" applyAlignment="1">
      <alignment horizontal="justify" vertical="center"/>
    </xf>
    <xf numFmtId="2" fontId="4" fillId="0" borderId="0" xfId="0" applyNumberFormat="1" applyFont="1"/>
    <xf numFmtId="165" fontId="3" fillId="5" borderId="0" xfId="20" applyFont="1" applyFill="1" applyAlignment="1">
      <alignment horizontal="center"/>
    </xf>
    <xf numFmtId="180" fontId="3" fillId="5" borderId="0" xfId="0" applyNumberFormat="1" applyFont="1" applyFill="1" applyAlignment="1">
      <alignment horizontal="center" vertical="center"/>
    </xf>
    <xf numFmtId="175" fontId="3" fillId="5" borderId="0" xfId="0" applyNumberFormat="1" applyFont="1" applyFill="1" applyAlignment="1">
      <alignment vertical="center"/>
    </xf>
    <xf numFmtId="175" fontId="3" fillId="5" borderId="0" xfId="0" applyNumberFormat="1" applyFont="1" applyFill="1" applyAlignment="1">
      <alignment horizontal="center" vertical="center"/>
    </xf>
    <xf numFmtId="0" fontId="7" fillId="0" borderId="0" xfId="0" applyFont="1" applyAlignment="1">
      <alignment horizontal="justify"/>
    </xf>
    <xf numFmtId="0" fontId="7" fillId="0" borderId="0" xfId="0" applyFont="1" applyAlignment="1">
      <alignment horizontal="justify" vertical="center"/>
    </xf>
    <xf numFmtId="3" fontId="3" fillId="5" borderId="14" xfId="0" applyNumberFormat="1" applyFont="1" applyFill="1" applyBorder="1" applyAlignment="1">
      <alignment horizontal="justify" vertical="center"/>
    </xf>
    <xf numFmtId="0" fontId="9" fillId="0" borderId="29" xfId="0" applyFont="1" applyBorder="1" applyAlignment="1">
      <alignment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176" fontId="3" fillId="0" borderId="8"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177" fontId="3" fillId="5" borderId="1" xfId="0" applyNumberFormat="1" applyFont="1" applyFill="1" applyBorder="1" applyAlignment="1">
      <alignment horizontal="center" vertical="center"/>
    </xf>
    <xf numFmtId="177" fontId="3" fillId="5" borderId="8" xfId="0" applyNumberFormat="1" applyFont="1" applyFill="1" applyBorder="1" applyAlignment="1">
      <alignment horizontal="center" vertical="center"/>
    </xf>
    <xf numFmtId="0" fontId="3" fillId="0" borderId="1" xfId="0" applyFont="1" applyFill="1" applyBorder="1" applyAlignment="1">
      <alignment horizontal="justify" vertical="center"/>
    </xf>
    <xf numFmtId="9" fontId="3" fillId="0" borderId="1" xfId="5" applyFont="1" applyFill="1" applyBorder="1" applyAlignment="1">
      <alignment horizontal="center" vertical="center"/>
    </xf>
    <xf numFmtId="1"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0" fontId="4" fillId="9" borderId="4" xfId="0" applyFont="1" applyFill="1" applyBorder="1" applyAlignment="1">
      <alignment horizontal="center" vertical="center"/>
    </xf>
    <xf numFmtId="0" fontId="3" fillId="0" borderId="0" xfId="0" applyFont="1" applyAlignment="1">
      <alignment horizontal="center"/>
    </xf>
    <xf numFmtId="0" fontId="6" fillId="10" borderId="4" xfId="0" applyFont="1" applyFill="1" applyBorder="1" applyAlignment="1">
      <alignment horizontal="left" vertical="center"/>
    </xf>
    <xf numFmtId="0" fontId="6" fillId="10" borderId="9" xfId="0" applyFont="1" applyFill="1" applyBorder="1" applyAlignment="1">
      <alignment horizontal="left" vertical="center"/>
    </xf>
    <xf numFmtId="0" fontId="7" fillId="5" borderId="1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14" fontId="3" fillId="5" borderId="1" xfId="0" applyNumberFormat="1" applyFont="1" applyFill="1" applyBorder="1" applyAlignment="1">
      <alignment horizontal="center" vertical="center"/>
    </xf>
    <xf numFmtId="0" fontId="3" fillId="0" borderId="8" xfId="0" applyNumberFormat="1" applyFont="1" applyFill="1" applyBorder="1" applyAlignment="1">
      <alignment horizontal="justify" vertical="center"/>
    </xf>
    <xf numFmtId="0" fontId="3" fillId="5" borderId="8" xfId="0" applyFont="1" applyFill="1" applyBorder="1" applyAlignment="1">
      <alignment horizontal="justify" vertical="center"/>
    </xf>
    <xf numFmtId="0" fontId="3" fillId="5" borderId="14" xfId="0" applyFont="1" applyFill="1" applyBorder="1" applyAlignment="1">
      <alignment horizontal="justify" vertical="center"/>
    </xf>
    <xf numFmtId="0" fontId="3" fillId="5" borderId="17" xfId="0" applyFont="1" applyFill="1" applyBorder="1" applyAlignment="1">
      <alignment horizontal="justify" vertical="center"/>
    </xf>
    <xf numFmtId="180" fontId="3" fillId="5" borderId="8" xfId="0" applyNumberFormat="1" applyFont="1" applyFill="1" applyBorder="1" applyAlignment="1">
      <alignment horizontal="center" vertical="center"/>
    </xf>
    <xf numFmtId="180" fontId="3" fillId="5" borderId="1" xfId="0" applyNumberFormat="1" applyFont="1" applyFill="1" applyBorder="1" applyAlignment="1">
      <alignment horizontal="center" vertical="center"/>
    </xf>
    <xf numFmtId="0" fontId="3" fillId="5" borderId="0" xfId="0" applyFont="1" applyFill="1" applyBorder="1" applyAlignment="1">
      <alignment horizontal="justify" vertical="center"/>
    </xf>
    <xf numFmtId="0" fontId="3" fillId="5" borderId="16" xfId="0" applyFont="1" applyFill="1" applyBorder="1" applyAlignment="1">
      <alignment horizontal="justify" vertical="center"/>
    </xf>
    <xf numFmtId="165" fontId="3" fillId="5" borderId="8" xfId="20" applyFont="1" applyFill="1" applyBorder="1" applyAlignment="1">
      <alignment horizontal="center" vertical="center"/>
    </xf>
    <xf numFmtId="0" fontId="3" fillId="0" borderId="8" xfId="0" applyNumberFormat="1" applyFont="1" applyFill="1" applyBorder="1" applyAlignment="1">
      <alignment horizontal="justify" vertical="center" wrapText="1"/>
    </xf>
    <xf numFmtId="3" fontId="3" fillId="5" borderId="1" xfId="0" applyNumberFormat="1" applyFont="1" applyFill="1" applyBorder="1" applyAlignment="1">
      <alignment horizontal="justify" vertical="center"/>
    </xf>
    <xf numFmtId="0" fontId="3" fillId="0" borderId="17" xfId="0" applyFont="1" applyFill="1" applyBorder="1" applyAlignment="1">
      <alignment horizontal="justify" vertical="center"/>
    </xf>
    <xf numFmtId="1" fontId="3" fillId="5" borderId="15" xfId="0" applyNumberFormat="1" applyFont="1" applyFill="1" applyBorder="1" applyAlignment="1">
      <alignment horizontal="justify" vertical="center"/>
    </xf>
    <xf numFmtId="0" fontId="3" fillId="5" borderId="15" xfId="0" applyFont="1" applyFill="1" applyBorder="1" applyAlignment="1">
      <alignment horizontal="justify" vertical="center"/>
    </xf>
    <xf numFmtId="0" fontId="3" fillId="5" borderId="2" xfId="0" applyFont="1" applyFill="1" applyBorder="1" applyAlignment="1">
      <alignment horizontal="justify" vertical="center"/>
    </xf>
    <xf numFmtId="0" fontId="4" fillId="9" borderId="4" xfId="0" applyFont="1" applyFill="1" applyBorder="1" applyAlignment="1">
      <alignment horizontal="left"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 fontId="4" fillId="0" borderId="0"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5" borderId="9" xfId="0" applyFont="1" applyFill="1" applyBorder="1" applyAlignment="1">
      <alignment horizontal="justify" vertical="center"/>
    </xf>
    <xf numFmtId="0" fontId="4" fillId="5" borderId="0" xfId="0" applyFont="1" applyFill="1" applyBorder="1" applyAlignment="1">
      <alignment horizontal="justify" vertical="center"/>
    </xf>
    <xf numFmtId="0" fontId="4" fillId="5" borderId="16" xfId="0" applyFont="1" applyFill="1" applyBorder="1" applyAlignment="1">
      <alignment horizontal="justify" vertical="center"/>
    </xf>
    <xf numFmtId="0" fontId="3" fillId="0" borderId="0" xfId="0" applyFont="1" applyFill="1" applyBorder="1" applyAlignment="1">
      <alignment horizontal="justify"/>
    </xf>
    <xf numFmtId="0" fontId="3" fillId="0" borderId="8" xfId="0" applyFont="1" applyFill="1" applyBorder="1" applyAlignment="1">
      <alignment horizontal="justify" vertical="center"/>
    </xf>
    <xf numFmtId="165" fontId="3" fillId="0" borderId="1" xfId="20" applyFont="1" applyFill="1" applyBorder="1" applyAlignment="1">
      <alignment horizontal="center" vertical="center"/>
    </xf>
    <xf numFmtId="0" fontId="3" fillId="5" borderId="15" xfId="0" applyFont="1" applyFill="1" applyBorder="1" applyAlignment="1">
      <alignment horizontal="justify"/>
    </xf>
    <xf numFmtId="0" fontId="3" fillId="5" borderId="0" xfId="0" applyFont="1" applyFill="1" applyBorder="1" applyAlignment="1">
      <alignment horizontal="justify"/>
    </xf>
    <xf numFmtId="0" fontId="3" fillId="5" borderId="12" xfId="0" applyFont="1" applyFill="1" applyBorder="1" applyAlignment="1">
      <alignment horizontal="justify"/>
    </xf>
    <xf numFmtId="0" fontId="3" fillId="5" borderId="2" xfId="0" applyFont="1" applyFill="1" applyBorder="1" applyAlignment="1">
      <alignment horizontal="justify"/>
    </xf>
    <xf numFmtId="0" fontId="4" fillId="9" borderId="4" xfId="0" applyFont="1" applyFill="1" applyBorder="1" applyAlignment="1">
      <alignment horizontal="justify" vertical="center"/>
    </xf>
    <xf numFmtId="1" fontId="4" fillId="0" borderId="9"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14" fontId="7" fillId="0" borderId="1" xfId="0" applyNumberFormat="1" applyFont="1" applyBorder="1" applyAlignment="1">
      <alignment horizontal="center"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9" fontId="7" fillId="0" borderId="1" xfId="5"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 xfId="0" applyFont="1" applyFill="1" applyBorder="1" applyAlignment="1">
      <alignment horizontal="justify" vertical="center"/>
    </xf>
    <xf numFmtId="0" fontId="7" fillId="0" borderId="8"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10" fontId="7" fillId="0" borderId="1" xfId="5" applyNumberFormat="1" applyFont="1" applyFill="1" applyBorder="1" applyAlignment="1">
      <alignment horizontal="center" vertical="center"/>
    </xf>
    <xf numFmtId="0" fontId="7" fillId="0" borderId="1" xfId="0" applyFont="1" applyBorder="1" applyAlignment="1">
      <alignment horizontal="center" vertical="center"/>
    </xf>
    <xf numFmtId="0" fontId="7" fillId="5" borderId="8" xfId="0" applyFont="1" applyFill="1" applyBorder="1" applyAlignment="1">
      <alignment horizontal="justify" vertical="center" wrapText="1"/>
    </xf>
    <xf numFmtId="0" fontId="7" fillId="5" borderId="17"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0" borderId="17" xfId="0" applyFont="1" applyBorder="1" applyAlignment="1">
      <alignment horizontal="justify" vertical="center" wrapText="1"/>
    </xf>
    <xf numFmtId="0" fontId="7" fillId="0" borderId="17" xfId="0" applyFont="1" applyBorder="1" applyAlignment="1">
      <alignment horizontal="center" vertical="center"/>
    </xf>
    <xf numFmtId="0" fontId="7" fillId="5" borderId="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9" fontId="7" fillId="5" borderId="8" xfId="5" applyFont="1" applyFill="1" applyBorder="1" applyAlignment="1">
      <alignment horizontal="center" vertical="center"/>
    </xf>
    <xf numFmtId="9" fontId="7" fillId="5" borderId="17" xfId="5" applyFont="1" applyFill="1" applyBorder="1" applyAlignment="1">
      <alignment horizontal="center" vertical="center"/>
    </xf>
    <xf numFmtId="0" fontId="7" fillId="5" borderId="8" xfId="0" applyFont="1" applyFill="1" applyBorder="1" applyAlignment="1">
      <alignment horizontal="center" vertical="center"/>
    </xf>
    <xf numFmtId="9" fontId="7" fillId="5" borderId="1" xfId="5" applyFont="1" applyFill="1" applyBorder="1" applyAlignment="1">
      <alignment horizontal="center" vertical="center"/>
    </xf>
    <xf numFmtId="0" fontId="7" fillId="5" borderId="1"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5" xfId="0" applyFont="1" applyFill="1" applyBorder="1" applyAlignment="1">
      <alignment horizontal="center" vertical="center" wrapText="1"/>
    </xf>
    <xf numFmtId="189" fontId="8" fillId="5" borderId="8"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0" borderId="1" xfId="0" applyFont="1" applyBorder="1" applyAlignment="1">
      <alignment horizontal="justify" vertical="center" wrapText="1"/>
    </xf>
    <xf numFmtId="0" fontId="7" fillId="5" borderId="1" xfId="0" applyFont="1" applyFill="1" applyBorder="1" applyAlignment="1">
      <alignment horizontal="center" vertical="center"/>
    </xf>
    <xf numFmtId="0" fontId="7" fillId="5" borderId="8" xfId="0" applyNumberFormat="1"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7" xfId="0" applyFont="1" applyFill="1" applyBorder="1" applyAlignment="1">
      <alignment horizontal="center" vertical="center"/>
    </xf>
    <xf numFmtId="176" fontId="7" fillId="5" borderId="17" xfId="13"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wrapText="1"/>
    </xf>
    <xf numFmtId="9" fontId="10" fillId="0" borderId="8" xfId="0" applyNumberFormat="1" applyFont="1" applyFill="1" applyBorder="1" applyAlignment="1">
      <alignment horizontal="center" vertical="center" wrapText="1"/>
    </xf>
    <xf numFmtId="0" fontId="10" fillId="0" borderId="8" xfId="0" applyFont="1" applyFill="1" applyBorder="1" applyAlignment="1">
      <alignment horizontal="justify" vertical="center" wrapText="1"/>
    </xf>
    <xf numFmtId="177" fontId="10"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xf>
    <xf numFmtId="15" fontId="10" fillId="0" borderId="8" xfId="0" applyNumberFormat="1" applyFont="1" applyFill="1" applyBorder="1" applyAlignment="1">
      <alignment horizontal="center" vertical="center" wrapText="1"/>
    </xf>
    <xf numFmtId="175" fontId="10" fillId="0" borderId="1" xfId="4" applyNumberFormat="1" applyFont="1" applyFill="1" applyBorder="1" applyAlignment="1">
      <alignment horizontal="center" vertical="center"/>
    </xf>
    <xf numFmtId="3" fontId="10" fillId="0" borderId="1" xfId="0" applyNumberFormat="1" applyFont="1" applyFill="1" applyBorder="1" applyAlignment="1">
      <alignment horizontal="justify" vertical="center" wrapText="1"/>
    </xf>
    <xf numFmtId="3" fontId="7" fillId="5" borderId="17" xfId="0" applyNumberFormat="1" applyFont="1" applyFill="1" applyBorder="1" applyAlignment="1">
      <alignment horizontal="justify" vertical="center" wrapText="1"/>
    </xf>
    <xf numFmtId="170" fontId="7" fillId="5" borderId="17" xfId="0" applyNumberFormat="1" applyFont="1" applyFill="1" applyBorder="1" applyAlignment="1">
      <alignment horizontal="center" vertical="center" wrapText="1"/>
    </xf>
    <xf numFmtId="0" fontId="7" fillId="5" borderId="1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1" xfId="0" applyFont="1" applyBorder="1" applyAlignment="1">
      <alignment horizontal="justify"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0" fontId="6" fillId="0" borderId="1"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1" fontId="6" fillId="3" borderId="8" xfId="0" applyNumberFormat="1" applyFont="1" applyFill="1" applyBorder="1" applyAlignment="1">
      <alignment horizontal="center" vertical="center" wrapText="1"/>
    </xf>
    <xf numFmtId="1" fontId="6" fillId="6" borderId="3" xfId="0" applyNumberFormat="1" applyFont="1" applyFill="1" applyBorder="1" applyAlignment="1">
      <alignment horizontal="left" vertical="center" wrapText="1"/>
    </xf>
    <xf numFmtId="1" fontId="6" fillId="6" borderId="4" xfId="0" applyNumberFormat="1" applyFont="1" applyFill="1" applyBorder="1" applyAlignment="1">
      <alignment vertical="center" wrapText="1"/>
    </xf>
    <xf numFmtId="0" fontId="6" fillId="6" borderId="4" xfId="0" applyFont="1" applyFill="1" applyBorder="1"/>
    <xf numFmtId="1" fontId="6" fillId="6" borderId="4" xfId="0" applyNumberFormat="1"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1" fontId="6" fillId="0" borderId="0" xfId="0" applyNumberFormat="1" applyFont="1" applyFill="1" applyBorder="1" applyAlignment="1">
      <alignment vertical="center" wrapText="1"/>
    </xf>
    <xf numFmtId="0" fontId="6" fillId="0" borderId="0" xfId="0" applyFont="1" applyFill="1" applyBorder="1"/>
    <xf numFmtId="0" fontId="6" fillId="10" borderId="9" xfId="0" applyFont="1" applyFill="1" applyBorder="1"/>
    <xf numFmtId="170" fontId="6" fillId="10" borderId="9"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0" borderId="12" xfId="0" applyFont="1" applyBorder="1"/>
    <xf numFmtId="0" fontId="6" fillId="0" borderId="2" xfId="0" applyFont="1" applyBorder="1"/>
    <xf numFmtId="0" fontId="6" fillId="0" borderId="3" xfId="0" applyFont="1" applyBorder="1"/>
    <xf numFmtId="0" fontId="6" fillId="9" borderId="4" xfId="0" applyFont="1" applyFill="1" applyBorder="1"/>
    <xf numFmtId="170" fontId="6" fillId="9" borderId="4" xfId="0" applyNumberFormat="1" applyFont="1" applyFill="1" applyBorder="1" applyAlignment="1">
      <alignment horizontal="center" vertical="center" wrapText="1"/>
    </xf>
    <xf numFmtId="3" fontId="6" fillId="9" borderId="5" xfId="0" applyNumberFormat="1" applyFont="1" applyFill="1" applyBorder="1" applyAlignment="1">
      <alignment horizontal="center" vertical="center" wrapText="1"/>
    </xf>
    <xf numFmtId="0" fontId="7" fillId="0" borderId="6" xfId="0" applyFont="1" applyBorder="1"/>
    <xf numFmtId="0" fontId="7" fillId="0" borderId="9" xfId="0" applyFont="1" applyBorder="1"/>
    <xf numFmtId="0" fontId="7" fillId="0" borderId="0" xfId="0" applyFont="1" applyBorder="1"/>
    <xf numFmtId="0" fontId="7" fillId="0" borderId="16" xfId="0" applyFont="1" applyBorder="1"/>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xf>
    <xf numFmtId="1" fontId="7" fillId="0" borderId="17" xfId="0" applyNumberFormat="1" applyFont="1" applyFill="1" applyBorder="1" applyAlignment="1">
      <alignment horizontal="center" vertical="center"/>
    </xf>
    <xf numFmtId="1" fontId="7" fillId="0" borderId="17" xfId="0" applyNumberFormat="1" applyFont="1" applyFill="1" applyBorder="1" applyAlignment="1">
      <alignment horizontal="center" vertical="center" wrapText="1"/>
    </xf>
    <xf numFmtId="42" fontId="7" fillId="0" borderId="17" xfId="8" applyFont="1" applyFill="1" applyBorder="1" applyAlignment="1">
      <alignment horizontal="center" vertical="center"/>
    </xf>
    <xf numFmtId="0" fontId="7" fillId="0" borderId="17" xfId="0" applyFont="1" applyFill="1" applyBorder="1" applyAlignment="1">
      <alignment horizontal="justify" vertical="center" wrapText="1" readingOrder="2"/>
    </xf>
    <xf numFmtId="173" fontId="7" fillId="0" borderId="17" xfId="7" applyNumberFormat="1" applyFont="1" applyFill="1" applyBorder="1" applyAlignment="1">
      <alignment horizontal="center" vertical="center"/>
    </xf>
    <xf numFmtId="41" fontId="7" fillId="5" borderId="17" xfId="1" applyFont="1" applyFill="1" applyBorder="1" applyAlignment="1">
      <alignment horizontal="center" vertical="center" wrapText="1"/>
    </xf>
    <xf numFmtId="170" fontId="7" fillId="5" borderId="13"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11" borderId="1" xfId="0" applyFont="1" applyFill="1" applyBorder="1" applyAlignment="1">
      <alignment horizontal="justify" vertical="center" wrapText="1"/>
    </xf>
    <xf numFmtId="173" fontId="7" fillId="5" borderId="1" xfId="7" applyNumberFormat="1" applyFont="1" applyFill="1" applyBorder="1" applyAlignment="1">
      <alignment horizontal="center" vertical="center" wrapText="1"/>
    </xf>
    <xf numFmtId="173" fontId="7" fillId="0" borderId="1" xfId="7" applyNumberFormat="1" applyFont="1" applyFill="1" applyBorder="1" applyAlignment="1">
      <alignment vertical="center" wrapText="1"/>
    </xf>
    <xf numFmtId="0" fontId="7" fillId="0" borderId="1" xfId="0" applyFont="1" applyFill="1" applyBorder="1" applyAlignment="1">
      <alignment horizontal="center" vertical="center"/>
    </xf>
    <xf numFmtId="41" fontId="7" fillId="5" borderId="1" xfId="1" applyFont="1" applyFill="1" applyBorder="1" applyAlignment="1">
      <alignment horizontal="center" vertical="center" wrapText="1"/>
    </xf>
    <xf numFmtId="170" fontId="7" fillId="5" borderId="5" xfId="0" applyNumberFormat="1" applyFont="1" applyFill="1" applyBorder="1" applyAlignment="1">
      <alignment horizontal="center" vertical="center" wrapText="1"/>
    </xf>
    <xf numFmtId="170" fontId="7" fillId="5" borderId="1" xfId="0" applyNumberFormat="1" applyFont="1" applyFill="1" applyBorder="1" applyAlignment="1">
      <alignment horizontal="center" vertical="center" wrapText="1"/>
    </xf>
    <xf numFmtId="173" fontId="7" fillId="5" borderId="1" xfId="7" applyNumberFormat="1" applyFont="1" applyFill="1" applyBorder="1" applyAlignment="1">
      <alignment horizontal="center" vertical="center"/>
    </xf>
    <xf numFmtId="0" fontId="7" fillId="0" borderId="1" xfId="0" applyFont="1" applyFill="1" applyBorder="1" applyAlignment="1">
      <alignment horizontal="justify" vertical="center" wrapText="1" readingOrder="2"/>
    </xf>
    <xf numFmtId="0" fontId="7" fillId="0" borderId="5"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1" fontId="7" fillId="0" borderId="1" xfId="0" applyNumberFormat="1" applyFont="1" applyFill="1" applyBorder="1" applyAlignment="1">
      <alignment horizontal="center" vertical="center" wrapText="1"/>
    </xf>
    <xf numFmtId="42" fontId="7" fillId="0" borderId="1" xfId="8" applyFont="1" applyFill="1" applyBorder="1" applyAlignment="1">
      <alignment horizontal="center" vertical="center"/>
    </xf>
    <xf numFmtId="173" fontId="7" fillId="0" borderId="1" xfId="7" applyNumberFormat="1" applyFont="1" applyFill="1" applyBorder="1" applyAlignment="1">
      <alignment horizontal="center" vertical="center"/>
    </xf>
    <xf numFmtId="174" fontId="7"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0" fontId="7" fillId="0" borderId="5"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justify" vertical="center" wrapText="1"/>
    </xf>
    <xf numFmtId="9" fontId="7" fillId="0" borderId="1" xfId="5" applyFont="1" applyFill="1" applyBorder="1" applyAlignment="1">
      <alignment horizontal="center" vertical="center" wrapText="1"/>
    </xf>
    <xf numFmtId="0" fontId="7" fillId="0" borderId="12" xfId="0" applyFont="1" applyBorder="1"/>
    <xf numFmtId="0" fontId="7" fillId="0" borderId="2" xfId="0" applyFont="1" applyBorder="1"/>
    <xf numFmtId="0" fontId="7" fillId="0" borderId="13" xfId="0" applyFont="1" applyBorder="1"/>
    <xf numFmtId="9" fontId="7" fillId="0" borderId="5" xfId="5" applyFont="1" applyFill="1" applyBorder="1" applyAlignment="1">
      <alignment horizontal="center" vertical="center" wrapText="1"/>
    </xf>
    <xf numFmtId="3" fontId="7" fillId="0" borderId="1" xfId="0" applyNumberFormat="1" applyFont="1" applyFill="1" applyBorder="1" applyAlignment="1">
      <alignment horizontal="justify" vertical="center" wrapText="1"/>
    </xf>
    <xf numFmtId="0" fontId="6" fillId="0" borderId="3" xfId="0" applyFont="1" applyBorder="1" applyAlignment="1">
      <alignment vertical="center"/>
    </xf>
    <xf numFmtId="0" fontId="6" fillId="0" borderId="4" xfId="0" applyFont="1" applyBorder="1" applyAlignment="1">
      <alignment vertical="center"/>
    </xf>
    <xf numFmtId="1" fontId="6" fillId="0" borderId="4" xfId="0" applyNumberFormat="1" applyFont="1" applyBorder="1" applyAlignment="1">
      <alignment vertical="center"/>
    </xf>
    <xf numFmtId="0" fontId="6" fillId="0" borderId="5" xfId="0" applyFont="1" applyBorder="1" applyAlignment="1">
      <alignment horizontal="center" vertical="center"/>
    </xf>
    <xf numFmtId="42" fontId="6" fillId="5" borderId="1" xfId="8" applyFont="1" applyFill="1" applyBorder="1" applyAlignment="1">
      <alignment vertical="center"/>
    </xf>
    <xf numFmtId="0" fontId="6" fillId="0" borderId="5" xfId="0" applyFont="1" applyBorder="1" applyAlignment="1">
      <alignment vertical="center"/>
    </xf>
    <xf numFmtId="173" fontId="6" fillId="5" borderId="1" xfId="7"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1" fontId="7" fillId="0" borderId="0" xfId="0" applyNumberFormat="1" applyFont="1"/>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xf numFmtId="43" fontId="7" fillId="0" borderId="0" xfId="7" applyNumberFormat="1" applyFont="1"/>
    <xf numFmtId="43" fontId="7" fillId="0" borderId="0" xfId="0" applyNumberFormat="1" applyFont="1"/>
    <xf numFmtId="1" fontId="6" fillId="6" borderId="9" xfId="0" applyNumberFormat="1" applyFont="1" applyFill="1" applyBorder="1" applyAlignment="1">
      <alignment horizontal="left" vertical="center" wrapText="1"/>
    </xf>
    <xf numFmtId="0" fontId="6" fillId="6" borderId="4" xfId="0" applyFont="1" applyFill="1" applyBorder="1" applyAlignment="1">
      <alignment vertical="center"/>
    </xf>
    <xf numFmtId="0" fontId="6" fillId="6" borderId="4" xfId="0" applyFont="1" applyFill="1" applyBorder="1" applyAlignment="1">
      <alignment horizontal="justify" vertical="center"/>
    </xf>
    <xf numFmtId="0" fontId="6" fillId="6" borderId="4" xfId="0" applyFont="1" applyFill="1" applyBorder="1" applyAlignment="1">
      <alignment horizontal="center" vertical="center"/>
    </xf>
    <xf numFmtId="9" fontId="6" fillId="6" borderId="4" xfId="5" applyFont="1" applyFill="1" applyBorder="1" applyAlignment="1">
      <alignment horizontal="center" vertical="center"/>
    </xf>
    <xf numFmtId="176" fontId="6" fillId="6" borderId="4" xfId="0" applyNumberFormat="1" applyFont="1" applyFill="1" applyBorder="1" applyAlignment="1">
      <alignment horizontal="right" vertical="center"/>
    </xf>
    <xf numFmtId="1" fontId="6" fillId="6" borderId="4" xfId="0" applyNumberFormat="1" applyFont="1" applyFill="1" applyBorder="1" applyAlignment="1">
      <alignment horizontal="center" vertical="center"/>
    </xf>
    <xf numFmtId="177" fontId="6" fillId="6" borderId="4" xfId="0" applyNumberFormat="1" applyFont="1" applyFill="1" applyBorder="1" applyAlignment="1">
      <alignment vertical="center"/>
    </xf>
    <xf numFmtId="0" fontId="6" fillId="6" borderId="5" xfId="0" applyFont="1" applyFill="1" applyBorder="1" applyAlignment="1">
      <alignment horizontal="justify" vertical="center"/>
    </xf>
    <xf numFmtId="1" fontId="6" fillId="5" borderId="6"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1" fontId="6" fillId="10" borderId="0" xfId="0" applyNumberFormat="1" applyFont="1" applyFill="1" applyBorder="1" applyAlignment="1">
      <alignment horizontal="center" vertical="center"/>
    </xf>
    <xf numFmtId="0" fontId="6" fillId="10" borderId="2" xfId="0" applyFont="1" applyFill="1" applyBorder="1" applyAlignment="1">
      <alignment vertical="center"/>
    </xf>
    <xf numFmtId="0" fontId="6" fillId="10" borderId="2" xfId="0" applyFont="1" applyFill="1" applyBorder="1" applyAlignment="1">
      <alignment horizontal="justify" vertical="center"/>
    </xf>
    <xf numFmtId="0" fontId="6" fillId="10" borderId="2" xfId="0" applyFont="1" applyFill="1" applyBorder="1" applyAlignment="1">
      <alignment horizontal="center" vertical="center"/>
    </xf>
    <xf numFmtId="9" fontId="6" fillId="10" borderId="2" xfId="5" applyFont="1" applyFill="1" applyBorder="1" applyAlignment="1">
      <alignment horizontal="center" vertical="center"/>
    </xf>
    <xf numFmtId="176" fontId="6" fillId="10" borderId="2" xfId="0" applyNumberFormat="1" applyFont="1" applyFill="1" applyBorder="1" applyAlignment="1">
      <alignment horizontal="right" vertical="center"/>
    </xf>
    <xf numFmtId="1" fontId="6" fillId="10" borderId="2" xfId="0" applyNumberFormat="1" applyFont="1" applyFill="1" applyBorder="1" applyAlignment="1">
      <alignment horizontal="center" vertical="center"/>
    </xf>
    <xf numFmtId="177" fontId="6" fillId="10" borderId="2" xfId="0" applyNumberFormat="1" applyFont="1" applyFill="1" applyBorder="1" applyAlignment="1">
      <alignment vertical="center"/>
    </xf>
    <xf numFmtId="0" fontId="6" fillId="10" borderId="13" xfId="0" applyFont="1" applyFill="1" applyBorder="1" applyAlignment="1">
      <alignment horizontal="justify" vertical="center"/>
    </xf>
    <xf numFmtId="1" fontId="6" fillId="5" borderId="15"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6" xfId="0" applyFont="1" applyFill="1" applyBorder="1" applyAlignment="1">
      <alignment horizontal="center" vertical="center" wrapText="1"/>
    </xf>
    <xf numFmtId="1" fontId="6" fillId="9" borderId="4" xfId="0" applyNumberFormat="1" applyFont="1" applyFill="1" applyBorder="1" applyAlignment="1">
      <alignment horizontal="left" vertical="center" wrapText="1" indent="1"/>
    </xf>
    <xf numFmtId="9" fontId="6" fillId="9" borderId="4" xfId="5" applyFont="1" applyFill="1" applyBorder="1" applyAlignment="1">
      <alignment horizontal="center" vertical="center"/>
    </xf>
    <xf numFmtId="176" fontId="6" fillId="9" borderId="4" xfId="0" applyNumberFormat="1" applyFont="1" applyFill="1" applyBorder="1" applyAlignment="1">
      <alignment horizontal="right" vertical="center"/>
    </xf>
    <xf numFmtId="1" fontId="6" fillId="9" borderId="4" xfId="0" applyNumberFormat="1" applyFont="1" applyFill="1" applyBorder="1" applyAlignment="1">
      <alignment horizontal="center" vertical="center"/>
    </xf>
    <xf numFmtId="177" fontId="6" fillId="9" borderId="4" xfId="0" applyNumberFormat="1" applyFont="1" applyFill="1" applyBorder="1" applyAlignment="1">
      <alignment vertical="center"/>
    </xf>
    <xf numFmtId="0" fontId="6" fillId="9" borderId="5" xfId="0" applyFont="1" applyFill="1" applyBorder="1" applyAlignment="1">
      <alignment horizontal="justify" vertical="center"/>
    </xf>
    <xf numFmtId="1" fontId="7" fillId="5" borderId="15"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76" fontId="7" fillId="5" borderId="1"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1" fontId="7" fillId="5" borderId="15" xfId="0" applyNumberFormat="1" applyFont="1" applyFill="1" applyBorder="1"/>
    <xf numFmtId="0" fontId="7" fillId="5" borderId="15" xfId="0" applyFont="1" applyFill="1" applyBorder="1"/>
    <xf numFmtId="0" fontId="7" fillId="5" borderId="16" xfId="0" applyFont="1" applyFill="1" applyBorder="1"/>
    <xf numFmtId="0" fontId="6" fillId="9" borderId="1" xfId="0" applyFont="1" applyFill="1" applyBorder="1" applyAlignment="1">
      <alignment horizontal="justify" vertical="center"/>
    </xf>
    <xf numFmtId="0" fontId="6" fillId="9" borderId="1" xfId="0" applyFont="1" applyFill="1" applyBorder="1" applyAlignment="1">
      <alignment horizontal="center" vertical="center"/>
    </xf>
    <xf numFmtId="9" fontId="6" fillId="9" borderId="1" xfId="5" applyFont="1" applyFill="1" applyBorder="1" applyAlignment="1">
      <alignment horizontal="center" vertical="center"/>
    </xf>
    <xf numFmtId="176" fontId="6" fillId="9" borderId="1" xfId="0" applyNumberFormat="1" applyFont="1" applyFill="1" applyBorder="1" applyAlignment="1">
      <alignment horizontal="right" vertical="center"/>
    </xf>
    <xf numFmtId="0" fontId="6" fillId="9" borderId="1" xfId="0" applyFont="1" applyFill="1" applyBorder="1" applyAlignment="1">
      <alignment horizontal="justify" vertical="center" wrapText="1"/>
    </xf>
    <xf numFmtId="1" fontId="6" fillId="9" borderId="1" xfId="0" applyNumberFormat="1" applyFont="1" applyFill="1" applyBorder="1" applyAlignment="1">
      <alignment horizontal="center" vertical="center"/>
    </xf>
    <xf numFmtId="177" fontId="6" fillId="9" borderId="1" xfId="0" applyNumberFormat="1" applyFont="1" applyFill="1" applyBorder="1" applyAlignment="1">
      <alignment vertical="center"/>
    </xf>
    <xf numFmtId="0" fontId="7" fillId="5" borderId="9" xfId="0" applyFont="1" applyFill="1" applyBorder="1"/>
    <xf numFmtId="176" fontId="7" fillId="5" borderId="1" xfId="0" applyNumberFormat="1" applyFont="1" applyFill="1" applyBorder="1" applyAlignment="1">
      <alignment horizontal="right" vertical="center"/>
    </xf>
    <xf numFmtId="0" fontId="7" fillId="5" borderId="12" xfId="0" applyFont="1" applyFill="1" applyBorder="1"/>
    <xf numFmtId="0" fontId="7" fillId="5" borderId="2" xfId="0" applyFont="1" applyFill="1" applyBorder="1"/>
    <xf numFmtId="0" fontId="7" fillId="5" borderId="13" xfId="0" applyFont="1" applyFill="1" applyBorder="1"/>
    <xf numFmtId="0" fontId="6" fillId="10" borderId="1" xfId="0" applyFont="1" applyFill="1" applyBorder="1" applyAlignment="1">
      <alignment vertical="center"/>
    </xf>
    <xf numFmtId="0" fontId="6" fillId="10" borderId="1" xfId="0" applyFont="1" applyFill="1" applyBorder="1" applyAlignment="1">
      <alignment horizontal="justify" vertical="center"/>
    </xf>
    <xf numFmtId="0" fontId="6" fillId="10" borderId="1" xfId="0" applyFont="1" applyFill="1" applyBorder="1" applyAlignment="1">
      <alignment horizontal="center" vertical="center"/>
    </xf>
    <xf numFmtId="9" fontId="6" fillId="10" borderId="1" xfId="5" applyFont="1" applyFill="1" applyBorder="1" applyAlignment="1">
      <alignment horizontal="center" vertical="center"/>
    </xf>
    <xf numFmtId="176" fontId="6" fillId="10" borderId="1" xfId="0" applyNumberFormat="1" applyFont="1" applyFill="1" applyBorder="1" applyAlignment="1">
      <alignment horizontal="right" vertical="center"/>
    </xf>
    <xf numFmtId="0" fontId="6" fillId="10" borderId="1" xfId="0" applyFont="1" applyFill="1" applyBorder="1" applyAlignment="1">
      <alignment horizontal="justify" vertical="center" wrapText="1"/>
    </xf>
    <xf numFmtId="1" fontId="6" fillId="10" borderId="1" xfId="0" applyNumberFormat="1" applyFont="1" applyFill="1" applyBorder="1" applyAlignment="1">
      <alignment vertical="center"/>
    </xf>
    <xf numFmtId="177" fontId="6" fillId="10" borderId="1" xfId="0" applyNumberFormat="1" applyFont="1" applyFill="1" applyBorder="1" applyAlignment="1">
      <alignment vertical="center"/>
    </xf>
    <xf numFmtId="0" fontId="7" fillId="5" borderId="6" xfId="0" applyFont="1" applyFill="1" applyBorder="1"/>
    <xf numFmtId="0" fontId="7" fillId="5" borderId="7" xfId="0" applyFont="1" applyFill="1" applyBorder="1"/>
    <xf numFmtId="1" fontId="6" fillId="9" borderId="9" xfId="0" applyNumberFormat="1" applyFont="1" applyFill="1" applyBorder="1" applyAlignment="1">
      <alignment horizontal="left" vertical="center" wrapText="1" indent="1"/>
    </xf>
    <xf numFmtId="0" fontId="6" fillId="9" borderId="9" xfId="0" applyFont="1" applyFill="1" applyBorder="1" applyAlignment="1">
      <alignment vertical="center"/>
    </xf>
    <xf numFmtId="1" fontId="7" fillId="0" borderId="1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 xfId="10" applyNumberFormat="1" applyFont="1" applyFill="1" applyBorder="1" applyAlignment="1">
      <alignment horizontal="justify" vertical="center" wrapText="1"/>
    </xf>
    <xf numFmtId="176" fontId="7"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2" xfId="0" applyFont="1" applyFill="1" applyBorder="1" applyAlignment="1">
      <alignment horizontal="center" vertical="center"/>
    </xf>
    <xf numFmtId="1" fontId="6" fillId="10" borderId="9" xfId="0" applyNumberFormat="1" applyFont="1" applyFill="1" applyBorder="1" applyAlignment="1">
      <alignment horizontal="center" vertical="center"/>
    </xf>
    <xf numFmtId="1" fontId="6" fillId="9" borderId="0" xfId="0" applyNumberFormat="1" applyFont="1" applyFill="1" applyBorder="1" applyAlignment="1">
      <alignment horizontal="center" vertical="center" wrapText="1"/>
    </xf>
    <xf numFmtId="0" fontId="6" fillId="9" borderId="0" xfId="0" applyFont="1" applyFill="1" applyBorder="1" applyAlignment="1">
      <alignment vertical="center"/>
    </xf>
    <xf numFmtId="1" fontId="6" fillId="9" borderId="1" xfId="0" applyNumberFormat="1" applyFont="1" applyFill="1" applyBorder="1" applyAlignment="1">
      <alignment vertical="center"/>
    </xf>
    <xf numFmtId="1" fontId="7" fillId="0" borderId="15" xfId="0" applyNumberFormat="1" applyFont="1" applyFill="1" applyBorder="1"/>
    <xf numFmtId="0" fontId="7" fillId="0" borderId="0" xfId="0" applyFont="1" applyFill="1" applyBorder="1"/>
    <xf numFmtId="0" fontId="7" fillId="0" borderId="15" xfId="0" applyFont="1" applyFill="1" applyBorder="1"/>
    <xf numFmtId="0" fontId="7" fillId="0" borderId="6" xfId="0" applyFont="1" applyFill="1" applyBorder="1"/>
    <xf numFmtId="0" fontId="7" fillId="0" borderId="9" xfId="0" applyFont="1" applyFill="1" applyBorder="1"/>
    <xf numFmtId="175" fontId="7" fillId="0" borderId="1" xfId="0" applyNumberFormat="1" applyFont="1" applyFill="1" applyBorder="1" applyAlignment="1">
      <alignment horizontal="right" vertical="center"/>
    </xf>
    <xf numFmtId="0" fontId="7" fillId="0" borderId="0" xfId="0" applyFont="1" applyFill="1" applyBorder="1" applyAlignment="1">
      <alignment wrapText="1"/>
    </xf>
    <xf numFmtId="177" fontId="7" fillId="5"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76" fontId="7" fillId="5" borderId="0" xfId="0" applyNumberFormat="1" applyFont="1" applyFill="1" applyAlignment="1">
      <alignment horizontal="center" vertical="center"/>
    </xf>
    <xf numFmtId="0" fontId="8" fillId="0" borderId="17" xfId="0" applyFont="1" applyBorder="1" applyAlignment="1">
      <alignment horizontal="center" vertical="top"/>
    </xf>
    <xf numFmtId="1" fontId="7" fillId="5" borderId="17" xfId="0" applyNumberFormat="1" applyFont="1" applyFill="1" applyBorder="1" applyAlignment="1">
      <alignment horizontal="center" vertical="top" wrapText="1"/>
    </xf>
    <xf numFmtId="0" fontId="7" fillId="5" borderId="17" xfId="0" applyFont="1" applyFill="1" applyBorder="1" applyAlignment="1">
      <alignment horizontal="center" vertical="top" wrapText="1"/>
    </xf>
    <xf numFmtId="0" fontId="7" fillId="0" borderId="1" xfId="0" applyFont="1" applyBorder="1" applyAlignment="1">
      <alignment horizontal="justify" vertical="center"/>
    </xf>
    <xf numFmtId="3" fontId="7" fillId="5"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vertical="center"/>
    </xf>
    <xf numFmtId="1" fontId="7" fillId="5" borderId="1" xfId="0" applyNumberFormat="1" applyFont="1" applyFill="1" applyBorder="1" applyAlignment="1">
      <alignment horizontal="center" vertical="center"/>
    </xf>
    <xf numFmtId="177" fontId="7" fillId="5" borderId="1" xfId="0" applyNumberFormat="1" applyFont="1" applyFill="1" applyBorder="1" applyAlignment="1">
      <alignment vertical="center"/>
    </xf>
    <xf numFmtId="1" fontId="7" fillId="5" borderId="12" xfId="0" applyNumberFormat="1" applyFont="1" applyFill="1" applyBorder="1"/>
    <xf numFmtId="1" fontId="6" fillId="0" borderId="3" xfId="0" applyNumberFormat="1" applyFont="1" applyBorder="1" applyAlignment="1">
      <alignment vertical="center"/>
    </xf>
    <xf numFmtId="0" fontId="6" fillId="5" borderId="4" xfId="0" applyFont="1" applyFill="1" applyBorder="1" applyAlignment="1">
      <alignment horizontal="justify" vertical="center"/>
    </xf>
    <xf numFmtId="0" fontId="6" fillId="5" borderId="4" xfId="0" applyFont="1" applyFill="1" applyBorder="1" applyAlignment="1">
      <alignment vertical="center"/>
    </xf>
    <xf numFmtId="0" fontId="6" fillId="5" borderId="4" xfId="0" applyFont="1" applyFill="1" applyBorder="1" applyAlignment="1">
      <alignment horizontal="center" vertical="center"/>
    </xf>
    <xf numFmtId="9" fontId="6" fillId="5" borderId="5" xfId="5" applyFont="1" applyFill="1" applyBorder="1" applyAlignment="1">
      <alignment horizontal="center" vertical="center"/>
    </xf>
    <xf numFmtId="176" fontId="6" fillId="5" borderId="3" xfId="0" applyNumberFormat="1" applyFont="1" applyFill="1" applyBorder="1" applyAlignment="1">
      <alignment horizontal="right" vertical="center"/>
    </xf>
    <xf numFmtId="0" fontId="6" fillId="5" borderId="3" xfId="0" applyFont="1" applyFill="1" applyBorder="1" applyAlignment="1">
      <alignment horizontal="justify" vertical="center"/>
    </xf>
    <xf numFmtId="0" fontId="6" fillId="5" borderId="5" xfId="0" applyFont="1" applyFill="1" applyBorder="1" applyAlignment="1">
      <alignment horizontal="justify" vertical="center"/>
    </xf>
    <xf numFmtId="176" fontId="6" fillId="5" borderId="1" xfId="0" applyNumberFormat="1" applyFont="1" applyFill="1" applyBorder="1" applyAlignment="1">
      <alignment horizontal="right" vertical="center"/>
    </xf>
    <xf numFmtId="1" fontId="6" fillId="5" borderId="3" xfId="0" applyNumberFormat="1" applyFont="1" applyFill="1" applyBorder="1" applyAlignment="1">
      <alignment horizontal="center" vertical="center"/>
    </xf>
    <xf numFmtId="177" fontId="6" fillId="0" borderId="4" xfId="0" applyNumberFormat="1" applyFont="1" applyFill="1" applyBorder="1" applyAlignment="1">
      <alignment horizontal="right" vertical="center"/>
    </xf>
    <xf numFmtId="177" fontId="6" fillId="0" borderId="4" xfId="0" applyNumberFormat="1" applyFont="1" applyBorder="1" applyAlignment="1">
      <alignment horizontal="center" vertical="center"/>
    </xf>
    <xf numFmtId="0" fontId="6" fillId="0" borderId="5" xfId="0" applyFont="1" applyBorder="1" applyAlignment="1">
      <alignment horizontal="justify" vertical="center"/>
    </xf>
    <xf numFmtId="0" fontId="7" fillId="5" borderId="0" xfId="0" applyFont="1" applyFill="1" applyAlignment="1">
      <alignment horizontal="center"/>
    </xf>
    <xf numFmtId="9" fontId="7" fillId="5" borderId="0" xfId="5" applyFont="1" applyFill="1" applyAlignment="1">
      <alignment horizontal="center" vertical="center"/>
    </xf>
    <xf numFmtId="176" fontId="7" fillId="5" borderId="0" xfId="0" applyNumberFormat="1" applyFont="1" applyFill="1" applyAlignment="1">
      <alignment horizontal="right" vertical="center"/>
    </xf>
    <xf numFmtId="0" fontId="7" fillId="5" borderId="0" xfId="0" applyFont="1" applyFill="1" applyBorder="1" applyAlignment="1">
      <alignment horizontal="right" vertical="center"/>
    </xf>
    <xf numFmtId="43" fontId="7" fillId="0" borderId="0" xfId="6" applyFont="1" applyFill="1" applyBorder="1" applyAlignment="1">
      <alignment horizontal="right"/>
    </xf>
    <xf numFmtId="1" fontId="7" fillId="5" borderId="0" xfId="0" applyNumberFormat="1" applyFont="1" applyFill="1" applyBorder="1" applyAlignment="1">
      <alignment horizontal="center" vertical="center"/>
    </xf>
    <xf numFmtId="177" fontId="7" fillId="0" borderId="0" xfId="0" applyNumberFormat="1" applyFont="1" applyFill="1" applyAlignment="1">
      <alignment horizontal="right" vertical="center"/>
    </xf>
    <xf numFmtId="177" fontId="7" fillId="0" borderId="0" xfId="0" applyNumberFormat="1" applyFont="1" applyAlignment="1">
      <alignment horizontal="center"/>
    </xf>
    <xf numFmtId="175" fontId="7" fillId="5" borderId="0" xfId="0" applyNumberFormat="1" applyFont="1" applyFill="1" applyAlignment="1">
      <alignment horizontal="right" vertical="center"/>
    </xf>
    <xf numFmtId="1" fontId="7" fillId="5" borderId="0" xfId="0" applyNumberFormat="1" applyFont="1" applyFill="1" applyAlignment="1">
      <alignment horizontal="center" vertical="center"/>
    </xf>
    <xf numFmtId="9" fontId="7" fillId="5" borderId="0" xfId="5" applyFont="1" applyFill="1" applyAlignment="1">
      <alignment horizontal="justify" vertical="center"/>
    </xf>
    <xf numFmtId="180" fontId="7" fillId="5" borderId="0" xfId="0" applyNumberFormat="1" applyFont="1" applyFill="1" applyAlignment="1">
      <alignment horizontal="right" vertical="center"/>
    </xf>
    <xf numFmtId="176" fontId="7" fillId="5" borderId="0" xfId="0" applyNumberFormat="1" applyFont="1" applyFill="1" applyAlignment="1">
      <alignment vertical="center"/>
    </xf>
    <xf numFmtId="171" fontId="7" fillId="0" borderId="0" xfId="11" applyNumberFormat="1" applyFont="1"/>
    <xf numFmtId="1" fontId="6" fillId="6" borderId="6" xfId="0" applyNumberFormat="1" applyFont="1" applyFill="1" applyBorder="1" applyAlignment="1">
      <alignment horizontal="left" vertical="center" wrapText="1"/>
    </xf>
    <xf numFmtId="1" fontId="6" fillId="6" borderId="4" xfId="0" applyNumberFormat="1" applyFont="1" applyFill="1" applyBorder="1" applyAlignment="1">
      <alignment vertical="center"/>
    </xf>
    <xf numFmtId="43" fontId="7" fillId="6" borderId="4" xfId="7" applyNumberFormat="1" applyFont="1" applyFill="1" applyBorder="1" applyAlignment="1">
      <alignment vertical="center"/>
    </xf>
    <xf numFmtId="43" fontId="6" fillId="6" borderId="4" xfId="7" applyNumberFormat="1" applyFont="1" applyFill="1" applyBorder="1" applyAlignment="1">
      <alignment horizontal="justify" vertical="center"/>
    </xf>
    <xf numFmtId="0" fontId="7" fillId="6" borderId="4" xfId="0" applyFont="1" applyFill="1" applyBorder="1" applyAlignment="1">
      <alignment vertical="center"/>
    </xf>
    <xf numFmtId="175" fontId="7" fillId="6" borderId="4" xfId="4" applyNumberFormat="1" applyFont="1" applyFill="1" applyBorder="1" applyAlignment="1">
      <alignment horizontal="justify" vertical="center"/>
    </xf>
    <xf numFmtId="0" fontId="7" fillId="6" borderId="5" xfId="0" applyFont="1" applyFill="1" applyBorder="1" applyAlignment="1">
      <alignment vertical="center"/>
    </xf>
    <xf numFmtId="0" fontId="7" fillId="0" borderId="0" xfId="0" applyFont="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6" fillId="8" borderId="9" xfId="0" applyFont="1" applyFill="1" applyBorder="1" applyAlignment="1">
      <alignment horizontal="left" vertical="center"/>
    </xf>
    <xf numFmtId="0" fontId="6" fillId="8" borderId="9" xfId="0" applyFont="1" applyFill="1" applyBorder="1" applyAlignment="1">
      <alignment vertical="center"/>
    </xf>
    <xf numFmtId="0" fontId="7" fillId="8" borderId="4" xfId="0" applyFont="1" applyFill="1" applyBorder="1" applyAlignment="1">
      <alignment vertical="center"/>
    </xf>
    <xf numFmtId="0" fontId="7" fillId="8" borderId="4" xfId="0" applyFont="1" applyFill="1" applyBorder="1" applyAlignment="1">
      <alignment horizontal="left" vertical="center"/>
    </xf>
    <xf numFmtId="0" fontId="7" fillId="8" borderId="4" xfId="0" applyFont="1" applyFill="1" applyBorder="1" applyAlignment="1">
      <alignment horizontal="center" vertical="center"/>
    </xf>
    <xf numFmtId="1" fontId="7" fillId="8" borderId="4" xfId="0" applyNumberFormat="1" applyFont="1" applyFill="1" applyBorder="1" applyAlignment="1">
      <alignment vertical="center"/>
    </xf>
    <xf numFmtId="43" fontId="7" fillId="8" borderId="4" xfId="7" applyNumberFormat="1" applyFont="1" applyFill="1" applyBorder="1" applyAlignment="1">
      <alignment vertical="center"/>
    </xf>
    <xf numFmtId="1" fontId="7" fillId="8" borderId="4" xfId="0" applyNumberFormat="1" applyFont="1" applyFill="1" applyBorder="1" applyAlignment="1">
      <alignment horizontal="center" vertical="center"/>
    </xf>
    <xf numFmtId="0" fontId="7" fillId="8" borderId="5"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7" fillId="9" borderId="4" xfId="0" applyFont="1" applyFill="1" applyBorder="1" applyAlignment="1">
      <alignment horizontal="left" vertical="center"/>
    </xf>
    <xf numFmtId="0" fontId="7" fillId="9" borderId="4" xfId="0" applyFont="1" applyFill="1" applyBorder="1" applyAlignment="1">
      <alignment horizontal="center" vertical="center"/>
    </xf>
    <xf numFmtId="0" fontId="7" fillId="9" borderId="4" xfId="0" applyFont="1" applyFill="1" applyBorder="1" applyAlignment="1">
      <alignment vertical="center"/>
    </xf>
    <xf numFmtId="1" fontId="7" fillId="9" borderId="4" xfId="0" applyNumberFormat="1" applyFont="1" applyFill="1" applyBorder="1" applyAlignment="1">
      <alignment vertical="center"/>
    </xf>
    <xf numFmtId="43" fontId="7" fillId="9" borderId="4" xfId="7" applyNumberFormat="1" applyFont="1" applyFill="1" applyBorder="1" applyAlignment="1">
      <alignment vertical="center"/>
    </xf>
    <xf numFmtId="1" fontId="7" fillId="9" borderId="4" xfId="0" applyNumberFormat="1" applyFont="1" applyFill="1" applyBorder="1" applyAlignment="1">
      <alignment horizontal="center" vertical="center"/>
    </xf>
    <xf numFmtId="0" fontId="7" fillId="9" borderId="5" xfId="0" applyFont="1" applyFill="1" applyBorder="1" applyAlignment="1">
      <alignment vertical="center"/>
    </xf>
    <xf numFmtId="0" fontId="7" fillId="0" borderId="7" xfId="0" applyFont="1" applyBorder="1"/>
    <xf numFmtId="0" fontId="7" fillId="5" borderId="1" xfId="0" applyFont="1" applyFill="1" applyBorder="1" applyAlignment="1">
      <alignment horizontal="justify" vertical="center" wrapText="1" readingOrder="2"/>
    </xf>
    <xf numFmtId="43" fontId="7" fillId="0" borderId="8" xfId="7" applyNumberFormat="1" applyFont="1" applyFill="1" applyBorder="1" applyAlignment="1">
      <alignment vertical="center" wrapText="1"/>
    </xf>
    <xf numFmtId="0" fontId="7" fillId="5" borderId="8" xfId="0" applyFont="1" applyFill="1" applyBorder="1" applyAlignment="1">
      <alignment horizontal="justify" vertical="center" wrapText="1" readingOrder="2"/>
    </xf>
    <xf numFmtId="43" fontId="7" fillId="0" borderId="1" xfId="7" applyNumberFormat="1" applyFont="1" applyFill="1" applyBorder="1" applyAlignment="1">
      <alignment vertical="center" wrapText="1"/>
    </xf>
    <xf numFmtId="1" fontId="7" fillId="0" borderId="14" xfId="6" applyNumberFormat="1" applyFont="1" applyFill="1" applyBorder="1" applyAlignment="1">
      <alignment horizontal="center" vertical="center" wrapText="1"/>
    </xf>
    <xf numFmtId="170" fontId="7" fillId="0" borderId="8" xfId="0" applyNumberFormat="1" applyFont="1" applyFill="1" applyBorder="1" applyAlignment="1">
      <alignment vertical="center" wrapText="1"/>
    </xf>
    <xf numFmtId="3" fontId="7" fillId="0" borderId="14" xfId="0" applyNumberFormat="1" applyFont="1" applyFill="1" applyBorder="1" applyAlignment="1">
      <alignment horizontal="left" vertical="center" wrapText="1"/>
    </xf>
    <xf numFmtId="0" fontId="7" fillId="0" borderId="1" xfId="0" applyFont="1" applyBorder="1" applyAlignment="1">
      <alignment vertical="center" wrapText="1"/>
    </xf>
    <xf numFmtId="170" fontId="7" fillId="0" borderId="1" xfId="0" applyNumberFormat="1" applyFont="1" applyFill="1" applyBorder="1" applyAlignment="1">
      <alignment vertical="center" wrapText="1"/>
    </xf>
    <xf numFmtId="0" fontId="7" fillId="0" borderId="16" xfId="0" applyFont="1" applyFill="1" applyBorder="1"/>
    <xf numFmtId="43" fontId="7" fillId="0" borderId="5" xfId="7" applyNumberFormat="1" applyFont="1" applyFill="1" applyBorder="1" applyAlignment="1">
      <alignment vertical="center"/>
    </xf>
    <xf numFmtId="0" fontId="7" fillId="0" borderId="8" xfId="0" applyFont="1" applyFill="1" applyBorder="1" applyAlignment="1">
      <alignment vertical="center" wrapText="1"/>
    </xf>
    <xf numFmtId="43" fontId="7" fillId="5" borderId="5" xfId="7" applyNumberFormat="1" applyFont="1" applyFill="1" applyBorder="1" applyAlignment="1">
      <alignment vertical="center"/>
    </xf>
    <xf numFmtId="14" fontId="7" fillId="5" borderId="1" xfId="0" applyNumberFormat="1" applyFont="1" applyFill="1" applyBorder="1" applyAlignment="1">
      <alignment horizontal="center" vertical="center"/>
    </xf>
    <xf numFmtId="43" fontId="7" fillId="0" borderId="5" xfId="7" applyNumberFormat="1" applyFont="1" applyFill="1" applyBorder="1" applyAlignment="1">
      <alignment horizontal="center" vertical="center"/>
    </xf>
    <xf numFmtId="43" fontId="7" fillId="0" borderId="1" xfId="7" applyNumberFormat="1" applyFont="1" applyFill="1" applyBorder="1" applyAlignment="1">
      <alignment horizontal="right" vertical="center" wrapText="1"/>
    </xf>
    <xf numFmtId="1" fontId="7" fillId="0" borderId="1" xfId="6" applyNumberFormat="1" applyFont="1" applyFill="1" applyBorder="1" applyAlignment="1">
      <alignment horizontal="center" vertical="center" wrapText="1"/>
    </xf>
    <xf numFmtId="0" fontId="7" fillId="0" borderId="1" xfId="0" applyFont="1" applyBorder="1"/>
    <xf numFmtId="3" fontId="7" fillId="0" borderId="1" xfId="0" applyNumberFormat="1" applyFont="1" applyFill="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wrapText="1"/>
    </xf>
    <xf numFmtId="0" fontId="7" fillId="0" borderId="8" xfId="0" applyFont="1" applyFill="1" applyBorder="1" applyAlignment="1">
      <alignment horizontal="left" vertical="center" wrapText="1"/>
    </xf>
    <xf numFmtId="1" fontId="7" fillId="0" borderId="8" xfId="0" applyNumberFormat="1" applyFont="1" applyFill="1" applyBorder="1" applyAlignment="1">
      <alignment horizontal="center" vertical="center" wrapText="1"/>
    </xf>
    <xf numFmtId="9" fontId="7" fillId="0" borderId="8" xfId="5"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1" fontId="7" fillId="0" borderId="8" xfId="0" applyNumberFormat="1" applyFont="1" applyBorder="1" applyAlignment="1">
      <alignment horizontal="center" vertical="center"/>
    </xf>
    <xf numFmtId="0" fontId="7" fillId="0" borderId="8" xfId="0" applyFont="1" applyBorder="1"/>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1" fontId="7" fillId="0" borderId="4" xfId="0" applyNumberFormat="1" applyFont="1" applyBorder="1" applyAlignment="1">
      <alignment vertical="center"/>
    </xf>
    <xf numFmtId="43" fontId="6" fillId="5" borderId="4" xfId="7" applyNumberFormat="1" applyFont="1" applyFill="1" applyBorder="1" applyAlignment="1">
      <alignment vertical="center"/>
    </xf>
    <xf numFmtId="0" fontId="7" fillId="0" borderId="5" xfId="0" applyFont="1" applyBorder="1" applyAlignment="1">
      <alignment vertical="center"/>
    </xf>
    <xf numFmtId="43" fontId="6" fillId="5" borderId="5" xfId="7" applyNumberFormat="1" applyFont="1" applyFill="1" applyBorder="1" applyAlignment="1">
      <alignment horizontal="right" vertical="center"/>
    </xf>
    <xf numFmtId="1" fontId="7" fillId="0" borderId="3" xfId="0" applyNumberFormat="1"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xf>
    <xf numFmtId="1" fontId="7" fillId="0" borderId="0" xfId="0" applyNumberFormat="1" applyFont="1" applyBorder="1"/>
    <xf numFmtId="43" fontId="6" fillId="5" borderId="0" xfId="7" applyNumberFormat="1" applyFont="1" applyFill="1" applyBorder="1" applyAlignment="1">
      <alignment vertical="center"/>
    </xf>
    <xf numFmtId="43" fontId="6" fillId="5" borderId="0" xfId="7" applyNumberFormat="1" applyFont="1" applyFill="1" applyBorder="1" applyAlignment="1">
      <alignment horizontal="right" vertical="center"/>
    </xf>
    <xf numFmtId="1" fontId="7" fillId="0" borderId="0" xfId="0" applyNumberFormat="1" applyFont="1" applyBorder="1" applyAlignment="1">
      <alignment horizontal="center" vertical="center"/>
    </xf>
    <xf numFmtId="43" fontId="7" fillId="0" borderId="0" xfId="7" applyNumberFormat="1" applyFont="1" applyBorder="1"/>
    <xf numFmtId="12" fontId="7" fillId="0" borderId="0" xfId="8" applyNumberFormat="1" applyFont="1" applyBorder="1"/>
    <xf numFmtId="43" fontId="7" fillId="0" borderId="0" xfId="7" applyNumberFormat="1" applyFont="1" applyBorder="1" applyAlignment="1">
      <alignment horizontal="center"/>
    </xf>
    <xf numFmtId="0" fontId="7" fillId="0" borderId="0" xfId="0" applyFont="1" applyAlignment="1">
      <alignment horizontal="left" vertical="center"/>
    </xf>
    <xf numFmtId="43" fontId="7" fillId="0" borderId="0" xfId="7" applyNumberFormat="1" applyFont="1" applyAlignment="1">
      <alignment horizontal="center"/>
    </xf>
    <xf numFmtId="1" fontId="7" fillId="0" borderId="0" xfId="0" applyNumberFormat="1" applyFont="1" applyAlignment="1">
      <alignment horizontal="center" vertical="center"/>
    </xf>
    <xf numFmtId="0" fontId="6" fillId="5" borderId="1" xfId="0" applyFont="1" applyFill="1" applyBorder="1"/>
    <xf numFmtId="0" fontId="6" fillId="5" borderId="1" xfId="0" applyFont="1" applyFill="1" applyBorder="1" applyAlignment="1">
      <alignment horizontal="left"/>
    </xf>
    <xf numFmtId="0" fontId="7" fillId="5" borderId="0" xfId="0" applyFont="1" applyFill="1" applyAlignment="1">
      <alignment wrapText="1"/>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7" fillId="5" borderId="0" xfId="0" applyFont="1" applyFill="1" applyAlignment="1">
      <alignment vertical="center"/>
    </xf>
    <xf numFmtId="0" fontId="7" fillId="5" borderId="1" xfId="0" applyFont="1" applyFill="1" applyBorder="1" applyAlignment="1">
      <alignment vertical="center"/>
    </xf>
    <xf numFmtId="167" fontId="7" fillId="5" borderId="1" xfId="11" applyFont="1" applyFill="1" applyBorder="1" applyAlignment="1">
      <alignment horizontal="center" vertical="center"/>
    </xf>
    <xf numFmtId="0" fontId="7" fillId="5" borderId="1" xfId="0" applyFont="1" applyFill="1" applyBorder="1" applyAlignment="1">
      <alignment horizontal="left" vertical="center" wrapText="1"/>
    </xf>
    <xf numFmtId="167" fontId="7" fillId="5" borderId="1" xfId="11" applyFont="1" applyFill="1" applyBorder="1" applyAlignment="1">
      <alignment vertical="center"/>
    </xf>
    <xf numFmtId="44" fontId="7" fillId="5" borderId="1" xfId="11" applyNumberFormat="1" applyFont="1" applyFill="1" applyBorder="1" applyAlignment="1">
      <alignment horizontal="center" vertical="center"/>
    </xf>
    <xf numFmtId="167" fontId="7" fillId="5" borderId="17" xfId="11" applyFont="1" applyFill="1" applyBorder="1" applyAlignment="1">
      <alignment vertical="center"/>
    </xf>
    <xf numFmtId="0" fontId="7" fillId="5" borderId="14" xfId="0" applyFont="1" applyFill="1" applyBorder="1" applyAlignment="1">
      <alignment vertical="center"/>
    </xf>
    <xf numFmtId="0" fontId="7" fillId="5" borderId="17" xfId="0" applyFont="1" applyFill="1" applyBorder="1" applyAlignment="1">
      <alignment vertical="center"/>
    </xf>
    <xf numFmtId="0" fontId="7" fillId="5" borderId="8" xfId="0" applyFont="1" applyFill="1" applyBorder="1" applyAlignment="1">
      <alignment vertical="center"/>
    </xf>
    <xf numFmtId="0" fontId="6" fillId="5" borderId="8" xfId="0" applyFont="1" applyFill="1" applyBorder="1" applyAlignment="1">
      <alignment vertical="center" textRotation="90"/>
    </xf>
    <xf numFmtId="0" fontId="6" fillId="5" borderId="14" xfId="0" applyFont="1" applyFill="1" applyBorder="1" applyAlignment="1">
      <alignment vertical="center" textRotation="90"/>
    </xf>
    <xf numFmtId="0" fontId="7" fillId="5" borderId="6" xfId="0" applyFont="1" applyFill="1" applyBorder="1" applyAlignment="1">
      <alignment vertical="center" textRotation="90"/>
    </xf>
    <xf numFmtId="0" fontId="7" fillId="5" borderId="7" xfId="0" applyFont="1" applyFill="1" applyBorder="1" applyAlignment="1">
      <alignment vertical="center" textRotation="90"/>
    </xf>
    <xf numFmtId="0" fontId="7" fillId="5" borderId="15" xfId="0" applyFont="1" applyFill="1" applyBorder="1" applyAlignment="1">
      <alignment vertical="center" textRotation="90"/>
    </xf>
    <xf numFmtId="0" fontId="7" fillId="5" borderId="16" xfId="0" applyFont="1" applyFill="1" applyBorder="1" applyAlignment="1">
      <alignment vertical="center" textRotation="90"/>
    </xf>
    <xf numFmtId="12" fontId="7" fillId="5" borderId="1" xfId="8" applyNumberFormat="1" applyFont="1" applyFill="1" applyBorder="1" applyAlignment="1">
      <alignment vertical="center"/>
    </xf>
    <xf numFmtId="12" fontId="7" fillId="5" borderId="1" xfId="8" applyNumberFormat="1" applyFont="1" applyFill="1" applyBorder="1" applyAlignment="1">
      <alignment horizontal="center" vertical="center" wrapText="1"/>
    </xf>
    <xf numFmtId="12" fontId="7" fillId="5" borderId="1" xfId="8" applyNumberFormat="1"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wrapText="1"/>
    </xf>
    <xf numFmtId="3" fontId="6" fillId="5" borderId="1" xfId="0" applyNumberFormat="1" applyFont="1" applyFill="1" applyBorder="1" applyAlignment="1">
      <alignment horizontal="center" vertical="center"/>
    </xf>
    <xf numFmtId="0" fontId="6" fillId="5" borderId="17" xfId="0" applyFont="1" applyFill="1" applyBorder="1" applyAlignment="1">
      <alignment vertical="center" textRotation="90"/>
    </xf>
    <xf numFmtId="0" fontId="7" fillId="5" borderId="12" xfId="0" applyFont="1" applyFill="1" applyBorder="1" applyAlignment="1">
      <alignment vertical="center" textRotation="90"/>
    </xf>
    <xf numFmtId="0" fontId="7" fillId="5" borderId="13" xfId="0" applyFont="1" applyFill="1" applyBorder="1" applyAlignment="1">
      <alignment vertical="center" textRotation="90"/>
    </xf>
    <xf numFmtId="0" fontId="6" fillId="5" borderId="4" xfId="0" applyFont="1" applyFill="1" applyBorder="1"/>
    <xf numFmtId="0" fontId="6" fillId="5" borderId="4" xfId="0" applyFont="1" applyFill="1" applyBorder="1" applyAlignment="1">
      <alignment vertical="center" wrapText="1"/>
    </xf>
    <xf numFmtId="166" fontId="6" fillId="5" borderId="4" xfId="0" applyNumberFormat="1" applyFont="1" applyFill="1" applyBorder="1" applyAlignment="1">
      <alignment horizontal="center" vertical="center"/>
    </xf>
    <xf numFmtId="0" fontId="6" fillId="5" borderId="5" xfId="0" applyFont="1" applyFill="1" applyBorder="1" applyAlignment="1">
      <alignment horizontal="right" vertical="center"/>
    </xf>
    <xf numFmtId="167" fontId="6" fillId="5" borderId="1" xfId="11" applyFont="1" applyFill="1" applyBorder="1" applyAlignment="1">
      <alignment horizontal="center" vertic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xf numFmtId="0" fontId="6" fillId="5" borderId="0" xfId="0" applyFont="1" applyFill="1"/>
    <xf numFmtId="0" fontId="6" fillId="5" borderId="0" xfId="0" applyFont="1" applyFill="1" applyAlignment="1">
      <alignment horizontal="center" vertical="center"/>
    </xf>
    <xf numFmtId="0" fontId="7" fillId="5" borderId="0" xfId="0" applyFont="1" applyFill="1" applyBorder="1" applyAlignment="1">
      <alignment horizontal="center" vertical="center"/>
    </xf>
    <xf numFmtId="166" fontId="7" fillId="5" borderId="0" xfId="0" applyNumberFormat="1" applyFont="1" applyFill="1" applyBorder="1" applyAlignment="1">
      <alignment horizontal="center" vertical="center"/>
    </xf>
    <xf numFmtId="167" fontId="7" fillId="5" borderId="0" xfId="11" applyFont="1" applyFill="1" applyAlignment="1">
      <alignment horizontal="center" vertical="center"/>
    </xf>
    <xf numFmtId="167" fontId="7" fillId="5" borderId="0" xfId="11" applyFont="1" applyFill="1" applyAlignment="1">
      <alignment horizontal="center"/>
    </xf>
    <xf numFmtId="0" fontId="6" fillId="5" borderId="4" xfId="0" applyFont="1" applyFill="1" applyBorder="1" applyAlignment="1">
      <alignment horizontal="justify"/>
    </xf>
    <xf numFmtId="0" fontId="6" fillId="5" borderId="4"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1" xfId="0" applyFont="1" applyFill="1" applyBorder="1" applyAlignment="1">
      <alignment horizontal="justify" wrapText="1"/>
    </xf>
    <xf numFmtId="0" fontId="6" fillId="6" borderId="5" xfId="0" applyFont="1" applyFill="1" applyBorder="1" applyAlignment="1">
      <alignment horizontal="left" vertical="center"/>
    </xf>
    <xf numFmtId="0" fontId="6" fillId="6" borderId="9"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4" xfId="0" applyFont="1" applyFill="1" applyBorder="1" applyAlignment="1">
      <alignment horizontal="center" vertical="center" wrapText="1"/>
    </xf>
    <xf numFmtId="170" fontId="6" fillId="6" borderId="4" xfId="0" applyNumberFormat="1" applyFont="1" applyFill="1" applyBorder="1" applyAlignment="1">
      <alignment horizontal="center" vertical="center" wrapText="1"/>
    </xf>
    <xf numFmtId="3" fontId="6" fillId="6" borderId="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left" vertical="center"/>
    </xf>
    <xf numFmtId="0" fontId="6" fillId="7" borderId="4" xfId="0" applyFont="1" applyFill="1" applyBorder="1" applyAlignment="1">
      <alignment horizontal="center" vertical="center" wrapText="1"/>
    </xf>
    <xf numFmtId="170" fontId="6" fillId="7" borderId="4" xfId="0" applyNumberFormat="1" applyFont="1" applyFill="1" applyBorder="1" applyAlignment="1">
      <alignment horizontal="center" vertical="center" wrapText="1"/>
    </xf>
    <xf numFmtId="3" fontId="6" fillId="7" borderId="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7" fillId="0" borderId="1" xfId="0" applyFont="1" applyBorder="1" applyAlignment="1">
      <alignment horizontal="justify" wrapText="1"/>
    </xf>
    <xf numFmtId="9"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172" fontId="7" fillId="0" borderId="1" xfId="1" applyNumberFormat="1" applyFont="1" applyFill="1" applyBorder="1" applyAlignment="1">
      <alignment horizontal="center" vertical="center"/>
    </xf>
    <xf numFmtId="172" fontId="7" fillId="0" borderId="1" xfId="0" applyNumberFormat="1" applyFont="1" applyBorder="1" applyAlignment="1">
      <alignment horizontal="center" vertical="center"/>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xf numFmtId="0" fontId="7" fillId="0" borderId="15" xfId="0" applyFont="1" applyBorder="1" applyAlignment="1"/>
    <xf numFmtId="0" fontId="7" fillId="0" borderId="16" xfId="0" applyFont="1" applyBorder="1" applyAlignment="1"/>
    <xf numFmtId="0" fontId="7" fillId="0" borderId="0" xfId="0" applyFont="1" applyBorder="1" applyAlignment="1"/>
    <xf numFmtId="0" fontId="7" fillId="0" borderId="4" xfId="0" applyFont="1" applyBorder="1" applyAlignment="1"/>
    <xf numFmtId="0" fontId="7" fillId="0" borderId="5" xfId="0" applyFont="1" applyBorder="1" applyAlignment="1"/>
    <xf numFmtId="0" fontId="7" fillId="0" borderId="15" xfId="0" applyFont="1" applyBorder="1" applyAlignment="1">
      <alignment horizontal="center"/>
    </xf>
    <xf numFmtId="0" fontId="7" fillId="0" borderId="16" xfId="0" applyFont="1" applyBorder="1" applyAlignment="1">
      <alignment horizontal="center"/>
    </xf>
    <xf numFmtId="0" fontId="7" fillId="0" borderId="4" xfId="0" applyFont="1" applyBorder="1" applyAlignment="1">
      <alignment horizontal="center"/>
    </xf>
    <xf numFmtId="0" fontId="7" fillId="5" borderId="17" xfId="0" applyFont="1" applyFill="1" applyBorder="1" applyAlignment="1">
      <alignment horizontal="left"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center"/>
    </xf>
    <xf numFmtId="0" fontId="7" fillId="0" borderId="5" xfId="0" applyFont="1" applyBorder="1" applyAlignment="1">
      <alignment horizontal="center" vertical="center"/>
    </xf>
    <xf numFmtId="0" fontId="6" fillId="0" borderId="3" xfId="0" applyFont="1" applyBorder="1" applyAlignment="1">
      <alignment horizontal="center" vertical="center"/>
    </xf>
    <xf numFmtId="172" fontId="6" fillId="0" borderId="1" xfId="0" applyNumberFormat="1" applyFont="1" applyBorder="1" applyAlignment="1">
      <alignment vertical="center"/>
    </xf>
    <xf numFmtId="167" fontId="7" fillId="0" borderId="0" xfId="0" applyNumberFormat="1" applyFont="1"/>
    <xf numFmtId="0" fontId="7" fillId="0" borderId="0" xfId="0" applyFont="1" applyProtection="1">
      <protection locked="0"/>
    </xf>
    <xf numFmtId="0" fontId="6" fillId="0" borderId="15"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11" fillId="3" borderId="8" xfId="0" applyFont="1" applyFill="1" applyBorder="1" applyAlignment="1" applyProtection="1">
      <alignment horizontal="center" vertical="center" wrapText="1"/>
      <protection locked="0"/>
    </xf>
    <xf numFmtId="0" fontId="12" fillId="0" borderId="0" xfId="0" applyFont="1" applyProtection="1">
      <protection locked="0"/>
    </xf>
    <xf numFmtId="0" fontId="12" fillId="6" borderId="7"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12" fillId="5" borderId="0" xfId="0" applyFont="1" applyFill="1" applyProtection="1">
      <protection locked="0"/>
    </xf>
    <xf numFmtId="0" fontId="12" fillId="7" borderId="16" xfId="0" applyFont="1" applyFill="1" applyBorder="1" applyAlignment="1" applyProtection="1">
      <alignment horizontal="left"/>
      <protection locked="0"/>
    </xf>
    <xf numFmtId="0" fontId="12" fillId="7" borderId="13" xfId="0" applyFont="1" applyFill="1" applyBorder="1" applyAlignment="1" applyProtection="1">
      <alignment horizontal="left"/>
      <protection locked="0"/>
    </xf>
    <xf numFmtId="0" fontId="12" fillId="9" borderId="7" xfId="0" applyFont="1" applyFill="1" applyBorder="1" applyAlignment="1" applyProtection="1">
      <alignment horizontal="left"/>
      <protection locked="0"/>
    </xf>
    <xf numFmtId="0" fontId="12" fillId="9" borderId="13" xfId="0" applyFont="1" applyFill="1" applyBorder="1" applyAlignment="1" applyProtection="1">
      <alignment horizontal="left"/>
      <protection locked="0"/>
    </xf>
    <xf numFmtId="0" fontId="12" fillId="5" borderId="0" xfId="0" applyFont="1" applyFill="1" applyAlignment="1" applyProtection="1">
      <alignment horizontal="right"/>
      <protection locked="0"/>
    </xf>
    <xf numFmtId="0" fontId="12" fillId="0" borderId="0" xfId="0" applyFont="1" applyFill="1" applyProtection="1">
      <protection locked="0"/>
    </xf>
    <xf numFmtId="0" fontId="6" fillId="9" borderId="9" xfId="0" applyFont="1" applyFill="1" applyBorder="1" applyAlignment="1" applyProtection="1">
      <alignment vertical="center" wrapText="1"/>
      <protection locked="0"/>
    </xf>
    <xf numFmtId="0" fontId="6" fillId="9" borderId="9" xfId="0" applyFont="1" applyFill="1" applyBorder="1" applyAlignment="1" applyProtection="1">
      <alignment horizontal="right" vertical="center" wrapText="1"/>
      <protection locked="0"/>
    </xf>
    <xf numFmtId="0" fontId="6" fillId="9" borderId="9" xfId="0" applyFont="1" applyFill="1" applyBorder="1" applyAlignment="1" applyProtection="1">
      <alignment horizontal="justify" vertical="center" wrapText="1"/>
      <protection locked="0"/>
    </xf>
    <xf numFmtId="0" fontId="6" fillId="9" borderId="2" xfId="0" applyFont="1" applyFill="1" applyBorder="1" applyAlignment="1" applyProtection="1">
      <alignment vertical="center" wrapText="1"/>
      <protection locked="0"/>
    </xf>
    <xf numFmtId="0" fontId="6" fillId="9" borderId="2" xfId="0" applyFont="1" applyFill="1" applyBorder="1" applyAlignment="1" applyProtection="1">
      <alignment horizontal="right" vertical="center" wrapText="1"/>
      <protection locked="0"/>
    </xf>
    <xf numFmtId="0" fontId="6" fillId="9" borderId="2" xfId="0" applyFont="1" applyFill="1" applyBorder="1" applyAlignment="1" applyProtection="1">
      <alignment horizontal="justify" vertical="center" wrapText="1"/>
      <protection locked="0"/>
    </xf>
    <xf numFmtId="0" fontId="6" fillId="7" borderId="9" xfId="0" applyFont="1" applyFill="1" applyBorder="1" applyAlignment="1" applyProtection="1">
      <alignment vertical="center" wrapText="1"/>
      <protection locked="0"/>
    </xf>
    <xf numFmtId="0" fontId="6" fillId="7" borderId="9" xfId="0" applyFont="1" applyFill="1" applyBorder="1" applyAlignment="1" applyProtection="1">
      <alignment horizontal="right" vertical="center" wrapText="1"/>
      <protection locked="0"/>
    </xf>
    <xf numFmtId="0" fontId="6" fillId="7" borderId="9" xfId="0" applyFont="1" applyFill="1" applyBorder="1" applyAlignment="1" applyProtection="1">
      <alignment horizontal="justify" vertical="center" wrapText="1"/>
      <protection locked="0"/>
    </xf>
    <xf numFmtId="0" fontId="6" fillId="7" borderId="2" xfId="0" applyFont="1" applyFill="1" applyBorder="1" applyAlignment="1" applyProtection="1">
      <alignment vertical="center" wrapText="1"/>
      <protection locked="0"/>
    </xf>
    <xf numFmtId="0" fontId="6" fillId="7" borderId="2" xfId="0" applyFont="1" applyFill="1" applyBorder="1" applyAlignment="1" applyProtection="1">
      <alignment horizontal="right" vertical="center" wrapText="1"/>
      <protection locked="0"/>
    </xf>
    <xf numFmtId="0" fontId="6" fillId="7" borderId="2" xfId="0" applyFont="1" applyFill="1" applyBorder="1" applyAlignment="1" applyProtection="1">
      <alignment horizontal="justify" vertical="center" wrapText="1"/>
      <protection locked="0"/>
    </xf>
    <xf numFmtId="1" fontId="6" fillId="12" borderId="1" xfId="0" applyNumberFormat="1" applyFont="1" applyFill="1" applyBorder="1" applyAlignment="1" applyProtection="1">
      <alignment horizontal="center" vertical="center" wrapText="1"/>
      <protection locked="0"/>
    </xf>
    <xf numFmtId="0" fontId="6" fillId="12" borderId="4" xfId="0" applyFont="1" applyFill="1" applyBorder="1" applyAlignment="1" applyProtection="1">
      <alignment vertical="center" wrapText="1"/>
      <protection locked="0"/>
    </xf>
    <xf numFmtId="0" fontId="6" fillId="12" borderId="4" xfId="0" applyFont="1" applyFill="1" applyBorder="1" applyAlignment="1" applyProtection="1">
      <alignment horizontal="right" vertical="center" wrapText="1"/>
      <protection locked="0"/>
    </xf>
    <xf numFmtId="0" fontId="6" fillId="12" borderId="4" xfId="0" applyFont="1" applyFill="1" applyBorder="1" applyAlignment="1" applyProtection="1">
      <alignment horizontal="justify" vertical="center" wrapText="1"/>
      <protection locked="0"/>
    </xf>
    <xf numFmtId="0" fontId="6" fillId="12" borderId="1" xfId="0" applyFont="1" applyFill="1" applyBorder="1" applyAlignment="1" applyProtection="1">
      <alignment vertical="center" wrapText="1"/>
      <protection locked="0"/>
    </xf>
    <xf numFmtId="0" fontId="6" fillId="12" borderId="5" xfId="0" applyFont="1" applyFill="1" applyBorder="1" applyAlignment="1" applyProtection="1">
      <alignment vertical="center" wrapText="1"/>
      <protection locked="0"/>
    </xf>
    <xf numFmtId="0" fontId="12" fillId="0" borderId="0" xfId="0" applyFont="1" applyFill="1" applyBorder="1" applyProtection="1">
      <protection locked="0"/>
    </xf>
    <xf numFmtId="0" fontId="12" fillId="0" borderId="1" xfId="0" applyFont="1" applyFill="1" applyBorder="1" applyProtection="1">
      <protection locked="0"/>
    </xf>
    <xf numFmtId="0" fontId="12" fillId="0" borderId="3" xfId="0" applyFont="1" applyBorder="1" applyAlignment="1" applyProtection="1">
      <protection locked="0"/>
    </xf>
    <xf numFmtId="0" fontId="12" fillId="0" borderId="4" xfId="0" applyFont="1" applyBorder="1" applyAlignment="1" applyProtection="1">
      <protection locked="0"/>
    </xf>
    <xf numFmtId="174" fontId="6" fillId="5" borderId="1" xfId="0" applyNumberFormat="1" applyFont="1" applyFill="1" applyBorder="1" applyAlignment="1" applyProtection="1">
      <alignment horizontal="right" vertical="center"/>
      <protection locked="0"/>
    </xf>
    <xf numFmtId="0" fontId="12" fillId="5" borderId="3" xfId="0" applyFont="1" applyFill="1" applyBorder="1" applyAlignment="1" applyProtection="1">
      <alignment horizontal="justify" vertical="center" wrapText="1"/>
      <protection locked="0"/>
    </xf>
    <xf numFmtId="0" fontId="12" fillId="5" borderId="4" xfId="0" applyFont="1" applyFill="1" applyBorder="1" applyAlignment="1" applyProtection="1">
      <alignment horizontal="justify" vertical="center" wrapText="1"/>
      <protection locked="0"/>
    </xf>
    <xf numFmtId="0" fontId="12" fillId="5" borderId="5" xfId="0" applyFont="1" applyFill="1" applyBorder="1" applyAlignment="1" applyProtection="1">
      <alignment horizontal="justify" vertical="center"/>
      <protection locked="0"/>
    </xf>
    <xf numFmtId="0" fontId="12" fillId="5" borderId="3" xfId="0" applyFont="1" applyFill="1" applyBorder="1" applyAlignment="1" applyProtection="1">
      <alignment horizontal="justify" vertical="center"/>
      <protection locked="0"/>
    </xf>
    <xf numFmtId="0" fontId="12" fillId="0" borderId="4" xfId="0" applyFont="1" applyBorder="1" applyProtection="1">
      <protection locked="0"/>
    </xf>
    <xf numFmtId="170" fontId="12" fillId="0" borderId="4" xfId="0" applyNumberFormat="1" applyFont="1" applyBorder="1" applyAlignment="1" applyProtection="1">
      <alignment horizontal="center"/>
      <protection locked="0"/>
    </xf>
    <xf numFmtId="0" fontId="12" fillId="0" borderId="4" xfId="0" applyFont="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5" borderId="0" xfId="0" applyFont="1" applyFill="1" applyAlignment="1" applyProtection="1">
      <alignment horizontal="justify" vertical="center" wrapText="1"/>
      <protection locked="0"/>
    </xf>
    <xf numFmtId="0" fontId="12" fillId="5" borderId="0" xfId="0" applyFont="1" applyFill="1" applyAlignment="1" applyProtection="1">
      <alignment horizontal="center" vertical="center"/>
      <protection locked="0"/>
    </xf>
    <xf numFmtId="174" fontId="7" fillId="5" borderId="0" xfId="0" applyNumberFormat="1" applyFont="1" applyFill="1" applyBorder="1" applyAlignment="1" applyProtection="1">
      <alignment horizontal="right" vertical="center"/>
      <protection locked="0"/>
    </xf>
    <xf numFmtId="0" fontId="12" fillId="5" borderId="0" xfId="0" applyFont="1" applyFill="1" applyAlignment="1" applyProtection="1">
      <alignment horizontal="justify" vertical="center"/>
      <protection locked="0"/>
    </xf>
    <xf numFmtId="0" fontId="12" fillId="5" borderId="0" xfId="0" applyFont="1" applyFill="1" applyAlignment="1" applyProtection="1">
      <alignment horizontal="right" vertical="center"/>
      <protection locked="0"/>
    </xf>
    <xf numFmtId="170" fontId="12" fillId="0" borderId="0" xfId="0" applyNumberFormat="1"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Font="1" applyFill="1" applyAlignment="1" applyProtection="1">
      <alignment horizontal="left"/>
      <protection locked="0"/>
    </xf>
    <xf numFmtId="169" fontId="7" fillId="0" borderId="0" xfId="2" applyFont="1" applyFill="1" applyProtection="1">
      <protection locked="0"/>
    </xf>
    <xf numFmtId="169" fontId="6" fillId="0" borderId="0" xfId="2" applyFont="1" applyFill="1" applyAlignment="1" applyProtection="1">
      <protection locked="0"/>
    </xf>
    <xf numFmtId="0" fontId="7" fillId="0" borderId="0" xfId="2" applyNumberFormat="1" applyFont="1" applyFill="1" applyProtection="1">
      <protection locked="0"/>
    </xf>
    <xf numFmtId="169" fontId="7" fillId="0" borderId="0" xfId="2" applyFont="1" applyFill="1" applyAlignment="1" applyProtection="1">
      <protection locked="0"/>
    </xf>
    <xf numFmtId="169" fontId="7" fillId="0" borderId="0" xfId="2" applyFont="1" applyFill="1" applyAlignment="1" applyProtection="1">
      <alignment horizontal="right" vertical="center"/>
      <protection locked="0"/>
    </xf>
    <xf numFmtId="176" fontId="7" fillId="0" borderId="0" xfId="2" applyNumberFormat="1" applyFont="1" applyFill="1" applyBorder="1" applyAlignment="1" applyProtection="1">
      <alignment vertical="center"/>
      <protection locked="0"/>
    </xf>
    <xf numFmtId="175" fontId="7" fillId="0" borderId="0" xfId="2" applyNumberFormat="1" applyFont="1" applyFill="1" applyAlignment="1" applyProtection="1">
      <alignment horizontal="right" vertical="center"/>
      <protection locked="0"/>
    </xf>
    <xf numFmtId="176" fontId="7" fillId="0" borderId="0" xfId="2" applyNumberFormat="1" applyFont="1" applyFill="1" applyAlignment="1" applyProtection="1">
      <alignment horizontal="justify" vertical="center"/>
      <protection locked="0"/>
    </xf>
    <xf numFmtId="0" fontId="7" fillId="0" borderId="0" xfId="2" applyNumberFormat="1" applyFont="1" applyFill="1" applyAlignment="1" applyProtection="1">
      <alignment horizontal="center" vertical="center"/>
      <protection locked="0"/>
    </xf>
    <xf numFmtId="169" fontId="7" fillId="0" borderId="0" xfId="2" applyFont="1" applyFill="1" applyAlignment="1" applyProtection="1">
      <alignment horizontal="left"/>
      <protection locked="0"/>
    </xf>
    <xf numFmtId="171" fontId="7" fillId="0" borderId="0" xfId="11" applyNumberFormat="1" applyFont="1" applyFill="1" applyAlignment="1" applyProtection="1">
      <alignment horizontal="center" vertical="center"/>
      <protection locked="0"/>
    </xf>
    <xf numFmtId="169" fontId="7" fillId="0" borderId="0" xfId="2" applyFont="1" applyFill="1" applyAlignment="1" applyProtection="1">
      <alignment horizontal="center" vertical="center"/>
      <protection locked="0"/>
    </xf>
    <xf numFmtId="170" fontId="7" fillId="0" borderId="0" xfId="2" applyNumberFormat="1" applyFont="1" applyFill="1" applyAlignment="1" applyProtection="1">
      <alignment horizontal="center"/>
      <protection locked="0"/>
    </xf>
    <xf numFmtId="184" fontId="13" fillId="0" borderId="0" xfId="0" applyNumberFormat="1" applyFont="1" applyAlignment="1">
      <alignment horizontal="right" vertical="center"/>
    </xf>
    <xf numFmtId="4" fontId="12" fillId="5" borderId="0" xfId="0" applyNumberFormat="1" applyFont="1" applyFill="1" applyAlignment="1" applyProtection="1">
      <alignment horizontal="right" vertical="center"/>
      <protection locked="0"/>
    </xf>
    <xf numFmtId="0" fontId="6" fillId="0" borderId="15"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justify" vertical="center" wrapText="1"/>
    </xf>
    <xf numFmtId="169" fontId="7" fillId="0" borderId="0" xfId="2" applyFont="1"/>
    <xf numFmtId="1" fontId="6" fillId="6" borderId="4" xfId="0" applyNumberFormat="1" applyFont="1" applyFill="1" applyBorder="1" applyAlignment="1">
      <alignment horizontal="left" vertical="center" wrapText="1"/>
    </xf>
    <xf numFmtId="0" fontId="6" fillId="6" borderId="4" xfId="0" applyFont="1" applyFill="1" applyBorder="1" applyAlignment="1">
      <alignment horizontal="justify" vertical="center" wrapText="1"/>
    </xf>
    <xf numFmtId="180" fontId="7" fillId="6" borderId="4" xfId="0" applyNumberFormat="1" applyFont="1" applyFill="1" applyBorder="1" applyAlignment="1">
      <alignment horizontal="center" vertical="center"/>
    </xf>
    <xf numFmtId="176" fontId="6" fillId="6" borderId="4" xfId="0" applyNumberFormat="1" applyFont="1" applyFill="1" applyBorder="1" applyAlignment="1">
      <alignment vertical="center"/>
    </xf>
    <xf numFmtId="176" fontId="6" fillId="6" borderId="4" xfId="0" applyNumberFormat="1" applyFont="1" applyFill="1" applyBorder="1" applyAlignment="1">
      <alignment horizontal="center" vertical="center"/>
    </xf>
    <xf numFmtId="1" fontId="6" fillId="5" borderId="9" xfId="2" applyNumberFormat="1" applyFont="1" applyFill="1" applyBorder="1" applyAlignment="1">
      <alignment vertical="center" wrapText="1"/>
    </xf>
    <xf numFmtId="1" fontId="6" fillId="5" borderId="7" xfId="2" applyNumberFormat="1" applyFont="1" applyFill="1" applyBorder="1" applyAlignment="1">
      <alignment vertical="center" wrapText="1"/>
    </xf>
    <xf numFmtId="1" fontId="6" fillId="10" borderId="12" xfId="0" applyNumberFormat="1" applyFont="1" applyFill="1" applyBorder="1" applyAlignment="1">
      <alignment horizontal="center" vertical="center"/>
    </xf>
    <xf numFmtId="0" fontId="6" fillId="10" borderId="2" xfId="0" applyFont="1" applyFill="1" applyBorder="1" applyAlignment="1">
      <alignment horizontal="justify" vertical="center" wrapText="1"/>
    </xf>
    <xf numFmtId="180" fontId="7" fillId="10" borderId="2" xfId="0" applyNumberFormat="1" applyFont="1" applyFill="1" applyBorder="1" applyAlignment="1">
      <alignment horizontal="center" vertical="center"/>
    </xf>
    <xf numFmtId="176" fontId="6" fillId="10" borderId="2" xfId="0" applyNumberFormat="1" applyFont="1" applyFill="1" applyBorder="1" applyAlignment="1">
      <alignment vertical="center"/>
    </xf>
    <xf numFmtId="176" fontId="6" fillId="10" borderId="2" xfId="0" applyNumberFormat="1" applyFont="1" applyFill="1" applyBorder="1" applyAlignment="1">
      <alignment horizontal="center" vertical="center"/>
    </xf>
    <xf numFmtId="0" fontId="6" fillId="10" borderId="2" xfId="0" applyFont="1" applyFill="1" applyBorder="1" applyAlignment="1">
      <alignment horizontal="center" vertical="center" wrapText="1"/>
    </xf>
    <xf numFmtId="1" fontId="6" fillId="5" borderId="0" xfId="2" applyNumberFormat="1" applyFont="1" applyFill="1" applyBorder="1" applyAlignment="1">
      <alignment vertical="center" wrapText="1"/>
    </xf>
    <xf numFmtId="1" fontId="6" fillId="5" borderId="16" xfId="2" applyNumberFormat="1" applyFont="1" applyFill="1" applyBorder="1" applyAlignment="1">
      <alignment vertical="center" wrapText="1"/>
    </xf>
    <xf numFmtId="1" fontId="6" fillId="9" borderId="3" xfId="0" applyNumberFormat="1" applyFont="1" applyFill="1" applyBorder="1" applyAlignment="1">
      <alignment horizontal="left" vertical="center" wrapText="1" indent="1"/>
    </xf>
    <xf numFmtId="0" fontId="6" fillId="9" borderId="4" xfId="0" applyFont="1" applyFill="1" applyBorder="1" applyAlignment="1">
      <alignment horizontal="justify" vertical="center" wrapText="1"/>
    </xf>
    <xf numFmtId="180" fontId="7" fillId="9" borderId="4" xfId="0" applyNumberFormat="1" applyFont="1" applyFill="1" applyBorder="1" applyAlignment="1">
      <alignment horizontal="center" vertical="center"/>
    </xf>
    <xf numFmtId="176" fontId="6" fillId="9" borderId="4" xfId="0" applyNumberFormat="1" applyFont="1" applyFill="1" applyBorder="1" applyAlignment="1">
      <alignment vertical="center"/>
    </xf>
    <xf numFmtId="176" fontId="6" fillId="9" borderId="4" xfId="0" applyNumberFormat="1" applyFont="1" applyFill="1" applyBorder="1" applyAlignment="1">
      <alignment horizontal="center" vertical="center"/>
    </xf>
    <xf numFmtId="3" fontId="7" fillId="0" borderId="8" xfId="2" applyNumberFormat="1" applyFont="1" applyFill="1" applyBorder="1" applyAlignment="1">
      <alignment vertical="center" wrapText="1"/>
    </xf>
    <xf numFmtId="3" fontId="7" fillId="5" borderId="8" xfId="2" applyNumberFormat="1" applyFont="1" applyFill="1" applyBorder="1" applyAlignment="1">
      <alignment horizontal="center" vertical="center" wrapText="1"/>
    </xf>
    <xf numFmtId="169" fontId="7" fillId="0" borderId="0" xfId="2" applyFont="1" applyFill="1"/>
    <xf numFmtId="3" fontId="7" fillId="0" borderId="14" xfId="2" applyNumberFormat="1" applyFont="1" applyFill="1" applyBorder="1" applyAlignment="1">
      <alignment vertical="center" wrapText="1"/>
    </xf>
    <xf numFmtId="3" fontId="7" fillId="5" borderId="14" xfId="2" applyNumberFormat="1" applyFont="1" applyFill="1" applyBorder="1" applyAlignment="1">
      <alignment horizontal="center" vertical="center" wrapText="1"/>
    </xf>
    <xf numFmtId="3" fontId="7" fillId="0" borderId="14" xfId="2" applyNumberFormat="1" applyFont="1" applyFill="1" applyBorder="1" applyAlignment="1">
      <alignment horizontal="center" vertical="center" wrapText="1"/>
    </xf>
    <xf numFmtId="169" fontId="7" fillId="5" borderId="0" xfId="2" applyFont="1" applyFill="1"/>
    <xf numFmtId="3" fontId="6" fillId="5" borderId="1" xfId="2" applyNumberFormat="1" applyFont="1" applyFill="1" applyBorder="1" applyAlignment="1">
      <alignment horizontal="center" vertical="center" wrapText="1"/>
    </xf>
    <xf numFmtId="169" fontId="7" fillId="5" borderId="1" xfId="2" applyFont="1" applyFill="1" applyBorder="1" applyAlignment="1">
      <alignment horizontal="justify" vertical="center" wrapText="1"/>
    </xf>
    <xf numFmtId="169" fontId="7" fillId="0" borderId="1" xfId="2" applyFont="1" applyFill="1" applyBorder="1" applyAlignment="1">
      <alignment horizontal="center" vertical="center" wrapText="1"/>
    </xf>
    <xf numFmtId="3" fontId="7" fillId="5" borderId="1" xfId="2" applyNumberFormat="1" applyFont="1" applyFill="1" applyBorder="1" applyAlignment="1">
      <alignment horizontal="center" vertical="center"/>
    </xf>
    <xf numFmtId="10" fontId="7" fillId="5" borderId="12" xfId="2" applyNumberFormat="1" applyFont="1" applyFill="1" applyBorder="1" applyAlignment="1">
      <alignment horizontal="center" vertical="center" wrapText="1"/>
    </xf>
    <xf numFmtId="173" fontId="7" fillId="5" borderId="1" xfId="2" applyNumberFormat="1" applyFont="1" applyFill="1" applyBorder="1" applyAlignment="1">
      <alignment vertical="center" wrapText="1"/>
    </xf>
    <xf numFmtId="169" fontId="7" fillId="0" borderId="17" xfId="2" applyFont="1" applyFill="1" applyBorder="1" applyAlignment="1">
      <alignment horizontal="justify" vertical="center" wrapText="1"/>
    </xf>
    <xf numFmtId="42" fontId="7" fillId="0" borderId="17"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wrapText="1"/>
    </xf>
    <xf numFmtId="170" fontId="7" fillId="5" borderId="1" xfId="2" applyNumberFormat="1" applyFont="1" applyFill="1" applyBorder="1" applyAlignment="1">
      <alignment horizontal="center" vertical="center" wrapText="1"/>
    </xf>
    <xf numFmtId="169" fontId="7" fillId="0" borderId="1" xfId="2" applyFont="1" applyFill="1" applyBorder="1" applyAlignment="1">
      <alignment horizontal="justify" vertical="center" wrapText="1"/>
    </xf>
    <xf numFmtId="169" fontId="7" fillId="5" borderId="1" xfId="2" applyFont="1" applyFill="1" applyBorder="1" applyAlignment="1">
      <alignment wrapText="1"/>
    </xf>
    <xf numFmtId="42" fontId="7" fillId="5" borderId="17" xfId="2" applyNumberFormat="1" applyFont="1" applyFill="1" applyBorder="1" applyAlignment="1">
      <alignment horizontal="center" vertical="center" wrapText="1"/>
    </xf>
    <xf numFmtId="42" fontId="7" fillId="5" borderId="1"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xf>
    <xf numFmtId="0" fontId="7" fillId="5" borderId="14" xfId="2" applyNumberFormat="1" applyFont="1" applyFill="1" applyBorder="1" applyAlignment="1">
      <alignment horizontal="center" vertical="center" wrapText="1"/>
    </xf>
    <xf numFmtId="3" fontId="7" fillId="5" borderId="16" xfId="2" applyNumberFormat="1" applyFont="1" applyFill="1" applyBorder="1" applyAlignment="1">
      <alignment horizontal="center" vertical="center" wrapText="1"/>
    </xf>
    <xf numFmtId="0" fontId="7" fillId="5" borderId="14" xfId="2" applyNumberFormat="1" applyFont="1" applyFill="1" applyBorder="1" applyAlignment="1">
      <alignment horizontal="center" vertical="center"/>
    </xf>
    <xf numFmtId="169" fontId="7" fillId="0" borderId="8" xfId="2" applyFont="1" applyFill="1" applyBorder="1" applyAlignment="1">
      <alignment horizontal="justify" vertical="center" wrapText="1"/>
    </xf>
    <xf numFmtId="169" fontId="7" fillId="5" borderId="8" xfId="2" applyFont="1" applyFill="1" applyBorder="1" applyAlignment="1">
      <alignment horizontal="justify" vertical="center" wrapText="1"/>
    </xf>
    <xf numFmtId="42" fontId="7" fillId="5" borderId="17" xfId="2" applyNumberFormat="1" applyFont="1" applyFill="1" applyBorder="1" applyAlignment="1">
      <alignment horizontal="center" vertical="center"/>
    </xf>
    <xf numFmtId="42" fontId="7" fillId="5" borderId="1" xfId="2" applyNumberFormat="1" applyFont="1" applyFill="1" applyBorder="1" applyAlignment="1">
      <alignment horizontal="center" vertical="center"/>
    </xf>
    <xf numFmtId="3" fontId="7" fillId="0" borderId="17" xfId="2" applyNumberFormat="1" applyFont="1" applyFill="1" applyBorder="1" applyAlignment="1">
      <alignment vertical="center" wrapText="1"/>
    </xf>
    <xf numFmtId="3" fontId="7" fillId="5" borderId="17" xfId="2" applyNumberFormat="1" applyFont="1" applyFill="1" applyBorder="1" applyAlignment="1">
      <alignment horizontal="center" vertical="center" wrapText="1"/>
    </xf>
    <xf numFmtId="0" fontId="6" fillId="9" borderId="9" xfId="0" applyFont="1" applyFill="1" applyBorder="1" applyAlignment="1">
      <alignment horizontal="center" vertical="center" wrapText="1"/>
    </xf>
    <xf numFmtId="1" fontId="6" fillId="0" borderId="8" xfId="2" applyNumberFormat="1" applyFont="1" applyFill="1" applyBorder="1" applyAlignment="1">
      <alignment horizontal="center" vertical="center" textRotation="180" wrapText="1"/>
    </xf>
    <xf numFmtId="1" fontId="6" fillId="0" borderId="14" xfId="2" applyNumberFormat="1" applyFont="1" applyFill="1" applyBorder="1" applyAlignment="1">
      <alignment horizontal="center" vertical="center" textRotation="180" wrapText="1"/>
    </xf>
    <xf numFmtId="169" fontId="7" fillId="5" borderId="14" xfId="2" applyFont="1" applyFill="1" applyBorder="1" applyAlignment="1">
      <alignment horizontal="center" vertical="center" wrapText="1"/>
    </xf>
    <xf numFmtId="42" fontId="7" fillId="5" borderId="8" xfId="2" applyNumberFormat="1" applyFont="1" applyFill="1" applyBorder="1" applyAlignment="1">
      <alignment horizontal="center" vertical="center" wrapText="1"/>
    </xf>
    <xf numFmtId="0" fontId="7" fillId="0" borderId="0" xfId="2" applyNumberFormat="1" applyFont="1" applyFill="1" applyBorder="1" applyAlignment="1">
      <alignment horizontal="center" vertical="center"/>
    </xf>
    <xf numFmtId="3" fontId="7" fillId="0" borderId="0" xfId="2" applyNumberFormat="1" applyFont="1" applyFill="1" applyBorder="1" applyAlignment="1">
      <alignment horizontal="center" vertical="center" wrapText="1"/>
    </xf>
    <xf numFmtId="169" fontId="7" fillId="5" borderId="14" xfId="2" applyFont="1" applyFill="1" applyBorder="1" applyAlignment="1">
      <alignment vertical="center" wrapText="1"/>
    </xf>
    <xf numFmtId="1" fontId="7" fillId="5" borderId="1" xfId="10" applyNumberFormat="1" applyFont="1" applyFill="1" applyBorder="1" applyAlignment="1">
      <alignment horizontal="center" vertical="center" wrapText="1"/>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1" fontId="7" fillId="0" borderId="1" xfId="2" applyNumberFormat="1" applyFont="1" applyBorder="1" applyAlignment="1">
      <alignment horizontal="center" vertical="center"/>
    </xf>
    <xf numFmtId="1" fontId="7" fillId="0" borderId="17" xfId="2" applyNumberFormat="1" applyFont="1" applyBorder="1" applyAlignment="1">
      <alignment horizontal="center" vertical="center"/>
    </xf>
    <xf numFmtId="169" fontId="7" fillId="5" borderId="17" xfId="2" applyFont="1" applyFill="1" applyBorder="1" applyAlignment="1">
      <alignment vertical="center" wrapText="1"/>
    </xf>
    <xf numFmtId="10" fontId="7" fillId="5" borderId="1" xfId="2" applyNumberFormat="1" applyFont="1" applyFill="1" applyBorder="1" applyAlignment="1">
      <alignment horizontal="center" vertical="center" wrapText="1"/>
    </xf>
    <xf numFmtId="173" fontId="7" fillId="5" borderId="17" xfId="2" applyNumberFormat="1" applyFont="1" applyFill="1" applyBorder="1" applyAlignment="1">
      <alignment vertical="center" wrapText="1"/>
    </xf>
    <xf numFmtId="42" fontId="7" fillId="5" borderId="1" xfId="2" applyNumberFormat="1" applyFont="1" applyFill="1" applyBorder="1" applyAlignment="1">
      <alignment vertical="center" wrapText="1"/>
    </xf>
    <xf numFmtId="1" fontId="6" fillId="0" borderId="17" xfId="2" applyNumberFormat="1" applyFont="1" applyFill="1" applyBorder="1" applyAlignment="1">
      <alignment horizontal="center" vertical="center" textRotation="180" wrapText="1"/>
    </xf>
    <xf numFmtId="176" fontId="6" fillId="10" borderId="2" xfId="0" applyNumberFormat="1" applyFont="1" applyFill="1" applyBorder="1" applyAlignment="1">
      <alignment horizontal="center" vertical="center" wrapText="1"/>
    </xf>
    <xf numFmtId="1" fontId="6" fillId="5" borderId="15"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76" fontId="6" fillId="9" borderId="4" xfId="0" applyNumberFormat="1" applyFont="1" applyFill="1" applyBorder="1" applyAlignment="1">
      <alignment horizontal="center" vertical="center" wrapText="1"/>
    </xf>
    <xf numFmtId="176" fontId="6" fillId="9" borderId="5" xfId="0" applyNumberFormat="1" applyFont="1" applyFill="1" applyBorder="1" applyAlignment="1">
      <alignment horizontal="center" vertical="center"/>
    </xf>
    <xf numFmtId="169" fontId="7" fillId="5" borderId="8" xfId="2"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170" fontId="7" fillId="5" borderId="3" xfId="2" applyNumberFormat="1" applyFont="1" applyFill="1" applyBorder="1" applyAlignment="1">
      <alignment horizontal="center" vertical="center" wrapText="1"/>
    </xf>
    <xf numFmtId="1" fontId="7" fillId="0" borderId="14" xfId="2" applyNumberFormat="1" applyFont="1" applyFill="1" applyBorder="1" applyAlignment="1">
      <alignment horizontal="center" vertical="center" wrapText="1"/>
    </xf>
    <xf numFmtId="169" fontId="7" fillId="5" borderId="17" xfId="2" applyFont="1" applyFill="1" applyBorder="1" applyAlignment="1">
      <alignment horizontal="center" vertical="center" wrapText="1"/>
    </xf>
    <xf numFmtId="1" fontId="7" fillId="0" borderId="17" xfId="2" applyNumberFormat="1" applyFont="1" applyFill="1" applyBorder="1" applyAlignment="1">
      <alignment horizontal="center" vertical="center" wrapText="1"/>
    </xf>
    <xf numFmtId="176" fontId="6" fillId="9" borderId="2" xfId="0" applyNumberFormat="1" applyFont="1" applyFill="1" applyBorder="1" applyAlignment="1">
      <alignment horizontal="center" vertical="center"/>
    </xf>
    <xf numFmtId="42" fontId="7" fillId="5" borderId="1" xfId="2" applyNumberFormat="1" applyFont="1" applyFill="1" applyBorder="1" applyAlignment="1">
      <alignment horizontal="justify" vertical="center"/>
    </xf>
    <xf numFmtId="3" fontId="7" fillId="5" borderId="8" xfId="2" applyNumberFormat="1" applyFont="1" applyFill="1" applyBorder="1" applyAlignment="1">
      <alignment horizontal="center" vertical="center"/>
    </xf>
    <xf numFmtId="3" fontId="7" fillId="0" borderId="8" xfId="2" applyNumberFormat="1" applyFont="1" applyFill="1" applyBorder="1" applyAlignment="1">
      <alignment horizontal="center" vertical="center"/>
    </xf>
    <xf numFmtId="3" fontId="7" fillId="5" borderId="14" xfId="2" applyNumberFormat="1" applyFont="1" applyFill="1" applyBorder="1" applyAlignment="1">
      <alignment horizontal="center" vertical="center"/>
    </xf>
    <xf numFmtId="3" fontId="7" fillId="0" borderId="14" xfId="2" applyNumberFormat="1" applyFont="1" applyFill="1" applyBorder="1" applyAlignment="1">
      <alignment horizontal="center" vertical="center"/>
    </xf>
    <xf numFmtId="170" fontId="7" fillId="0" borderId="1" xfId="2" applyNumberFormat="1" applyFont="1" applyFill="1" applyBorder="1" applyAlignment="1">
      <alignment horizontal="center" vertical="center"/>
    </xf>
    <xf numFmtId="170" fontId="7" fillId="0" borderId="1" xfId="2" applyNumberFormat="1" applyFont="1" applyBorder="1" applyAlignment="1">
      <alignment horizontal="center" vertical="center"/>
    </xf>
    <xf numFmtId="3" fontId="7" fillId="5" borderId="17"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191" fontId="7" fillId="5" borderId="1" xfId="2" applyNumberFormat="1" applyFont="1" applyFill="1" applyBorder="1" applyAlignment="1">
      <alignment horizontal="justify" vertical="center"/>
    </xf>
    <xf numFmtId="170" fontId="7" fillId="0" borderId="3" xfId="2" applyNumberFormat="1" applyFont="1" applyBorder="1" applyAlignment="1">
      <alignment horizontal="center" vertical="center"/>
    </xf>
    <xf numFmtId="37" fontId="7" fillId="0" borderId="8" xfId="2" applyNumberFormat="1" applyFont="1" applyFill="1" applyBorder="1" applyAlignment="1">
      <alignment horizontal="center" vertical="center"/>
    </xf>
    <xf numFmtId="37" fontId="7" fillId="0" borderId="14" xfId="2" applyNumberFormat="1" applyFont="1" applyFill="1" applyBorder="1" applyAlignment="1">
      <alignment horizontal="center" vertical="center"/>
    </xf>
    <xf numFmtId="42" fontId="7" fillId="0" borderId="8"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37" fontId="7" fillId="0" borderId="17" xfId="2" applyNumberFormat="1" applyFont="1" applyFill="1" applyBorder="1" applyAlignment="1">
      <alignment horizontal="center" vertical="center"/>
    </xf>
    <xf numFmtId="14" fontId="7" fillId="0" borderId="1" xfId="2" applyNumberFormat="1" applyFont="1" applyBorder="1" applyAlignment="1">
      <alignment horizontal="center" vertical="center"/>
    </xf>
    <xf numFmtId="169" fontId="7" fillId="0" borderId="1" xfId="2" applyFont="1" applyBorder="1" applyAlignment="1">
      <alignment horizontal="justify" vertical="center" wrapText="1" readingOrder="2"/>
    </xf>
    <xf numFmtId="169" fontId="7" fillId="0" borderId="1" xfId="2" applyFont="1" applyFill="1" applyBorder="1" applyAlignment="1">
      <alignment horizontal="justify" vertical="center" wrapText="1" readingOrder="2"/>
    </xf>
    <xf numFmtId="3" fontId="7" fillId="0" borderId="1" xfId="2" applyNumberFormat="1" applyFont="1" applyBorder="1" applyAlignment="1">
      <alignment horizontal="center" vertical="center"/>
    </xf>
    <xf numFmtId="169" fontId="7" fillId="0" borderId="8" xfId="2" applyFont="1" applyBorder="1" applyAlignment="1">
      <alignment horizontal="justify" vertical="center" wrapText="1"/>
    </xf>
    <xf numFmtId="169" fontId="7" fillId="0" borderId="8" xfId="2" applyFont="1" applyFill="1" applyBorder="1" applyAlignment="1">
      <alignment horizontal="center" vertical="center" wrapText="1"/>
    </xf>
    <xf numFmtId="10" fontId="7" fillId="0" borderId="1" xfId="2" applyNumberFormat="1" applyFont="1" applyFill="1" applyBorder="1" applyAlignment="1">
      <alignment horizontal="center" vertical="center"/>
    </xf>
    <xf numFmtId="191" fontId="7" fillId="5" borderId="17" xfId="2" applyNumberFormat="1" applyFont="1" applyFill="1" applyBorder="1" applyAlignment="1">
      <alignment vertical="center"/>
    </xf>
    <xf numFmtId="1" fontId="6" fillId="10" borderId="3" xfId="0" applyNumberFormat="1" applyFont="1" applyFill="1" applyBorder="1" applyAlignment="1">
      <alignment horizontal="center" vertical="center"/>
    </xf>
    <xf numFmtId="1" fontId="6" fillId="10" borderId="4" xfId="0" applyNumberFormat="1" applyFont="1" applyFill="1" applyBorder="1" applyAlignment="1">
      <alignment vertical="center"/>
    </xf>
    <xf numFmtId="0" fontId="6" fillId="10" borderId="4" xfId="0" applyFont="1" applyFill="1" applyBorder="1" applyAlignment="1">
      <alignment horizontal="justify" vertical="center" wrapText="1"/>
    </xf>
    <xf numFmtId="180" fontId="7" fillId="10" borderId="4" xfId="0" applyNumberFormat="1" applyFont="1" applyFill="1" applyBorder="1" applyAlignment="1">
      <alignment horizontal="center" vertical="center"/>
    </xf>
    <xf numFmtId="176" fontId="6" fillId="10" borderId="4" xfId="0" applyNumberFormat="1" applyFont="1" applyFill="1" applyBorder="1" applyAlignment="1">
      <alignment vertical="center"/>
    </xf>
    <xf numFmtId="176" fontId="6" fillId="10" borderId="4" xfId="0" applyNumberFormat="1" applyFont="1" applyFill="1" applyBorder="1" applyAlignment="1">
      <alignment horizontal="center" vertical="center"/>
    </xf>
    <xf numFmtId="0" fontId="6" fillId="10" borderId="4" xfId="0" applyFont="1" applyFill="1" applyBorder="1" applyAlignment="1">
      <alignment horizontal="center" vertical="center" wrapText="1"/>
    </xf>
    <xf numFmtId="1" fontId="6" fillId="9" borderId="12" xfId="0" applyNumberFormat="1" applyFont="1" applyFill="1" applyBorder="1" applyAlignment="1">
      <alignment horizontal="left" vertical="center" wrapText="1" indent="1"/>
    </xf>
    <xf numFmtId="0" fontId="6" fillId="9" borderId="2" xfId="0" applyFont="1" applyFill="1" applyBorder="1" applyAlignment="1">
      <alignment vertical="center"/>
    </xf>
    <xf numFmtId="0" fontId="6" fillId="9" borderId="2" xfId="0" applyFont="1" applyFill="1" applyBorder="1" applyAlignment="1">
      <alignment horizontal="justify" vertical="center" wrapText="1"/>
    </xf>
    <xf numFmtId="180" fontId="7" fillId="9" borderId="2" xfId="0" applyNumberFormat="1" applyFont="1" applyFill="1" applyBorder="1" applyAlignment="1">
      <alignment horizontal="center" vertical="center"/>
    </xf>
    <xf numFmtId="176" fontId="6" fillId="9" borderId="2" xfId="0" applyNumberFormat="1" applyFont="1" applyFill="1" applyBorder="1" applyAlignment="1">
      <alignment vertical="center"/>
    </xf>
    <xf numFmtId="176" fontId="6" fillId="9" borderId="2" xfId="0" applyNumberFormat="1" applyFont="1" applyFill="1" applyBorder="1" applyAlignment="1">
      <alignment horizontal="center" vertical="center" wrapText="1"/>
    </xf>
    <xf numFmtId="176" fontId="6" fillId="9" borderId="13" xfId="0" applyNumberFormat="1" applyFont="1" applyFill="1" applyBorder="1" applyAlignment="1">
      <alignment horizontal="center" vertical="center"/>
    </xf>
    <xf numFmtId="1" fontId="7" fillId="0" borderId="8" xfId="2" applyNumberFormat="1" applyFont="1" applyFill="1" applyBorder="1" applyAlignment="1">
      <alignment vertical="center"/>
    </xf>
    <xf numFmtId="3" fontId="7" fillId="0" borderId="8" xfId="2" applyNumberFormat="1" applyFont="1" applyFill="1" applyBorder="1" applyAlignment="1">
      <alignment horizontal="center"/>
    </xf>
    <xf numFmtId="1" fontId="7" fillId="0" borderId="14" xfId="2" applyNumberFormat="1" applyFont="1" applyFill="1" applyBorder="1" applyAlignment="1">
      <alignment vertical="center"/>
    </xf>
    <xf numFmtId="3" fontId="7" fillId="0" borderId="14" xfId="2" applyNumberFormat="1" applyFont="1" applyFill="1" applyBorder="1" applyAlignment="1">
      <alignment horizontal="center"/>
    </xf>
    <xf numFmtId="170" fontId="7" fillId="0" borderId="3" xfId="2" applyNumberFormat="1" applyFont="1" applyFill="1" applyBorder="1" applyAlignment="1">
      <alignment horizontal="center" vertical="center"/>
    </xf>
    <xf numFmtId="1" fontId="6" fillId="5" borderId="34" xfId="2" applyNumberFormat="1" applyFont="1" applyFill="1" applyBorder="1" applyAlignment="1">
      <alignment vertical="center" wrapText="1"/>
    </xf>
    <xf numFmtId="1" fontId="6" fillId="5" borderId="35" xfId="2" applyNumberFormat="1" applyFont="1" applyFill="1" applyBorder="1" applyAlignment="1">
      <alignment vertical="center" wrapText="1"/>
    </xf>
    <xf numFmtId="169" fontId="7" fillId="5" borderId="40" xfId="2" applyFont="1" applyFill="1" applyBorder="1" applyAlignment="1">
      <alignment horizontal="justify" vertical="center" wrapText="1"/>
    </xf>
    <xf numFmtId="42" fontId="7" fillId="5" borderId="40" xfId="2" applyNumberFormat="1" applyFont="1" applyFill="1" applyBorder="1" applyAlignment="1">
      <alignment horizontal="justify" vertical="center"/>
    </xf>
    <xf numFmtId="1" fontId="7" fillId="0" borderId="38" xfId="2" applyNumberFormat="1" applyFont="1" applyFill="1" applyBorder="1" applyAlignment="1">
      <alignment vertical="center"/>
    </xf>
    <xf numFmtId="3" fontId="7" fillId="0" borderId="38" xfId="2" applyNumberFormat="1" applyFont="1" applyFill="1" applyBorder="1" applyAlignment="1">
      <alignment horizontal="center"/>
    </xf>
    <xf numFmtId="170" fontId="7" fillId="0" borderId="40" xfId="2" applyNumberFormat="1" applyFont="1" applyFill="1" applyBorder="1" applyAlignment="1">
      <alignment horizontal="center" vertical="center"/>
    </xf>
    <xf numFmtId="170" fontId="7" fillId="0" borderId="41" xfId="2" applyNumberFormat="1" applyFont="1" applyBorder="1" applyAlignment="1">
      <alignment horizontal="center" vertical="center"/>
    </xf>
    <xf numFmtId="169" fontId="7" fillId="0" borderId="12" xfId="2" applyFont="1" applyBorder="1" applyAlignment="1">
      <alignment horizontal="left" vertical="center" wrapText="1"/>
    </xf>
    <xf numFmtId="169" fontId="7" fillId="0" borderId="13" xfId="2" applyFont="1" applyBorder="1" applyAlignment="1">
      <alignment horizontal="left" vertical="center" wrapText="1"/>
    </xf>
    <xf numFmtId="169" fontId="7" fillId="0" borderId="6" xfId="2" applyFont="1" applyBorder="1" applyAlignment="1">
      <alignment vertical="center" wrapText="1"/>
    </xf>
    <xf numFmtId="169" fontId="7" fillId="0" borderId="7" xfId="2" applyFont="1" applyBorder="1" applyAlignment="1">
      <alignment vertical="center" wrapText="1"/>
    </xf>
    <xf numFmtId="169" fontId="7" fillId="0" borderId="8" xfId="2" applyFont="1" applyFill="1" applyBorder="1" applyAlignment="1">
      <alignment horizontal="center"/>
    </xf>
    <xf numFmtId="169" fontId="7" fillId="0" borderId="15" xfId="2" applyFont="1" applyBorder="1" applyAlignment="1">
      <alignment vertical="center" wrapText="1"/>
    </xf>
    <xf numFmtId="169" fontId="7" fillId="0" borderId="16" xfId="2" applyFont="1" applyBorder="1" applyAlignment="1">
      <alignment vertical="center" wrapText="1"/>
    </xf>
    <xf numFmtId="169" fontId="7" fillId="5" borderId="1" xfId="2" applyFont="1" applyFill="1" applyBorder="1" applyAlignment="1">
      <alignment horizontal="justify" vertical="center" wrapText="1" readingOrder="2"/>
    </xf>
    <xf numFmtId="169" fontId="7" fillId="0" borderId="14" xfId="2" applyFont="1" applyFill="1" applyBorder="1" applyAlignment="1">
      <alignment horizontal="center"/>
    </xf>
    <xf numFmtId="170" fontId="7" fillId="0" borderId="8" xfId="2" applyNumberFormat="1" applyFont="1" applyFill="1" applyBorder="1" applyAlignment="1">
      <alignment horizontal="center" vertical="center"/>
    </xf>
    <xf numFmtId="170" fontId="7" fillId="0" borderId="6" xfId="2" applyNumberFormat="1" applyFont="1" applyBorder="1" applyAlignment="1">
      <alignment horizontal="center" vertical="center"/>
    </xf>
    <xf numFmtId="176" fontId="6" fillId="6" borderId="4" xfId="0" applyNumberFormat="1" applyFont="1" applyFill="1" applyBorder="1" applyAlignment="1">
      <alignment horizontal="center" vertical="center" wrapText="1"/>
    </xf>
    <xf numFmtId="176" fontId="6" fillId="6" borderId="5" xfId="0" applyNumberFormat="1" applyFont="1" applyFill="1" applyBorder="1" applyAlignment="1">
      <alignment horizontal="center" vertical="center"/>
    </xf>
    <xf numFmtId="3" fontId="7" fillId="5" borderId="26" xfId="2" applyNumberFormat="1" applyFont="1" applyFill="1" applyBorder="1" applyAlignment="1">
      <alignment horizontal="center" vertical="center" wrapText="1"/>
    </xf>
    <xf numFmtId="3" fontId="7" fillId="5" borderId="21"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169" fontId="7" fillId="0" borderId="17" xfId="2" applyFont="1" applyFill="1" applyBorder="1" applyAlignment="1">
      <alignment horizontal="center"/>
    </xf>
    <xf numFmtId="169" fontId="7" fillId="0" borderId="3" xfId="2" applyFont="1" applyBorder="1"/>
    <xf numFmtId="169" fontId="7" fillId="0" borderId="4" xfId="2" applyFont="1" applyBorder="1"/>
    <xf numFmtId="169" fontId="7" fillId="5" borderId="4" xfId="2" applyFont="1" applyFill="1" applyBorder="1" applyAlignment="1">
      <alignment horizontal="justify" vertical="center" wrapText="1"/>
    </xf>
    <xf numFmtId="169" fontId="7" fillId="5" borderId="4" xfId="2" applyFont="1" applyFill="1" applyBorder="1"/>
    <xf numFmtId="169" fontId="7" fillId="0" borderId="4" xfId="2" applyFont="1" applyFill="1" applyBorder="1"/>
    <xf numFmtId="169" fontId="7" fillId="5" borderId="4" xfId="2" applyFont="1" applyFill="1" applyBorder="1" applyAlignment="1"/>
    <xf numFmtId="169" fontId="6" fillId="5" borderId="5" xfId="2" applyFont="1" applyFill="1" applyBorder="1" applyAlignment="1">
      <alignment horizontal="center" vertical="center"/>
    </xf>
    <xf numFmtId="189" fontId="6" fillId="5" borderId="1" xfId="2" applyNumberFormat="1" applyFont="1" applyFill="1" applyBorder="1" applyAlignment="1">
      <alignment horizontal="right" vertical="center"/>
    </xf>
    <xf numFmtId="189" fontId="6" fillId="5" borderId="3" xfId="2" applyNumberFormat="1" applyFont="1" applyFill="1" applyBorder="1" applyAlignment="1">
      <alignment horizontal="right" vertical="center"/>
    </xf>
    <xf numFmtId="189" fontId="6" fillId="5" borderId="4" xfId="2" applyNumberFormat="1" applyFont="1" applyFill="1" applyBorder="1" applyAlignment="1">
      <alignment horizontal="justify" vertical="center" wrapText="1"/>
    </xf>
    <xf numFmtId="189" fontId="6" fillId="5" borderId="5" xfId="2" applyNumberFormat="1" applyFont="1" applyFill="1" applyBorder="1" applyAlignment="1">
      <alignment horizontal="justify" vertical="center" wrapText="1"/>
    </xf>
    <xf numFmtId="189" fontId="6" fillId="0" borderId="3" xfId="2" applyNumberFormat="1" applyFont="1" applyFill="1" applyBorder="1" applyAlignment="1">
      <alignment horizontal="right" vertical="center"/>
    </xf>
    <xf numFmtId="169" fontId="7" fillId="5" borderId="4" xfId="2" applyFont="1" applyFill="1" applyBorder="1" applyAlignment="1">
      <alignment horizontal="center" vertical="center" wrapText="1"/>
    </xf>
    <xf numFmtId="169" fontId="7" fillId="0" borderId="4" xfId="2" applyFont="1" applyFill="1" applyBorder="1" applyAlignment="1">
      <alignment horizontal="right" vertical="center"/>
    </xf>
    <xf numFmtId="170" fontId="7" fillId="0" borderId="4" xfId="2" applyNumberFormat="1" applyFont="1" applyBorder="1" applyAlignment="1">
      <alignment horizontal="center"/>
    </xf>
    <xf numFmtId="169" fontId="7" fillId="0" borderId="5" xfId="2" applyFont="1" applyBorder="1" applyAlignment="1">
      <alignment horizontal="left"/>
    </xf>
    <xf numFmtId="169" fontId="7" fillId="0" borderId="0" xfId="2" applyFont="1" applyBorder="1"/>
    <xf numFmtId="169" fontId="7" fillId="5" borderId="0" xfId="2" applyFont="1" applyFill="1" applyBorder="1" applyAlignment="1">
      <alignment horizontal="justify" vertical="center" wrapText="1"/>
    </xf>
    <xf numFmtId="169" fontId="7" fillId="5" borderId="0" xfId="2" applyFont="1" applyFill="1" applyBorder="1"/>
    <xf numFmtId="169" fontId="7" fillId="0" borderId="0" xfId="2" applyFont="1" applyFill="1" applyBorder="1"/>
    <xf numFmtId="169" fontId="7" fillId="5" borderId="0" xfId="2" applyFont="1" applyFill="1" applyBorder="1" applyAlignment="1"/>
    <xf numFmtId="169" fontId="7" fillId="5" borderId="0" xfId="2" applyFont="1" applyFill="1" applyBorder="1" applyAlignment="1">
      <alignment horizontal="center" vertical="center"/>
    </xf>
    <xf numFmtId="169" fontId="7" fillId="5" borderId="0" xfId="2" applyFont="1" applyFill="1" applyBorder="1" applyAlignment="1">
      <alignment horizontal="justify" vertical="center"/>
    </xf>
    <xf numFmtId="169" fontId="7" fillId="0" borderId="0" xfId="2" applyFont="1" applyFill="1" applyBorder="1" applyAlignment="1">
      <alignment horizontal="justify" vertical="center"/>
    </xf>
    <xf numFmtId="169" fontId="7" fillId="5" borderId="0" xfId="2" applyFont="1" applyFill="1" applyBorder="1" applyAlignment="1">
      <alignment horizontal="center" vertical="center" wrapText="1"/>
    </xf>
    <xf numFmtId="169" fontId="7" fillId="0" borderId="0" xfId="2" applyFont="1" applyFill="1" applyBorder="1" applyAlignment="1">
      <alignment horizontal="right" vertical="center"/>
    </xf>
    <xf numFmtId="170" fontId="7" fillId="0" borderId="0" xfId="2" applyNumberFormat="1" applyFont="1" applyBorder="1" applyAlignment="1">
      <alignment horizontal="center"/>
    </xf>
    <xf numFmtId="169" fontId="7" fillId="0" borderId="0" xfId="2" applyFont="1" applyBorder="1" applyAlignment="1">
      <alignment horizontal="left"/>
    </xf>
    <xf numFmtId="192" fontId="7" fillId="5" borderId="0" xfId="2" applyNumberFormat="1" applyFont="1" applyFill="1" applyBorder="1" applyAlignment="1">
      <alignment horizontal="justify" vertical="center" wrapText="1"/>
    </xf>
    <xf numFmtId="169" fontId="7" fillId="5" borderId="0" xfId="2" applyFont="1" applyFill="1" applyAlignment="1">
      <alignment horizontal="justify" vertical="center" wrapText="1"/>
    </xf>
    <xf numFmtId="169" fontId="7" fillId="5" borderId="0" xfId="2" applyFont="1" applyFill="1" applyAlignment="1"/>
    <xf numFmtId="169" fontId="7" fillId="5" borderId="0" xfId="2" applyFont="1" applyFill="1" applyAlignment="1">
      <alignment horizontal="center" vertical="center"/>
    </xf>
    <xf numFmtId="169" fontId="7" fillId="5" borderId="0" xfId="2" applyFont="1" applyFill="1" applyAlignment="1">
      <alignment horizontal="justify" vertical="center"/>
    </xf>
    <xf numFmtId="193" fontId="7" fillId="0" borderId="0" xfId="2" applyNumberFormat="1" applyFont="1" applyFill="1" applyAlignment="1">
      <alignment horizontal="justify" vertical="center"/>
    </xf>
    <xf numFmtId="169" fontId="7" fillId="5" borderId="0" xfId="2" applyFont="1" applyFill="1" applyAlignment="1">
      <alignment horizontal="center" vertical="center" wrapText="1"/>
    </xf>
    <xf numFmtId="169" fontId="7" fillId="0" borderId="0" xfId="2" applyFont="1" applyFill="1" applyAlignment="1">
      <alignment horizontal="right" vertical="center"/>
    </xf>
    <xf numFmtId="170" fontId="7" fillId="0" borderId="0" xfId="2" applyNumberFormat="1" applyFont="1" applyAlignment="1">
      <alignment horizontal="center"/>
    </xf>
    <xf numFmtId="169" fontId="7" fillId="0" borderId="0" xfId="2" applyFont="1" applyAlignment="1">
      <alignment horizontal="left"/>
    </xf>
    <xf numFmtId="169" fontId="7" fillId="0" borderId="0" xfId="2" applyFont="1" applyFill="1" applyAlignment="1">
      <alignment horizontal="justify" vertical="center"/>
    </xf>
    <xf numFmtId="169" fontId="7" fillId="16" borderId="0" xfId="2" applyFont="1" applyFill="1"/>
    <xf numFmtId="0" fontId="6" fillId="5" borderId="1" xfId="0" applyFont="1" applyFill="1" applyBorder="1" applyAlignment="1">
      <alignment horizontal="left" vertical="center"/>
    </xf>
    <xf numFmtId="0" fontId="6" fillId="6" borderId="5" xfId="0" applyFont="1" applyFill="1" applyBorder="1" applyAlignment="1">
      <alignment vertical="center"/>
    </xf>
    <xf numFmtId="43" fontId="6" fillId="6" borderId="4" xfId="0" applyNumberFormat="1" applyFont="1" applyFill="1" applyBorder="1" applyAlignment="1">
      <alignment horizontal="center" vertical="center"/>
    </xf>
    <xf numFmtId="43" fontId="6" fillId="6" borderId="4" xfId="0" applyNumberFormat="1" applyFont="1" applyFill="1" applyBorder="1" applyAlignment="1">
      <alignment horizontal="justify" vertical="center"/>
    </xf>
    <xf numFmtId="0" fontId="6" fillId="10" borderId="3" xfId="0" applyFont="1" applyFill="1" applyBorder="1" applyAlignment="1">
      <alignment vertical="center"/>
    </xf>
    <xf numFmtId="0" fontId="6" fillId="10" borderId="5" xfId="0" applyFont="1" applyFill="1" applyBorder="1" applyAlignment="1">
      <alignment vertical="center"/>
    </xf>
    <xf numFmtId="0" fontId="6" fillId="5" borderId="0" xfId="0" applyFont="1" applyFill="1" applyAlignment="1">
      <alignment vertical="center"/>
    </xf>
    <xf numFmtId="0" fontId="7" fillId="5" borderId="0" xfId="0" applyFont="1" applyFill="1" applyBorder="1" applyAlignment="1">
      <alignment vertical="center"/>
    </xf>
    <xf numFmtId="0" fontId="7" fillId="5" borderId="6" xfId="0" applyFont="1" applyFill="1" applyBorder="1" applyAlignment="1">
      <alignment vertical="center"/>
    </xf>
    <xf numFmtId="0" fontId="7" fillId="5" borderId="7" xfId="0" applyFont="1" applyFill="1" applyBorder="1" applyAlignment="1">
      <alignment vertical="center"/>
    </xf>
    <xf numFmtId="0" fontId="7" fillId="5" borderId="5" xfId="0" applyFont="1" applyFill="1" applyBorder="1" applyAlignment="1">
      <alignment vertical="center"/>
    </xf>
    <xf numFmtId="43" fontId="8" fillId="9" borderId="4" xfId="1" applyNumberFormat="1" applyFont="1" applyFill="1" applyBorder="1" applyAlignment="1">
      <alignment vertical="center"/>
    </xf>
    <xf numFmtId="0" fontId="7" fillId="5" borderId="4" xfId="0" applyFont="1" applyFill="1" applyBorder="1"/>
    <xf numFmtId="0" fontId="7" fillId="5" borderId="12" xfId="0" applyFont="1" applyFill="1" applyBorder="1" applyAlignment="1">
      <alignment horizontal="justify" vertical="center" wrapText="1"/>
    </xf>
    <xf numFmtId="43" fontId="7" fillId="5" borderId="12" xfId="0" applyNumberFormat="1" applyFont="1" applyFill="1" applyBorder="1" applyAlignment="1">
      <alignment horizontal="center" vertical="center" wrapText="1"/>
    </xf>
    <xf numFmtId="43" fontId="7" fillId="5" borderId="3" xfId="0" applyNumberFormat="1" applyFont="1" applyFill="1" applyBorder="1" applyAlignment="1">
      <alignment horizontal="center" vertical="center" wrapText="1"/>
    </xf>
    <xf numFmtId="0" fontId="7" fillId="0" borderId="16" xfId="0" applyFont="1" applyFill="1" applyBorder="1" applyAlignment="1">
      <alignment vertical="center"/>
    </xf>
    <xf numFmtId="0" fontId="6" fillId="10" borderId="3" xfId="0" applyFont="1" applyFill="1" applyBorder="1" applyAlignment="1">
      <alignment horizontal="left" vertical="center"/>
    </xf>
    <xf numFmtId="0" fontId="7" fillId="10" borderId="4" xfId="0" applyFont="1" applyFill="1" applyBorder="1" applyAlignment="1">
      <alignment vertical="center"/>
    </xf>
    <xf numFmtId="0" fontId="6" fillId="10" borderId="4" xfId="0" applyFont="1" applyFill="1" applyBorder="1" applyAlignment="1">
      <alignment horizontal="center" vertical="center"/>
    </xf>
    <xf numFmtId="43" fontId="6" fillId="10" borderId="2" xfId="0" applyNumberFormat="1" applyFont="1" applyFill="1" applyBorder="1" applyAlignment="1">
      <alignment vertical="center"/>
    </xf>
    <xf numFmtId="43" fontId="6" fillId="10" borderId="4" xfId="0" applyNumberFormat="1" applyFont="1" applyFill="1" applyBorder="1" applyAlignment="1">
      <alignment horizontal="center" vertical="center"/>
    </xf>
    <xf numFmtId="1" fontId="6" fillId="10" borderId="4" xfId="0" applyNumberFormat="1" applyFont="1" applyFill="1" applyBorder="1" applyAlignment="1">
      <alignment horizontal="center" vertical="center"/>
    </xf>
    <xf numFmtId="177" fontId="6" fillId="10" borderId="4" xfId="0" applyNumberFormat="1" applyFont="1" applyFill="1" applyBorder="1" applyAlignment="1">
      <alignment vertical="center"/>
    </xf>
    <xf numFmtId="0" fontId="7" fillId="10" borderId="5" xfId="0" applyFont="1" applyFill="1" applyBorder="1" applyAlignment="1">
      <alignment horizontal="center" vertical="center"/>
    </xf>
    <xf numFmtId="0" fontId="7" fillId="9" borderId="2" xfId="0" applyFont="1" applyFill="1" applyBorder="1" applyAlignment="1">
      <alignment vertical="center"/>
    </xf>
    <xf numFmtId="0" fontId="6" fillId="9" borderId="12" xfId="0" applyFont="1" applyFill="1" applyBorder="1" applyAlignment="1">
      <alignment horizontal="left" vertical="center"/>
    </xf>
    <xf numFmtId="43" fontId="6" fillId="9" borderId="4" xfId="0" applyNumberFormat="1" applyFont="1" applyFill="1" applyBorder="1" applyAlignment="1">
      <alignment vertical="center"/>
    </xf>
    <xf numFmtId="0" fontId="6" fillId="9" borderId="9" xfId="0" applyFont="1" applyFill="1" applyBorder="1" applyAlignment="1">
      <alignment horizontal="justify" vertical="center"/>
    </xf>
    <xf numFmtId="43" fontId="6" fillId="9" borderId="4" xfId="0" applyNumberFormat="1" applyFont="1" applyFill="1" applyBorder="1" applyAlignment="1">
      <alignment horizontal="center" vertical="center"/>
    </xf>
    <xf numFmtId="0" fontId="6" fillId="9" borderId="3" xfId="0" applyFont="1" applyFill="1" applyBorder="1" applyAlignment="1">
      <alignment vertical="center"/>
    </xf>
    <xf numFmtId="0" fontId="7" fillId="9" borderId="5" xfId="0" applyFont="1" applyFill="1" applyBorder="1" applyAlignment="1">
      <alignment horizontal="center" vertical="center"/>
    </xf>
    <xf numFmtId="43" fontId="7" fillId="5" borderId="4" xfId="0" applyNumberFormat="1" applyFont="1" applyFill="1" applyBorder="1" applyAlignment="1">
      <alignment horizontal="center" vertical="center" wrapText="1"/>
    </xf>
    <xf numFmtId="0" fontId="7" fillId="11" borderId="1" xfId="0" applyFont="1" applyFill="1" applyBorder="1" applyAlignment="1">
      <alignment horizontal="justify" vertical="center"/>
    </xf>
    <xf numFmtId="43" fontId="7" fillId="5" borderId="2" xfId="0" applyNumberFormat="1" applyFont="1" applyFill="1" applyBorder="1" applyAlignment="1">
      <alignment horizontal="center" vertical="center" wrapText="1"/>
    </xf>
    <xf numFmtId="0" fontId="6" fillId="0" borderId="4" xfId="0" applyFont="1" applyBorder="1"/>
    <xf numFmtId="43" fontId="6" fillId="5" borderId="1" xfId="0" applyNumberFormat="1" applyFont="1" applyFill="1" applyBorder="1" applyAlignment="1">
      <alignment vertical="center"/>
    </xf>
    <xf numFmtId="43" fontId="6" fillId="5" borderId="1" xfId="0" applyNumberFormat="1" applyFont="1" applyFill="1" applyBorder="1" applyAlignment="1">
      <alignment horizontal="center" vertical="center"/>
    </xf>
    <xf numFmtId="176" fontId="6" fillId="5" borderId="4" xfId="0" applyNumberFormat="1" applyFont="1" applyFill="1" applyBorder="1" applyAlignment="1">
      <alignment horizontal="center" vertical="center"/>
    </xf>
    <xf numFmtId="43" fontId="7" fillId="0" borderId="0" xfId="0" applyNumberFormat="1" applyFont="1" applyAlignment="1">
      <alignment horizontal="center"/>
    </xf>
    <xf numFmtId="0" fontId="7" fillId="9" borderId="4" xfId="0" applyFont="1" applyFill="1" applyBorder="1" applyAlignment="1">
      <alignment horizontal="justify" vertical="center"/>
    </xf>
    <xf numFmtId="0" fontId="3" fillId="0" borderId="0" xfId="0" applyFont="1" applyAlignment="1">
      <alignment horizontal="justify"/>
    </xf>
    <xf numFmtId="165" fontId="3" fillId="0" borderId="0" xfId="20" applyFont="1" applyAlignment="1">
      <alignment horizontal="center"/>
    </xf>
    <xf numFmtId="0" fontId="3" fillId="0" borderId="0" xfId="0" applyFont="1" applyAlignment="1">
      <alignment horizontal="justify" wrapText="1"/>
    </xf>
    <xf numFmtId="176" fontId="3" fillId="0" borderId="0" xfId="0" applyNumberFormat="1" applyFont="1" applyAlignment="1">
      <alignment horizontal="justify"/>
    </xf>
    <xf numFmtId="42" fontId="3" fillId="0" borderId="0" xfId="8" applyFont="1" applyFill="1" applyBorder="1" applyAlignment="1">
      <alignment horizontal="justify"/>
    </xf>
    <xf numFmtId="42" fontId="3" fillId="0" borderId="0" xfId="8" applyFont="1" applyFill="1" applyBorder="1"/>
    <xf numFmtId="176" fontId="3" fillId="0" borderId="0" xfId="0" applyNumberFormat="1" applyFont="1" applyFill="1" applyBorder="1" applyAlignment="1">
      <alignment horizontal="center" vertical="center"/>
    </xf>
    <xf numFmtId="165" fontId="3" fillId="0" borderId="0" xfId="20" applyFont="1"/>
    <xf numFmtId="0" fontId="4" fillId="0" borderId="9" xfId="0" applyFont="1" applyBorder="1" applyAlignment="1">
      <alignment horizontal="left" vertical="top"/>
    </xf>
    <xf numFmtId="0" fontId="3" fillId="0" borderId="9" xfId="0" applyFont="1" applyBorder="1" applyAlignment="1">
      <alignment horizontal="left" vertical="top"/>
    </xf>
    <xf numFmtId="176" fontId="3" fillId="0" borderId="0" xfId="0" applyNumberFormat="1" applyFont="1" applyAlignment="1">
      <alignment horizontal="left" vertical="top"/>
    </xf>
    <xf numFmtId="0" fontId="3" fillId="0" borderId="0" xfId="0" applyFont="1" applyAlignment="1">
      <alignment horizontal="left"/>
    </xf>
    <xf numFmtId="42" fontId="3" fillId="0" borderId="0" xfId="8" applyFont="1" applyAlignment="1">
      <alignment horizontal="justify"/>
    </xf>
    <xf numFmtId="42" fontId="3" fillId="0" borderId="0" xfId="8" applyFont="1"/>
    <xf numFmtId="176" fontId="3" fillId="0" borderId="0" xfId="0" applyNumberFormat="1" applyFont="1" applyAlignment="1">
      <alignment horizontal="center" vertical="center"/>
    </xf>
    <xf numFmtId="176" fontId="3" fillId="0" borderId="0" xfId="8" applyNumberFormat="1" applyFont="1" applyAlignment="1">
      <alignment horizontal="justify"/>
    </xf>
    <xf numFmtId="0" fontId="14" fillId="5" borderId="1" xfId="0" applyFont="1" applyFill="1" applyBorder="1" applyAlignment="1">
      <alignment horizontal="center" vertical="center"/>
    </xf>
    <xf numFmtId="170" fontId="6" fillId="6" borderId="9"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left" vertical="center"/>
    </xf>
    <xf numFmtId="3" fontId="6" fillId="7" borderId="0" xfId="0" applyNumberFormat="1" applyFont="1" applyFill="1" applyBorder="1" applyAlignment="1">
      <alignment horizontal="center" vertical="center" wrapText="1"/>
    </xf>
    <xf numFmtId="170" fontId="6" fillId="7"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4" fontId="7" fillId="0" borderId="17" xfId="7" applyFont="1" applyFill="1" applyBorder="1" applyAlignment="1">
      <alignment horizontal="center" vertical="center"/>
    </xf>
    <xf numFmtId="44" fontId="7" fillId="0" borderId="1" xfId="7" applyFont="1" applyFill="1" applyBorder="1" applyAlignment="1">
      <alignment horizontal="center" vertical="center"/>
    </xf>
    <xf numFmtId="3" fontId="6" fillId="0" borderId="1" xfId="0" applyNumberFormat="1" applyFont="1" applyBorder="1" applyAlignment="1">
      <alignment vertical="center"/>
    </xf>
    <xf numFmtId="12" fontId="6" fillId="0" borderId="5" xfId="8" applyNumberFormat="1" applyFont="1" applyBorder="1" applyAlignment="1">
      <alignment vertical="center"/>
    </xf>
    <xf numFmtId="172" fontId="6" fillId="0" borderId="1" xfId="0" applyNumberFormat="1" applyFont="1" applyBorder="1" applyAlignment="1">
      <alignment horizontal="center" vertical="center"/>
    </xf>
    <xf numFmtId="2" fontId="11" fillId="14" borderId="4" xfId="0" applyNumberFormat="1" applyFont="1" applyFill="1" applyBorder="1" applyAlignment="1">
      <alignment vertical="center" wrapText="1"/>
    </xf>
    <xf numFmtId="172" fontId="7" fillId="0" borderId="0" xfId="0" applyNumberFormat="1" applyFont="1" applyBorder="1" applyAlignment="1">
      <alignment horizontal="center"/>
    </xf>
    <xf numFmtId="0" fontId="10" fillId="0" borderId="0" xfId="16" applyFont="1" applyFill="1"/>
    <xf numFmtId="0" fontId="10" fillId="0" borderId="0" xfId="16" applyFont="1"/>
    <xf numFmtId="0" fontId="9" fillId="0" borderId="9" xfId="16" applyFont="1" applyBorder="1" applyAlignment="1">
      <alignment horizontal="center" vertical="center"/>
    </xf>
    <xf numFmtId="0" fontId="9" fillId="0" borderId="2" xfId="16" applyFont="1" applyBorder="1" applyAlignment="1">
      <alignment horizontal="center" vertical="center"/>
    </xf>
    <xf numFmtId="3" fontId="9" fillId="2" borderId="0" xfId="16" applyNumberFormat="1" applyFont="1" applyFill="1" applyBorder="1" applyAlignment="1">
      <alignment vertical="center" wrapText="1"/>
    </xf>
    <xf numFmtId="0" fontId="9" fillId="6" borderId="4" xfId="16" applyFont="1" applyFill="1" applyBorder="1" applyAlignment="1">
      <alignment horizontal="center" vertical="center" wrapText="1"/>
    </xf>
    <xf numFmtId="0" fontId="9" fillId="6" borderId="4" xfId="16" applyFont="1" applyFill="1" applyBorder="1" applyAlignment="1">
      <alignment vertical="center"/>
    </xf>
    <xf numFmtId="0" fontId="9" fillId="6" borderId="4" xfId="16" applyFont="1" applyFill="1" applyBorder="1" applyAlignment="1">
      <alignment horizontal="justify" vertical="center"/>
    </xf>
    <xf numFmtId="0" fontId="9" fillId="6" borderId="4" xfId="16" applyFont="1" applyFill="1" applyBorder="1" applyAlignment="1">
      <alignment horizontal="center" vertical="center"/>
    </xf>
    <xf numFmtId="0" fontId="10" fillId="6" borderId="4" xfId="16" applyFont="1" applyFill="1" applyBorder="1" applyAlignment="1">
      <alignment vertical="center"/>
    </xf>
    <xf numFmtId="175" fontId="9" fillId="6" borderId="4" xfId="6" applyNumberFormat="1" applyFont="1" applyFill="1" applyBorder="1" applyAlignment="1">
      <alignment vertical="center"/>
    </xf>
    <xf numFmtId="0" fontId="9" fillId="6" borderId="5" xfId="16" applyFont="1" applyFill="1" applyBorder="1" applyAlignment="1">
      <alignment vertical="center"/>
    </xf>
    <xf numFmtId="175" fontId="10" fillId="0" borderId="0" xfId="17" applyNumberFormat="1" applyFont="1" applyFill="1" applyBorder="1" applyAlignment="1">
      <alignment horizontal="justify" vertical="center"/>
    </xf>
    <xf numFmtId="0" fontId="10" fillId="0" borderId="0" xfId="16" applyFont="1" applyFill="1" applyBorder="1"/>
    <xf numFmtId="0" fontId="9" fillId="10" borderId="9" xfId="16" applyFont="1" applyFill="1" applyBorder="1" applyAlignment="1">
      <alignment horizontal="center" vertical="center"/>
    </xf>
    <xf numFmtId="0" fontId="9" fillId="10" borderId="9" xfId="16" applyFont="1" applyFill="1" applyBorder="1" applyAlignment="1">
      <alignment vertical="center"/>
    </xf>
    <xf numFmtId="0" fontId="9" fillId="10" borderId="4" xfId="16" applyFont="1" applyFill="1" applyBorder="1" applyAlignment="1">
      <alignment vertical="center"/>
    </xf>
    <xf numFmtId="0" fontId="9" fillId="10" borderId="4" xfId="16" applyFont="1" applyFill="1" applyBorder="1" applyAlignment="1">
      <alignment horizontal="justify" vertical="center"/>
    </xf>
    <xf numFmtId="0" fontId="9" fillId="10" borderId="4" xfId="16" applyFont="1" applyFill="1" applyBorder="1" applyAlignment="1">
      <alignment horizontal="center" vertical="center"/>
    </xf>
    <xf numFmtId="0" fontId="10" fillId="10" borderId="4" xfId="16" applyFont="1" applyFill="1" applyBorder="1" applyAlignment="1">
      <alignment vertical="center"/>
    </xf>
    <xf numFmtId="175" fontId="9" fillId="10" borderId="4" xfId="6" applyNumberFormat="1" applyFont="1" applyFill="1" applyBorder="1" applyAlignment="1">
      <alignment vertical="center"/>
    </xf>
    <xf numFmtId="0" fontId="9" fillId="10" borderId="5" xfId="16" applyFont="1" applyFill="1" applyBorder="1" applyAlignment="1">
      <alignment vertical="center"/>
    </xf>
    <xf numFmtId="0" fontId="9" fillId="0" borderId="15" xfId="16" applyFont="1" applyFill="1" applyBorder="1" applyAlignment="1">
      <alignment vertical="center" wrapText="1"/>
    </xf>
    <xf numFmtId="0" fontId="9" fillId="0" borderId="0" xfId="16" applyFont="1" applyFill="1" applyBorder="1" applyAlignment="1">
      <alignment vertical="center" wrapText="1"/>
    </xf>
    <xf numFmtId="0" fontId="9" fillId="0" borderId="16" xfId="16" applyFont="1" applyFill="1" applyBorder="1" applyAlignment="1">
      <alignment vertical="center" wrapText="1"/>
    </xf>
    <xf numFmtId="0" fontId="9" fillId="0" borderId="9" xfId="16" applyFont="1" applyFill="1" applyBorder="1" applyAlignment="1">
      <alignment vertical="center" wrapText="1"/>
    </xf>
    <xf numFmtId="0" fontId="9" fillId="0" borderId="7" xfId="16" applyFont="1" applyFill="1" applyBorder="1" applyAlignment="1">
      <alignment vertical="center" wrapText="1"/>
    </xf>
    <xf numFmtId="0" fontId="9" fillId="12" borderId="4" xfId="16" applyFont="1" applyFill="1" applyBorder="1" applyAlignment="1">
      <alignment horizontal="center" vertical="center" wrapText="1"/>
    </xf>
    <xf numFmtId="0" fontId="9" fillId="12" borderId="4" xfId="16" applyFont="1" applyFill="1" applyBorder="1" applyAlignment="1">
      <alignment vertical="center"/>
    </xf>
    <xf numFmtId="0" fontId="9" fillId="12" borderId="4" xfId="16" applyFont="1" applyFill="1" applyBorder="1" applyAlignment="1">
      <alignment horizontal="justify" vertical="center"/>
    </xf>
    <xf numFmtId="0" fontId="9" fillId="12" borderId="4" xfId="16" applyFont="1" applyFill="1" applyBorder="1" applyAlignment="1">
      <alignment horizontal="center" vertical="center"/>
    </xf>
    <xf numFmtId="0" fontId="10" fillId="12" borderId="4" xfId="16" applyFont="1" applyFill="1" applyBorder="1" applyAlignment="1">
      <alignment vertical="center"/>
    </xf>
    <xf numFmtId="175" fontId="9" fillId="12" borderId="4" xfId="6" applyNumberFormat="1" applyFont="1" applyFill="1" applyBorder="1" applyAlignment="1">
      <alignment vertical="center"/>
    </xf>
    <xf numFmtId="0" fontId="9" fillId="12" borderId="5" xfId="16" applyFont="1" applyFill="1" applyBorder="1" applyAlignment="1">
      <alignment vertical="center"/>
    </xf>
    <xf numFmtId="0" fontId="10" fillId="5" borderId="15" xfId="16" applyFont="1" applyFill="1" applyBorder="1" applyAlignment="1">
      <alignment vertical="center" wrapText="1"/>
    </xf>
    <xf numFmtId="0" fontId="10" fillId="5" borderId="0" xfId="16" applyFont="1" applyFill="1" applyBorder="1" applyAlignment="1">
      <alignment vertical="center" wrapText="1"/>
    </xf>
    <xf numFmtId="0" fontId="10" fillId="5" borderId="16" xfId="16" applyFont="1" applyFill="1" applyBorder="1" applyAlignment="1">
      <alignment vertical="center" wrapText="1"/>
    </xf>
    <xf numFmtId="0" fontId="10" fillId="5" borderId="6" xfId="16" applyFont="1" applyFill="1" applyBorder="1" applyAlignment="1">
      <alignment vertical="center" wrapText="1"/>
    </xf>
    <xf numFmtId="0" fontId="10" fillId="5" borderId="9" xfId="16" applyFont="1" applyFill="1" applyBorder="1" applyAlignment="1">
      <alignment vertical="center" wrapText="1"/>
    </xf>
    <xf numFmtId="0" fontId="10" fillId="5" borderId="7" xfId="16" applyFont="1" applyFill="1" applyBorder="1" applyAlignment="1">
      <alignment vertical="center" wrapText="1"/>
    </xf>
    <xf numFmtId="0" fontId="10" fillId="5" borderId="1" xfId="16" applyFont="1" applyFill="1" applyBorder="1" applyAlignment="1">
      <alignment horizontal="center" vertical="center" wrapText="1"/>
    </xf>
    <xf numFmtId="0" fontId="10" fillId="5" borderId="1" xfId="16" applyFont="1" applyFill="1" applyBorder="1" applyAlignment="1">
      <alignment horizontal="justify" vertical="center" wrapText="1"/>
    </xf>
    <xf numFmtId="0" fontId="10" fillId="5" borderId="8" xfId="16" applyFont="1" applyFill="1" applyBorder="1" applyAlignment="1">
      <alignment horizontal="center" vertical="center" wrapText="1"/>
    </xf>
    <xf numFmtId="9" fontId="10" fillId="5" borderId="1" xfId="5" applyFont="1" applyFill="1" applyBorder="1" applyAlignment="1">
      <alignment horizontal="center" vertical="center" wrapText="1"/>
    </xf>
    <xf numFmtId="0" fontId="10" fillId="5" borderId="12" xfId="16" applyFont="1" applyFill="1" applyBorder="1" applyAlignment="1">
      <alignment horizontal="justify" vertical="center" wrapText="1"/>
    </xf>
    <xf numFmtId="164" fontId="10" fillId="5" borderId="3" xfId="18" applyFont="1" applyFill="1" applyBorder="1" applyAlignment="1">
      <alignment horizontal="center" vertical="center" wrapText="1"/>
    </xf>
    <xf numFmtId="0" fontId="10" fillId="5" borderId="0" xfId="16" applyFont="1" applyFill="1" applyAlignment="1">
      <alignment wrapText="1"/>
    </xf>
    <xf numFmtId="0" fontId="10" fillId="5" borderId="0" xfId="16" applyFont="1" applyFill="1"/>
    <xf numFmtId="164" fontId="10" fillId="0" borderId="3" xfId="18" applyFont="1" applyFill="1" applyBorder="1" applyAlignment="1">
      <alignment horizontal="center" vertical="center" wrapText="1"/>
    </xf>
    <xf numFmtId="0" fontId="10" fillId="5" borderId="0" xfId="16" applyFont="1" applyFill="1" applyBorder="1" applyAlignment="1">
      <alignment horizontal="center" vertical="center" wrapText="1"/>
    </xf>
    <xf numFmtId="0" fontId="10" fillId="5" borderId="2" xfId="16" applyFont="1" applyFill="1" applyBorder="1" applyAlignment="1">
      <alignment vertical="center" wrapText="1"/>
    </xf>
    <xf numFmtId="0" fontId="10" fillId="5" borderId="13" xfId="16" applyFont="1" applyFill="1" applyBorder="1" applyAlignment="1">
      <alignment vertical="center" wrapText="1"/>
    </xf>
    <xf numFmtId="0" fontId="10" fillId="5" borderId="12" xfId="16" applyFont="1" applyFill="1" applyBorder="1" applyAlignment="1">
      <alignment vertical="center" wrapText="1"/>
    </xf>
    <xf numFmtId="0" fontId="10" fillId="0" borderId="16" xfId="16" applyFont="1" applyFill="1" applyBorder="1"/>
    <xf numFmtId="0" fontId="9" fillId="10" borderId="4" xfId="16" applyFont="1" applyFill="1" applyBorder="1" applyAlignment="1">
      <alignment horizontal="justify" vertical="center" wrapText="1"/>
    </xf>
    <xf numFmtId="0" fontId="9" fillId="10" borderId="3" xfId="16" applyFont="1" applyFill="1" applyBorder="1" applyAlignment="1">
      <alignment vertical="center"/>
    </xf>
    <xf numFmtId="164" fontId="10" fillId="10" borderId="4" xfId="16" applyNumberFormat="1" applyFont="1" applyFill="1" applyBorder="1" applyAlignment="1">
      <alignment vertical="center"/>
    </xf>
    <xf numFmtId="1" fontId="9" fillId="10" borderId="4" xfId="16" applyNumberFormat="1" applyFont="1" applyFill="1" applyBorder="1" applyAlignment="1">
      <alignment horizontal="center" vertical="center"/>
    </xf>
    <xf numFmtId="0" fontId="9" fillId="10" borderId="5" xfId="16" applyFont="1" applyFill="1" applyBorder="1" applyAlignment="1">
      <alignment horizontal="justify" vertical="center"/>
    </xf>
    <xf numFmtId="0" fontId="9" fillId="12" borderId="4" xfId="16" applyFont="1" applyFill="1" applyBorder="1" applyAlignment="1">
      <alignment horizontal="justify" vertical="center" wrapText="1"/>
    </xf>
    <xf numFmtId="1" fontId="9" fillId="12" borderId="4" xfId="16" applyNumberFormat="1" applyFont="1" applyFill="1" applyBorder="1" applyAlignment="1">
      <alignment horizontal="center" vertical="center"/>
    </xf>
    <xf numFmtId="0" fontId="9" fillId="12" borderId="5" xfId="16" applyFont="1" applyFill="1" applyBorder="1" applyAlignment="1">
      <alignment horizontal="justify" vertical="center"/>
    </xf>
    <xf numFmtId="49" fontId="10" fillId="0" borderId="1" xfId="19" applyNumberFormat="1" applyFont="1" applyFill="1" applyBorder="1" applyAlignment="1">
      <alignment horizontal="justify" vertical="center" wrapText="1"/>
    </xf>
    <xf numFmtId="0" fontId="10" fillId="0" borderId="0" xfId="16" applyFont="1" applyFill="1" applyAlignment="1">
      <alignment wrapText="1"/>
    </xf>
    <xf numFmtId="0" fontId="10" fillId="0" borderId="0" xfId="16" applyFont="1" applyBorder="1"/>
    <xf numFmtId="0" fontId="9" fillId="5" borderId="15" xfId="16" applyFont="1" applyFill="1" applyBorder="1" applyAlignment="1">
      <alignment vertical="center" wrapText="1"/>
    </xf>
    <xf numFmtId="0" fontId="9" fillId="5" borderId="0" xfId="16" applyFont="1" applyFill="1" applyBorder="1" applyAlignment="1">
      <alignment vertical="center" wrapText="1"/>
    </xf>
    <xf numFmtId="0" fontId="9" fillId="5" borderId="16" xfId="16" applyFont="1" applyFill="1" applyBorder="1" applyAlignment="1">
      <alignment vertical="center" wrapText="1"/>
    </xf>
    <xf numFmtId="0" fontId="9" fillId="5" borderId="6" xfId="16" applyFont="1" applyFill="1" applyBorder="1" applyAlignment="1">
      <alignment vertical="center" wrapText="1"/>
    </xf>
    <xf numFmtId="0" fontId="9" fillId="5" borderId="9" xfId="16" applyFont="1" applyFill="1" applyBorder="1" applyAlignment="1">
      <alignment vertical="center" wrapText="1"/>
    </xf>
    <xf numFmtId="0" fontId="9" fillId="5" borderId="7" xfId="16" applyFont="1" applyFill="1" applyBorder="1" applyAlignment="1">
      <alignment vertical="center" wrapText="1"/>
    </xf>
    <xf numFmtId="49" fontId="10" fillId="5" borderId="1" xfId="19" applyNumberFormat="1" applyFont="1" applyFill="1" applyBorder="1" applyAlignment="1">
      <alignment horizontal="justify" vertical="center" wrapText="1"/>
    </xf>
    <xf numFmtId="44" fontId="10" fillId="0" borderId="1" xfId="7" applyFont="1" applyFill="1" applyBorder="1" applyAlignment="1">
      <alignment horizontal="center" vertical="center" wrapText="1"/>
    </xf>
    <xf numFmtId="0" fontId="9" fillId="5" borderId="12" xfId="16" applyFont="1" applyFill="1" applyBorder="1" applyAlignment="1">
      <alignment vertical="center" wrapText="1"/>
    </xf>
    <xf numFmtId="0" fontId="9" fillId="5" borderId="2" xfId="16" applyFont="1" applyFill="1" applyBorder="1" applyAlignment="1">
      <alignment vertical="center" wrapText="1"/>
    </xf>
    <xf numFmtId="0" fontId="9" fillId="5" borderId="13" xfId="16" applyFont="1" applyFill="1" applyBorder="1" applyAlignment="1">
      <alignment vertical="center" wrapText="1"/>
    </xf>
    <xf numFmtId="0" fontId="10" fillId="5" borderId="17" xfId="16" applyFont="1" applyFill="1" applyBorder="1" applyAlignment="1">
      <alignment horizontal="center" vertical="center" wrapText="1"/>
    </xf>
    <xf numFmtId="9" fontId="10" fillId="5" borderId="8" xfId="5" applyFont="1" applyFill="1" applyBorder="1" applyAlignment="1">
      <alignment horizontal="center" vertical="center" wrapText="1"/>
    </xf>
    <xf numFmtId="0" fontId="10" fillId="5" borderId="0" xfId="16" applyFont="1" applyFill="1" applyAlignment="1">
      <alignment horizontal="center" vertical="center" wrapText="1"/>
    </xf>
    <xf numFmtId="49" fontId="10" fillId="0" borderId="1" xfId="19" applyNumberFormat="1" applyFont="1" applyFill="1" applyBorder="1" applyAlignment="1">
      <alignment horizontal="justify" vertical="top" wrapText="1"/>
    </xf>
    <xf numFmtId="0" fontId="10" fillId="15" borderId="0" xfId="16" applyFont="1" applyFill="1"/>
    <xf numFmtId="0" fontId="10" fillId="5" borderId="15" xfId="16" applyFont="1" applyFill="1" applyBorder="1" applyAlignment="1">
      <alignment horizontal="justify" vertical="center" wrapText="1"/>
    </xf>
    <xf numFmtId="0" fontId="10" fillId="5" borderId="17" xfId="16" applyFont="1" applyFill="1" applyBorder="1" applyAlignment="1">
      <alignment horizontal="justify" vertical="center" wrapText="1"/>
    </xf>
    <xf numFmtId="164" fontId="10" fillId="5" borderId="1" xfId="18" applyFont="1" applyFill="1" applyBorder="1" applyAlignment="1">
      <alignment horizontal="center" vertical="center" wrapText="1"/>
    </xf>
    <xf numFmtId="9" fontId="10" fillId="5" borderId="14" xfId="5" applyFont="1" applyFill="1" applyBorder="1" applyAlignment="1">
      <alignment horizontal="center" vertical="center" wrapText="1"/>
    </xf>
    <xf numFmtId="164" fontId="10" fillId="5" borderId="17" xfId="18" applyFont="1" applyFill="1" applyBorder="1" applyAlignment="1">
      <alignment horizontal="center" vertical="center" wrapText="1"/>
    </xf>
    <xf numFmtId="9" fontId="10" fillId="5" borderId="17" xfId="5" applyFont="1" applyFill="1" applyBorder="1" applyAlignment="1">
      <alignment horizontal="center" vertical="center" wrapText="1"/>
    </xf>
    <xf numFmtId="0" fontId="10" fillId="5" borderId="0" xfId="16" applyFont="1" applyFill="1" applyAlignment="1">
      <alignment vertical="center" wrapText="1"/>
    </xf>
    <xf numFmtId="0" fontId="10" fillId="0" borderId="15" xfId="16" applyFont="1" applyFill="1" applyBorder="1" applyAlignment="1">
      <alignment vertical="center" wrapText="1"/>
    </xf>
    <xf numFmtId="0" fontId="10" fillId="0" borderId="0" xfId="16" applyFont="1" applyFill="1" applyBorder="1" applyAlignment="1">
      <alignment vertical="center" wrapText="1"/>
    </xf>
    <xf numFmtId="0" fontId="10" fillId="0" borderId="16" xfId="16" applyFont="1" applyFill="1" applyBorder="1" applyAlignment="1">
      <alignment vertical="center" wrapText="1"/>
    </xf>
    <xf numFmtId="0" fontId="10" fillId="0" borderId="8" xfId="16" applyFont="1" applyFill="1" applyBorder="1" applyAlignment="1">
      <alignment horizontal="center" vertical="center" wrapText="1"/>
    </xf>
    <xf numFmtId="1" fontId="10" fillId="0" borderId="8" xfId="16" applyNumberFormat="1" applyFont="1" applyFill="1" applyBorder="1" applyAlignment="1">
      <alignment horizontal="center" vertical="center" wrapText="1"/>
    </xf>
    <xf numFmtId="0" fontId="10" fillId="0" borderId="14" xfId="16" applyFont="1" applyFill="1" applyBorder="1" applyAlignment="1">
      <alignment horizontal="center" vertical="center" wrapText="1"/>
    </xf>
    <xf numFmtId="1" fontId="10" fillId="0" borderId="14" xfId="16" applyNumberFormat="1" applyFont="1" applyFill="1" applyBorder="1" applyAlignment="1">
      <alignment horizontal="center" vertical="center" wrapText="1"/>
    </xf>
    <xf numFmtId="0" fontId="10" fillId="0" borderId="8" xfId="16" applyFont="1" applyFill="1" applyBorder="1" applyAlignment="1">
      <alignment horizontal="justify" vertical="center" wrapText="1"/>
    </xf>
    <xf numFmtId="0" fontId="10" fillId="0" borderId="17" xfId="16" applyFont="1" applyFill="1" applyBorder="1" applyAlignment="1">
      <alignment horizontal="center" vertical="center" wrapText="1"/>
    </xf>
    <xf numFmtId="9" fontId="10" fillId="0" borderId="8" xfId="5" applyFont="1" applyFill="1" applyBorder="1" applyAlignment="1">
      <alignment horizontal="center" vertical="center" wrapText="1"/>
    </xf>
    <xf numFmtId="0" fontId="10" fillId="5" borderId="8" xfId="16" applyFont="1" applyFill="1" applyBorder="1" applyAlignment="1">
      <alignment horizontal="justify" vertical="center" wrapText="1"/>
    </xf>
    <xf numFmtId="42" fontId="10" fillId="5" borderId="17" xfId="8" applyFont="1" applyFill="1" applyBorder="1" applyAlignment="1">
      <alignment horizontal="center" vertical="center" wrapText="1"/>
    </xf>
    <xf numFmtId="0" fontId="1" fillId="0" borderId="0" xfId="0" applyFont="1" applyAlignment="1">
      <alignment horizontal="center" vertical="center" wrapText="1"/>
    </xf>
    <xf numFmtId="0" fontId="10" fillId="0" borderId="12" xfId="16" applyFont="1" applyFill="1" applyBorder="1" applyAlignment="1">
      <alignment vertical="center" wrapText="1"/>
    </xf>
    <xf numFmtId="0" fontId="10" fillId="0" borderId="2" xfId="16" applyFont="1" applyFill="1" applyBorder="1" applyAlignment="1">
      <alignment vertical="center" wrapText="1"/>
    </xf>
    <xf numFmtId="0" fontId="10" fillId="0" borderId="13" xfId="16" applyFont="1" applyFill="1" applyBorder="1" applyAlignment="1">
      <alignment vertical="center" wrapText="1"/>
    </xf>
    <xf numFmtId="1" fontId="10" fillId="0" borderId="17" xfId="16" applyNumberFormat="1" applyFont="1" applyFill="1" applyBorder="1" applyAlignment="1">
      <alignment horizontal="center" vertical="center" wrapText="1"/>
    </xf>
    <xf numFmtId="42" fontId="10" fillId="12" borderId="4" xfId="16" applyNumberFormat="1" applyFont="1" applyFill="1" applyBorder="1" applyAlignment="1">
      <alignment vertical="center"/>
    </xf>
    <xf numFmtId="1" fontId="10" fillId="5" borderId="8" xfId="16" applyNumberFormat="1" applyFont="1" applyFill="1" applyBorder="1" applyAlignment="1">
      <alignment vertical="center" wrapText="1"/>
    </xf>
    <xf numFmtId="0" fontId="10" fillId="5" borderId="14" xfId="16" applyFont="1" applyFill="1" applyBorder="1" applyAlignment="1">
      <alignment horizontal="center" vertical="center" wrapText="1"/>
    </xf>
    <xf numFmtId="1" fontId="10" fillId="5" borderId="14" xfId="16" applyNumberFormat="1" applyFont="1" applyFill="1" applyBorder="1" applyAlignment="1">
      <alignment vertical="center" wrapText="1"/>
    </xf>
    <xf numFmtId="1" fontId="10" fillId="5" borderId="14" xfId="16" applyNumberFormat="1" applyFont="1" applyFill="1" applyBorder="1" applyAlignment="1">
      <alignment horizontal="center" vertical="center" wrapText="1"/>
    </xf>
    <xf numFmtId="1" fontId="10" fillId="5" borderId="17" xfId="16" applyNumberFormat="1" applyFont="1" applyFill="1" applyBorder="1" applyAlignment="1">
      <alignment vertical="center" wrapText="1"/>
    </xf>
    <xf numFmtId="1" fontId="10" fillId="5" borderId="8" xfId="16" applyNumberFormat="1" applyFont="1" applyFill="1" applyBorder="1" applyAlignment="1">
      <alignment horizontal="center" vertical="center" wrapText="1"/>
    </xf>
    <xf numFmtId="42" fontId="10" fillId="5" borderId="1" xfId="8" applyFont="1" applyFill="1" applyBorder="1" applyAlignment="1">
      <alignment horizontal="center" vertical="center" wrapText="1"/>
    </xf>
    <xf numFmtId="1" fontId="10" fillId="5" borderId="17" xfId="16" applyNumberFormat="1" applyFont="1" applyFill="1" applyBorder="1" applyAlignment="1">
      <alignment horizontal="center" vertical="center" wrapText="1"/>
    </xf>
    <xf numFmtId="0" fontId="10" fillId="5" borderId="1" xfId="16" applyFont="1" applyFill="1" applyBorder="1" applyAlignment="1">
      <alignment vertical="center" wrapText="1"/>
    </xf>
    <xf numFmtId="0" fontId="10" fillId="5" borderId="1" xfId="16" applyFont="1" applyFill="1" applyBorder="1" applyAlignment="1">
      <alignment horizontal="left" vertical="center" wrapText="1"/>
    </xf>
    <xf numFmtId="42" fontId="10" fillId="12" borderId="4" xfId="8" applyFont="1" applyFill="1" applyBorder="1" applyAlignment="1">
      <alignment vertical="center"/>
    </xf>
    <xf numFmtId="175" fontId="10" fillId="5" borderId="0" xfId="17" applyNumberFormat="1" applyFont="1" applyFill="1" applyBorder="1" applyAlignment="1">
      <alignment horizontal="justify" vertical="center"/>
    </xf>
    <xf numFmtId="0" fontId="9" fillId="10" borderId="0" xfId="16" applyFont="1" applyFill="1" applyBorder="1" applyAlignment="1">
      <alignment horizontal="justify" vertical="center" wrapText="1"/>
    </xf>
    <xf numFmtId="0" fontId="9" fillId="10" borderId="0" xfId="16" applyFont="1" applyFill="1" applyBorder="1" applyAlignment="1">
      <alignment vertical="center"/>
    </xf>
    <xf numFmtId="0" fontId="9" fillId="10" borderId="2" xfId="16" applyFont="1" applyFill="1" applyBorder="1" applyAlignment="1">
      <alignment vertical="center"/>
    </xf>
    <xf numFmtId="0" fontId="9" fillId="10" borderId="2" xfId="16" applyFont="1" applyFill="1" applyBorder="1" applyAlignment="1">
      <alignment horizontal="justify" vertical="center"/>
    </xf>
    <xf numFmtId="0" fontId="9" fillId="10" borderId="2" xfId="16" applyFont="1" applyFill="1" applyBorder="1" applyAlignment="1">
      <alignment horizontal="center" vertical="center"/>
    </xf>
    <xf numFmtId="42" fontId="10" fillId="10" borderId="2" xfId="8" applyFont="1" applyFill="1" applyBorder="1" applyAlignment="1">
      <alignment vertical="center"/>
    </xf>
    <xf numFmtId="1" fontId="9" fillId="10" borderId="2" xfId="16" applyNumberFormat="1" applyFont="1" applyFill="1" applyBorder="1" applyAlignment="1">
      <alignment horizontal="center" vertical="center"/>
    </xf>
    <xf numFmtId="0" fontId="9" fillId="10" borderId="13" xfId="16" applyFont="1" applyFill="1" applyBorder="1" applyAlignment="1">
      <alignment horizontal="justify" vertical="center"/>
    </xf>
    <xf numFmtId="0" fontId="10" fillId="5" borderId="3" xfId="16" applyFont="1" applyFill="1" applyBorder="1" applyAlignment="1">
      <alignment vertical="center" wrapText="1"/>
    </xf>
    <xf numFmtId="0" fontId="10" fillId="5" borderId="4" xfId="16" applyFont="1" applyFill="1" applyBorder="1" applyAlignment="1">
      <alignment vertical="center" wrapText="1"/>
    </xf>
    <xf numFmtId="0" fontId="10" fillId="5" borderId="5" xfId="16" applyFont="1" applyFill="1" applyBorder="1" applyAlignment="1">
      <alignment vertical="center" wrapText="1"/>
    </xf>
    <xf numFmtId="0" fontId="10" fillId="5" borderId="5" xfId="16" applyFont="1" applyFill="1" applyBorder="1" applyAlignment="1">
      <alignment horizontal="center" vertical="center" wrapText="1"/>
    </xf>
    <xf numFmtId="0" fontId="10" fillId="5" borderId="3" xfId="16" applyFont="1" applyFill="1" applyBorder="1" applyAlignment="1">
      <alignment horizontal="center" vertical="center" wrapText="1"/>
    </xf>
    <xf numFmtId="10" fontId="10" fillId="5" borderId="4" xfId="5" applyNumberFormat="1" applyFont="1" applyFill="1" applyBorder="1" applyAlignment="1">
      <alignment horizontal="center" vertical="center" wrapText="1"/>
    </xf>
    <xf numFmtId="0" fontId="10" fillId="5" borderId="5" xfId="16" applyFont="1" applyFill="1" applyBorder="1" applyAlignment="1">
      <alignment horizontal="justify" vertical="center" wrapText="1"/>
    </xf>
    <xf numFmtId="0" fontId="10" fillId="5" borderId="1" xfId="16" quotePrefix="1" applyFont="1" applyFill="1" applyBorder="1" applyAlignment="1">
      <alignment horizontal="justify" vertical="center" wrapText="1"/>
    </xf>
    <xf numFmtId="1" fontId="10" fillId="5" borderId="1" xfId="16" quotePrefix="1" applyNumberFormat="1" applyFont="1" applyFill="1" applyBorder="1" applyAlignment="1">
      <alignment horizontal="center" vertical="center" wrapText="1"/>
    </xf>
    <xf numFmtId="0" fontId="10" fillId="5" borderId="13" xfId="16" applyFont="1" applyFill="1" applyBorder="1" applyAlignment="1">
      <alignment horizontal="center" vertical="center" wrapText="1"/>
    </xf>
    <xf numFmtId="1" fontId="10" fillId="5" borderId="8" xfId="16" quotePrefix="1" applyNumberFormat="1" applyFont="1" applyFill="1" applyBorder="1" applyAlignment="1">
      <alignment horizontal="center" vertical="center" wrapText="1"/>
    </xf>
    <xf numFmtId="1" fontId="10" fillId="5" borderId="17" xfId="16" quotePrefix="1" applyNumberFormat="1" applyFont="1" applyFill="1" applyBorder="1" applyAlignment="1">
      <alignment horizontal="center" vertical="center" wrapText="1"/>
    </xf>
    <xf numFmtId="3" fontId="9" fillId="10" borderId="9" xfId="16" applyNumberFormat="1" applyFont="1" applyFill="1" applyBorder="1" applyAlignment="1">
      <alignment horizontal="justify" vertical="center" wrapText="1"/>
    </xf>
    <xf numFmtId="0" fontId="9" fillId="12" borderId="9" xfId="16" applyFont="1" applyFill="1" applyBorder="1" applyAlignment="1">
      <alignment horizontal="justify" vertical="center" wrapText="1"/>
    </xf>
    <xf numFmtId="0" fontId="9" fillId="12" borderId="9" xfId="16" applyFont="1" applyFill="1" applyBorder="1" applyAlignment="1">
      <alignment vertical="center"/>
    </xf>
    <xf numFmtId="0" fontId="9" fillId="12" borderId="9" xfId="16" applyFont="1" applyFill="1" applyBorder="1" applyAlignment="1">
      <alignment horizontal="justify" vertical="center"/>
    </xf>
    <xf numFmtId="0" fontId="9" fillId="12" borderId="9" xfId="16" applyFont="1" applyFill="1" applyBorder="1" applyAlignment="1">
      <alignment horizontal="center" vertical="center"/>
    </xf>
    <xf numFmtId="0" fontId="10" fillId="12" borderId="9" xfId="16" applyFont="1" applyFill="1" applyBorder="1" applyAlignment="1">
      <alignment vertical="center"/>
    </xf>
    <xf numFmtId="1" fontId="9" fillId="12" borderId="9" xfId="16" applyNumberFormat="1" applyFont="1" applyFill="1" applyBorder="1" applyAlignment="1">
      <alignment horizontal="center" vertical="center"/>
    </xf>
    <xf numFmtId="0" fontId="9" fillId="12" borderId="7" xfId="16" applyFont="1" applyFill="1" applyBorder="1" applyAlignment="1">
      <alignment horizontal="justify" vertical="center"/>
    </xf>
    <xf numFmtId="0" fontId="10" fillId="0" borderId="1" xfId="16" applyFont="1" applyFill="1" applyBorder="1" applyAlignment="1">
      <alignment horizontal="center"/>
    </xf>
    <xf numFmtId="1" fontId="10" fillId="5" borderId="14" xfId="16" quotePrefix="1" applyNumberFormat="1" applyFont="1" applyFill="1" applyBorder="1" applyAlignment="1">
      <alignment horizontal="center" vertical="center" wrapText="1"/>
    </xf>
    <xf numFmtId="0" fontId="10" fillId="0" borderId="0" xfId="16" applyFont="1" applyFill="1" applyBorder="1" applyAlignment="1">
      <alignment horizontal="center"/>
    </xf>
    <xf numFmtId="0" fontId="10" fillId="0" borderId="8" xfId="16" applyFont="1" applyFill="1" applyBorder="1" applyAlignment="1">
      <alignment horizontal="center" vertical="center"/>
    </xf>
    <xf numFmtId="0" fontId="10" fillId="5" borderId="1" xfId="16" quotePrefix="1" applyFont="1" applyFill="1" applyBorder="1" applyAlignment="1">
      <alignment vertical="center" wrapText="1"/>
    </xf>
    <xf numFmtId="164" fontId="10" fillId="0" borderId="17" xfId="18" applyFont="1" applyFill="1" applyBorder="1" applyAlignment="1">
      <alignment vertical="center" wrapText="1"/>
    </xf>
    <xf numFmtId="0" fontId="9" fillId="0" borderId="2" xfId="16" applyFont="1" applyFill="1" applyBorder="1" applyAlignment="1">
      <alignment vertical="center" wrapText="1"/>
    </xf>
    <xf numFmtId="0" fontId="9" fillId="0" borderId="13" xfId="16" applyFont="1" applyFill="1" applyBorder="1" applyAlignment="1">
      <alignment vertical="center" wrapText="1"/>
    </xf>
    <xf numFmtId="0" fontId="9" fillId="12" borderId="0" xfId="16" applyFont="1" applyFill="1" applyBorder="1" applyAlignment="1">
      <alignment horizontal="justify" vertical="center" wrapText="1"/>
    </xf>
    <xf numFmtId="0" fontId="9" fillId="12" borderId="0" xfId="16" applyFont="1" applyFill="1" applyBorder="1" applyAlignment="1">
      <alignment vertical="center"/>
    </xf>
    <xf numFmtId="0" fontId="9" fillId="12" borderId="2" xfId="16" applyFont="1" applyFill="1" applyBorder="1" applyAlignment="1">
      <alignment vertical="center"/>
    </xf>
    <xf numFmtId="0" fontId="9" fillId="12" borderId="2" xfId="16" applyFont="1" applyFill="1" applyBorder="1" applyAlignment="1">
      <alignment horizontal="justify" vertical="center"/>
    </xf>
    <xf numFmtId="0" fontId="10" fillId="5" borderId="15" xfId="16" applyFont="1" applyFill="1" applyBorder="1" applyAlignment="1">
      <alignment horizontal="center" vertical="center" wrapText="1"/>
    </xf>
    <xf numFmtId="0" fontId="10" fillId="5" borderId="16" xfId="16" applyFont="1" applyFill="1" applyBorder="1" applyAlignment="1">
      <alignment horizontal="center" vertical="center" wrapText="1"/>
    </xf>
    <xf numFmtId="0" fontId="10" fillId="5" borderId="9" xfId="16" applyFont="1" applyFill="1" applyBorder="1" applyAlignment="1">
      <alignment horizontal="center" vertical="center" wrapText="1"/>
    </xf>
    <xf numFmtId="0" fontId="10" fillId="5" borderId="7" xfId="16" applyFont="1" applyFill="1" applyBorder="1" applyAlignment="1">
      <alignment horizontal="center" vertical="center" wrapText="1"/>
    </xf>
    <xf numFmtId="0" fontId="10" fillId="0" borderId="1" xfId="19" quotePrefix="1" applyNumberFormat="1" applyFont="1" applyFill="1" applyBorder="1" applyAlignment="1">
      <alignment horizontal="justify" vertical="center" wrapText="1"/>
    </xf>
    <xf numFmtId="173" fontId="10" fillId="0" borderId="1" xfId="7" quotePrefix="1" applyNumberFormat="1" applyFont="1" applyFill="1" applyBorder="1" applyAlignment="1">
      <alignment vertical="center" wrapText="1"/>
    </xf>
    <xf numFmtId="173" fontId="10" fillId="0" borderId="1" xfId="7" applyNumberFormat="1" applyFont="1" applyBorder="1" applyAlignment="1">
      <alignment horizontal="center" vertical="center" wrapText="1"/>
    </xf>
    <xf numFmtId="49" fontId="10" fillId="0" borderId="1" xfId="19" quotePrefix="1" applyNumberFormat="1" applyFont="1" applyFill="1" applyBorder="1" applyAlignment="1">
      <alignment horizontal="justify" vertical="center" wrapText="1"/>
    </xf>
    <xf numFmtId="0" fontId="10" fillId="5" borderId="8" xfId="16" applyFont="1" applyFill="1" applyBorder="1" applyAlignment="1">
      <alignment vertical="center" wrapText="1"/>
    </xf>
    <xf numFmtId="0" fontId="10" fillId="5" borderId="14" xfId="16" applyFont="1" applyFill="1" applyBorder="1" applyAlignment="1">
      <alignment vertical="center" wrapText="1"/>
    </xf>
    <xf numFmtId="49" fontId="10" fillId="5" borderId="1" xfId="19" quotePrefix="1" applyNumberFormat="1" applyFont="1" applyFill="1" applyBorder="1" applyAlignment="1">
      <alignment horizontal="justify" vertical="center" wrapText="1"/>
    </xf>
    <xf numFmtId="173" fontId="10" fillId="5" borderId="1" xfId="7" applyNumberFormat="1" applyFont="1" applyFill="1" applyBorder="1" applyAlignment="1">
      <alignment horizontal="center" vertical="center" wrapText="1"/>
    </xf>
    <xf numFmtId="49" fontId="10" fillId="0" borderId="8" xfId="19" quotePrefix="1" applyNumberFormat="1" applyFont="1" applyFill="1" applyBorder="1" applyAlignment="1">
      <alignment horizontal="justify" vertical="center" wrapText="1"/>
    </xf>
    <xf numFmtId="0" fontId="10" fillId="5" borderId="17" xfId="16" applyFont="1" applyFill="1" applyBorder="1" applyAlignment="1">
      <alignment vertical="center" wrapText="1"/>
    </xf>
    <xf numFmtId="175" fontId="9" fillId="12" borderId="4" xfId="6" applyNumberFormat="1" applyFont="1" applyFill="1" applyBorder="1" applyAlignment="1">
      <alignment vertical="center" textRotation="180" wrapText="1"/>
    </xf>
    <xf numFmtId="49" fontId="10" fillId="0" borderId="1" xfId="19" applyNumberFormat="1" applyFont="1" applyFill="1" applyBorder="1" applyAlignment="1">
      <alignment horizontal="left" vertical="center" wrapText="1"/>
    </xf>
    <xf numFmtId="0" fontId="10" fillId="5" borderId="2" xfId="16" applyFont="1" applyFill="1" applyBorder="1" applyAlignment="1">
      <alignment horizontal="center" vertical="center" wrapText="1"/>
    </xf>
    <xf numFmtId="0" fontId="10" fillId="0" borderId="1" xfId="16" applyFont="1" applyFill="1" applyBorder="1" applyAlignment="1">
      <alignment horizontal="center" vertical="center" wrapText="1"/>
    </xf>
    <xf numFmtId="173" fontId="10" fillId="0" borderId="1" xfId="7" quotePrefix="1" applyNumberFormat="1" applyFont="1" applyFill="1" applyBorder="1" applyAlignment="1">
      <alignment horizontal="center" vertical="center"/>
    </xf>
    <xf numFmtId="173" fontId="10" fillId="0" borderId="1" xfId="7" applyNumberFormat="1" applyFont="1" applyFill="1" applyBorder="1" applyAlignment="1">
      <alignment horizontal="center" vertical="center" wrapText="1"/>
    </xf>
    <xf numFmtId="0" fontId="10" fillId="0" borderId="1" xfId="16" applyFont="1" applyFill="1" applyBorder="1" applyAlignment="1">
      <alignment horizontal="justify" vertical="center" wrapText="1"/>
    </xf>
    <xf numFmtId="0" fontId="10" fillId="0" borderId="8" xfId="16" applyFont="1" applyFill="1" applyBorder="1" applyAlignment="1">
      <alignment vertical="center" wrapText="1"/>
    </xf>
    <xf numFmtId="175" fontId="9" fillId="10" borderId="4" xfId="6" applyNumberFormat="1" applyFont="1" applyFill="1" applyBorder="1" applyAlignment="1">
      <alignment vertical="center" textRotation="180" wrapText="1"/>
    </xf>
    <xf numFmtId="0" fontId="9" fillId="12" borderId="2" xfId="16" applyFont="1" applyFill="1" applyBorder="1" applyAlignment="1">
      <alignment horizontal="center" vertical="center"/>
    </xf>
    <xf numFmtId="175" fontId="9" fillId="12" borderId="2" xfId="6" applyNumberFormat="1" applyFont="1" applyFill="1" applyBorder="1" applyAlignment="1">
      <alignment vertical="center" textRotation="180" wrapText="1"/>
    </xf>
    <xf numFmtId="42" fontId="10" fillId="5" borderId="1" xfId="8" applyFont="1" applyFill="1" applyBorder="1" applyAlignment="1">
      <alignment vertical="center"/>
    </xf>
    <xf numFmtId="0" fontId="10" fillId="5" borderId="0" xfId="16" applyFont="1" applyFill="1" applyBorder="1"/>
    <xf numFmtId="173" fontId="10" fillId="5" borderId="3" xfId="7" applyNumberFormat="1" applyFont="1" applyFill="1" applyBorder="1" applyAlignment="1">
      <alignment horizontal="center" vertical="center" wrapText="1"/>
    </xf>
    <xf numFmtId="0" fontId="10" fillId="5" borderId="1" xfId="19" applyFont="1" applyFill="1" applyBorder="1" applyAlignment="1">
      <alignment horizontal="justify" vertical="center" wrapText="1"/>
    </xf>
    <xf numFmtId="0" fontId="10" fillId="0" borderId="1" xfId="16" applyFont="1" applyBorder="1"/>
    <xf numFmtId="0" fontId="10" fillId="5" borderId="0" xfId="16" applyFont="1" applyFill="1" applyAlignment="1">
      <alignment horizontal="justify"/>
    </xf>
    <xf numFmtId="0" fontId="10" fillId="5" borderId="0" xfId="16" applyFont="1" applyFill="1" applyAlignment="1">
      <alignment horizontal="justify" vertical="center"/>
    </xf>
    <xf numFmtId="0" fontId="10" fillId="5" borderId="0" xfId="16" applyFont="1" applyFill="1" applyAlignment="1">
      <alignment horizontal="center" vertical="center"/>
    </xf>
    <xf numFmtId="175" fontId="10" fillId="0" borderId="0" xfId="6" applyNumberFormat="1" applyFont="1" applyFill="1"/>
    <xf numFmtId="0" fontId="10" fillId="0" borderId="0" xfId="16" applyFont="1" applyFill="1" applyAlignment="1">
      <alignment horizontal="right" vertical="center"/>
    </xf>
    <xf numFmtId="170" fontId="10" fillId="0" borderId="0" xfId="16" applyNumberFormat="1" applyFont="1" applyAlignment="1">
      <alignment horizontal="center"/>
    </xf>
    <xf numFmtId="0" fontId="10" fillId="0" borderId="0" xfId="16" applyFont="1" applyAlignment="1">
      <alignment horizontal="left"/>
    </xf>
    <xf numFmtId="0" fontId="9" fillId="0" borderId="3" xfId="16" applyFont="1" applyBorder="1"/>
    <xf numFmtId="0" fontId="9" fillId="0" borderId="4" xfId="16" applyFont="1" applyBorder="1"/>
    <xf numFmtId="0" fontId="9" fillId="5" borderId="4" xfId="16" applyFont="1" applyFill="1" applyBorder="1" applyAlignment="1">
      <alignment horizontal="justify"/>
    </xf>
    <xf numFmtId="0" fontId="9" fillId="5" borderId="4" xfId="16" applyFont="1" applyFill="1" applyBorder="1"/>
    <xf numFmtId="0" fontId="9" fillId="5" borderId="4" xfId="16" applyFont="1" applyFill="1" applyBorder="1" applyAlignment="1">
      <alignment horizontal="center"/>
    </xf>
    <xf numFmtId="0" fontId="9" fillId="5" borderId="5" xfId="16" applyFont="1" applyFill="1" applyBorder="1" applyAlignment="1">
      <alignment horizontal="right" vertical="center"/>
    </xf>
    <xf numFmtId="42" fontId="9" fillId="5" borderId="1" xfId="16" applyNumberFormat="1" applyFont="1" applyFill="1" applyBorder="1"/>
    <xf numFmtId="0" fontId="9" fillId="5" borderId="3" xfId="16" applyFont="1" applyFill="1" applyBorder="1"/>
    <xf numFmtId="0" fontId="9" fillId="5" borderId="5" xfId="16" applyFont="1" applyFill="1" applyBorder="1" applyAlignment="1">
      <alignment horizontal="justify" vertical="center"/>
    </xf>
    <xf numFmtId="0" fontId="9" fillId="5" borderId="3" xfId="16" applyFont="1" applyFill="1" applyBorder="1" applyAlignment="1">
      <alignment horizontal="center" vertical="center"/>
    </xf>
    <xf numFmtId="0" fontId="9" fillId="5" borderId="4" xfId="16" applyFont="1" applyFill="1" applyBorder="1" applyAlignment="1">
      <alignment horizontal="center" vertical="center"/>
    </xf>
    <xf numFmtId="175" fontId="9" fillId="0" borderId="4" xfId="6" applyNumberFormat="1" applyFont="1" applyFill="1" applyBorder="1"/>
    <xf numFmtId="0" fontId="9" fillId="0" borderId="4" xfId="16" applyFont="1" applyFill="1" applyBorder="1" applyAlignment="1">
      <alignment horizontal="right" vertical="center"/>
    </xf>
    <xf numFmtId="170" fontId="9" fillId="0" borderId="4" xfId="16" applyNumberFormat="1" applyFont="1" applyBorder="1" applyAlignment="1">
      <alignment horizontal="center"/>
    </xf>
    <xf numFmtId="0" fontId="9" fillId="0" borderId="5" xfId="16" applyFont="1" applyBorder="1" applyAlignment="1">
      <alignment horizontal="left"/>
    </xf>
    <xf numFmtId="0" fontId="9" fillId="0" borderId="0" xfId="16" applyFont="1" applyFill="1"/>
    <xf numFmtId="0" fontId="9" fillId="0" borderId="0" xfId="16" applyFont="1"/>
    <xf numFmtId="0" fontId="10" fillId="5" borderId="0" xfId="16" applyFont="1" applyFill="1" applyAlignment="1">
      <alignment horizontal="center"/>
    </xf>
    <xf numFmtId="0" fontId="10" fillId="0" borderId="0" xfId="16" applyFont="1" applyFill="1" applyBorder="1" applyAlignment="1">
      <alignment horizontal="justify" vertical="center"/>
    </xf>
    <xf numFmtId="175" fontId="10" fillId="5" borderId="0" xfId="16" applyNumberFormat="1" applyFont="1" applyFill="1" applyAlignment="1">
      <alignment horizontal="justify" vertical="center"/>
    </xf>
    <xf numFmtId="49" fontId="7" fillId="5" borderId="14" xfId="0" applyNumberFormat="1" applyFont="1" applyFill="1" applyBorder="1" applyAlignment="1">
      <alignment horizontal="center" vertical="center" wrapText="1"/>
    </xf>
    <xf numFmtId="0" fontId="7" fillId="0" borderId="0" xfId="0" applyFont="1" applyFill="1" applyAlignment="1">
      <alignment horizontal="right" vertical="center"/>
    </xf>
    <xf numFmtId="0" fontId="6" fillId="0" borderId="9" xfId="0" applyFont="1" applyFill="1" applyBorder="1" applyAlignment="1">
      <alignment vertical="center" wrapText="1"/>
    </xf>
    <xf numFmtId="0" fontId="6" fillId="7" borderId="4" xfId="0" applyFont="1" applyFill="1" applyBorder="1" applyAlignment="1">
      <alignment vertical="center"/>
    </xf>
    <xf numFmtId="0" fontId="6" fillId="7" borderId="5" xfId="0" applyFont="1" applyFill="1" applyBorder="1" applyAlignment="1">
      <alignment vertical="center"/>
    </xf>
    <xf numFmtId="0" fontId="6" fillId="0" borderId="0" xfId="0" applyFont="1" applyFill="1" applyBorder="1" applyAlignment="1">
      <alignment vertical="center" wrapText="1"/>
    </xf>
    <xf numFmtId="0" fontId="6" fillId="5" borderId="6" xfId="0" applyFont="1" applyFill="1" applyBorder="1" applyAlignment="1">
      <alignment vertical="center" wrapText="1"/>
    </xf>
    <xf numFmtId="0" fontId="6" fillId="5" borderId="0" xfId="0" applyFont="1" applyFill="1" applyBorder="1" applyAlignment="1">
      <alignment vertical="center" wrapText="1"/>
    </xf>
    <xf numFmtId="0" fontId="6" fillId="5" borderId="16" xfId="0" applyFont="1" applyFill="1" applyBorder="1" applyAlignment="1">
      <alignment vertical="center" wrapText="1"/>
    </xf>
    <xf numFmtId="0" fontId="6" fillId="9" borderId="12" xfId="0" applyFont="1" applyFill="1" applyBorder="1" applyAlignment="1">
      <alignment horizontal="center" vertical="center" wrapText="1"/>
    </xf>
    <xf numFmtId="0" fontId="6" fillId="5" borderId="15" xfId="0" applyFont="1" applyFill="1" applyBorder="1" applyAlignment="1">
      <alignment vertical="center" wrapText="1"/>
    </xf>
    <xf numFmtId="0" fontId="7" fillId="5" borderId="9" xfId="0" applyFont="1" applyFill="1" applyBorder="1" applyAlignment="1">
      <alignment vertical="center" wrapText="1"/>
    </xf>
    <xf numFmtId="2" fontId="7" fillId="5" borderId="1" xfId="0" applyNumberFormat="1" applyFont="1" applyFill="1" applyBorder="1" applyAlignment="1">
      <alignment horizontal="justify" vertical="center" wrapText="1"/>
    </xf>
    <xf numFmtId="49" fontId="7" fillId="5" borderId="8" xfId="0" applyNumberFormat="1" applyFont="1" applyFill="1" applyBorder="1" applyAlignment="1">
      <alignment horizontal="center" vertical="center" wrapText="1"/>
    </xf>
    <xf numFmtId="174" fontId="7" fillId="5" borderId="5"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5" borderId="12" xfId="0" applyFont="1" applyFill="1" applyBorder="1" applyAlignment="1">
      <alignment vertical="center" wrapText="1"/>
    </xf>
    <xf numFmtId="0" fontId="6" fillId="5" borderId="2" xfId="0" applyFont="1" applyFill="1" applyBorder="1" applyAlignment="1">
      <alignment vertical="center" wrapText="1"/>
    </xf>
    <xf numFmtId="0" fontId="6" fillId="5" borderId="13" xfId="0" applyFont="1" applyFill="1" applyBorder="1" applyAlignment="1">
      <alignment vertical="center" wrapText="1"/>
    </xf>
    <xf numFmtId="0" fontId="7" fillId="5" borderId="2" xfId="0" applyFont="1" applyFill="1" applyBorder="1" applyAlignment="1">
      <alignment vertical="center" wrapText="1"/>
    </xf>
    <xf numFmtId="174" fontId="7" fillId="5" borderId="7" xfId="0" applyNumberFormat="1" applyFont="1" applyFill="1" applyBorder="1" applyAlignment="1">
      <alignment horizontal="center" vertical="center" wrapText="1"/>
    </xf>
    <xf numFmtId="49" fontId="7" fillId="5" borderId="17" xfId="0" applyNumberFormat="1" applyFont="1" applyFill="1" applyBorder="1" applyAlignment="1">
      <alignment horizontal="center" vertical="center" wrapText="1"/>
    </xf>
    <xf numFmtId="3" fontId="6" fillId="5" borderId="5"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5" borderId="1" xfId="0" applyFont="1" applyFill="1" applyBorder="1" applyAlignment="1">
      <alignment horizontal="justify" vertical="center"/>
    </xf>
    <xf numFmtId="0" fontId="6" fillId="0" borderId="1" xfId="0" applyFont="1" applyFill="1" applyBorder="1" applyAlignment="1">
      <alignment horizontal="right" vertical="center"/>
    </xf>
    <xf numFmtId="170" fontId="6" fillId="0" borderId="1" xfId="0" applyNumberFormat="1" applyFont="1" applyBorder="1" applyAlignment="1">
      <alignment horizontal="center"/>
    </xf>
    <xf numFmtId="0" fontId="6" fillId="0" borderId="3" xfId="0" applyFont="1" applyBorder="1" applyAlignment="1">
      <alignment horizontal="left" vertical="center"/>
    </xf>
    <xf numFmtId="0" fontId="6" fillId="0" borderId="0" xfId="0" applyFont="1" applyBorder="1"/>
    <xf numFmtId="174" fontId="7" fillId="0" borderId="0" xfId="0" applyNumberFormat="1" applyFont="1"/>
    <xf numFmtId="0" fontId="7" fillId="5" borderId="0" xfId="0" applyFont="1" applyFill="1" applyAlignment="1">
      <alignment horizontal="left" vertical="center"/>
    </xf>
    <xf numFmtId="170" fontId="7" fillId="0" borderId="0" xfId="0" applyNumberFormat="1" applyFont="1" applyAlignment="1">
      <alignment horizontal="center"/>
    </xf>
    <xf numFmtId="0" fontId="10" fillId="0" borderId="1"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7" fillId="8" borderId="4" xfId="0" applyFont="1" applyFill="1" applyBorder="1" applyAlignment="1">
      <alignment horizontal="justify" vertical="center"/>
    </xf>
    <xf numFmtId="0" fontId="7" fillId="0" borderId="8" xfId="0" applyFont="1" applyFill="1" applyBorder="1" applyAlignment="1">
      <alignment horizontal="justify" vertical="justify" wrapText="1"/>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7" fillId="0" borderId="0" xfId="0" applyFont="1" applyBorder="1" applyAlignment="1">
      <alignment horizontal="justify"/>
    </xf>
    <xf numFmtId="12" fontId="7" fillId="0" borderId="0" xfId="8" applyNumberFormat="1" applyFont="1" applyBorder="1" applyAlignment="1">
      <alignment horizontal="justify"/>
    </xf>
    <xf numFmtId="43" fontId="4" fillId="5" borderId="1" xfId="6" applyFont="1" applyFill="1" applyBorder="1" applyAlignment="1">
      <alignment vertical="center"/>
    </xf>
    <xf numFmtId="43" fontId="4" fillId="5" borderId="3" xfId="6" applyFont="1" applyFill="1" applyBorder="1" applyAlignment="1">
      <alignment horizontal="justify" vertical="center"/>
    </xf>
    <xf numFmtId="43" fontId="4" fillId="5" borderId="4" xfId="6" applyFont="1" applyFill="1" applyBorder="1" applyAlignment="1">
      <alignment horizontal="justify" vertical="center"/>
    </xf>
    <xf numFmtId="43" fontId="4" fillId="5" borderId="5" xfId="6" applyFont="1" applyFill="1" applyBorder="1" applyAlignment="1">
      <alignment horizontal="justify" vertical="center"/>
    </xf>
    <xf numFmtId="0" fontId="9" fillId="9" borderId="4" xfId="0" applyFont="1" applyFill="1" applyBorder="1" applyAlignment="1">
      <alignment horizontal="justify" vertical="justify"/>
    </xf>
    <xf numFmtId="0" fontId="10" fillId="0" borderId="1" xfId="0" applyFont="1" applyFill="1" applyBorder="1" applyAlignment="1">
      <alignment horizontal="justify" vertical="justify" wrapText="1"/>
    </xf>
    <xf numFmtId="0" fontId="9" fillId="9" borderId="1" xfId="0" applyFont="1" applyFill="1" applyBorder="1" applyAlignment="1">
      <alignment horizontal="justify" vertical="justify"/>
    </xf>
    <xf numFmtId="0" fontId="9" fillId="10" borderId="4" xfId="0" applyFont="1" applyFill="1" applyBorder="1" applyAlignment="1">
      <alignment horizontal="justify" vertical="justify"/>
    </xf>
    <xf numFmtId="0" fontId="9" fillId="10" borderId="2" xfId="0" applyFont="1" applyFill="1" applyBorder="1" applyAlignment="1">
      <alignment horizontal="justify" vertical="justify"/>
    </xf>
    <xf numFmtId="0" fontId="9" fillId="9" borderId="9" xfId="0" applyFont="1" applyFill="1" applyBorder="1" applyAlignment="1">
      <alignment horizontal="justify" vertical="justify"/>
    </xf>
    <xf numFmtId="0" fontId="9" fillId="0" borderId="29" xfId="0" applyFont="1" applyBorder="1" applyAlignment="1">
      <alignment horizontal="justify" vertical="justify"/>
    </xf>
    <xf numFmtId="0" fontId="10" fillId="0" borderId="0" xfId="0" applyFont="1" applyAlignment="1">
      <alignment horizontal="justify" vertical="justify"/>
    </xf>
    <xf numFmtId="177" fontId="6" fillId="13" borderId="3" xfId="0" applyNumberFormat="1" applyFont="1" applyFill="1" applyBorder="1" applyAlignment="1">
      <alignment horizontal="center" vertical="center" wrapText="1"/>
    </xf>
    <xf numFmtId="170" fontId="6" fillId="3" borderId="3" xfId="0" applyNumberFormat="1" applyFont="1" applyFill="1" applyBorder="1" applyAlignment="1">
      <alignment horizontal="center" vertical="center" textRotation="180" wrapText="1"/>
    </xf>
    <xf numFmtId="0" fontId="15" fillId="0" borderId="6" xfId="0" applyFont="1" applyBorder="1"/>
    <xf numFmtId="0" fontId="15" fillId="0" borderId="7" xfId="0" applyFont="1" applyBorder="1"/>
    <xf numFmtId="0" fontId="15" fillId="0" borderId="15" xfId="0" applyFont="1" applyBorder="1" applyAlignment="1">
      <alignment horizontal="left"/>
    </xf>
    <xf numFmtId="168" fontId="15" fillId="0" borderId="16" xfId="0" applyNumberFormat="1" applyFont="1" applyBorder="1" applyAlignment="1">
      <alignment horizontal="left"/>
    </xf>
    <xf numFmtId="0" fontId="15" fillId="0" borderId="15" xfId="0" applyFont="1" applyBorder="1"/>
    <xf numFmtId="17" fontId="15" fillId="0" borderId="16" xfId="0" applyNumberFormat="1" applyFont="1" applyBorder="1" applyAlignment="1">
      <alignment horizontal="left"/>
    </xf>
    <xf numFmtId="0" fontId="15" fillId="0" borderId="12" xfId="0" applyFont="1" applyBorder="1" applyAlignment="1">
      <alignment vertical="center"/>
    </xf>
    <xf numFmtId="3" fontId="16" fillId="2" borderId="13" xfId="0" applyNumberFormat="1" applyFont="1" applyFill="1" applyBorder="1" applyAlignment="1">
      <alignment horizontal="left" vertical="center" wrapText="1"/>
    </xf>
    <xf numFmtId="0" fontId="6" fillId="3" borderId="1" xfId="0" applyFont="1" applyFill="1" applyBorder="1" applyAlignment="1">
      <alignment horizontal="center" vertical="center" textRotation="180" wrapText="1"/>
    </xf>
    <xf numFmtId="49" fontId="6" fillId="3" borderId="1" xfId="0" applyNumberFormat="1" applyFont="1" applyFill="1" applyBorder="1" applyAlignment="1">
      <alignment horizontal="center" vertical="center" textRotation="180" wrapText="1"/>
    </xf>
    <xf numFmtId="170" fontId="6" fillId="3" borderId="1" xfId="0" applyNumberFormat="1" applyFont="1" applyFill="1" applyBorder="1" applyAlignment="1">
      <alignment horizontal="center" vertical="center" textRotation="180" wrapText="1"/>
    </xf>
    <xf numFmtId="170" fontId="6" fillId="17" borderId="3" xfId="0" applyNumberFormat="1" applyFont="1" applyFill="1" applyBorder="1" applyAlignment="1">
      <alignment horizontal="center" vertical="center" textRotation="180" wrapText="1"/>
    </xf>
    <xf numFmtId="1" fontId="6" fillId="3" borderId="14" xfId="0" applyNumberFormat="1" applyFont="1" applyFill="1" applyBorder="1" applyAlignment="1">
      <alignment horizontal="center" vertical="center" wrapText="1"/>
    </xf>
    <xf numFmtId="177" fontId="9" fillId="13" borderId="3" xfId="0" applyNumberFormat="1" applyFont="1" applyFill="1" applyBorder="1" applyAlignment="1">
      <alignment horizontal="center" vertical="center" wrapText="1"/>
    </xf>
    <xf numFmtId="0" fontId="9" fillId="13" borderId="8" xfId="0" applyFont="1" applyFill="1" applyBorder="1" applyAlignment="1">
      <alignment horizontal="center" vertical="center"/>
    </xf>
    <xf numFmtId="0" fontId="9" fillId="13" borderId="8" xfId="0" applyFont="1" applyFill="1" applyBorder="1" applyAlignment="1">
      <alignment horizontal="center" vertical="center" wrapText="1"/>
    </xf>
    <xf numFmtId="0" fontId="9" fillId="13" borderId="3" xfId="0" applyNumberFormat="1" applyFont="1" applyFill="1" applyBorder="1" applyAlignment="1">
      <alignment horizontal="center" vertical="center" wrapText="1"/>
    </xf>
    <xf numFmtId="3" fontId="9" fillId="13" borderId="6" xfId="0" applyNumberFormat="1" applyFont="1" applyFill="1" applyBorder="1" applyAlignment="1">
      <alignment horizontal="center" vertical="center" wrapText="1"/>
    </xf>
    <xf numFmtId="170" fontId="6" fillId="13" borderId="3" xfId="0" applyNumberFormat="1" applyFont="1" applyFill="1" applyBorder="1" applyAlignment="1">
      <alignment horizontal="center" vertical="center" textRotation="180" wrapText="1"/>
    </xf>
    <xf numFmtId="0" fontId="6" fillId="13" borderId="6" xfId="0" applyFont="1" applyFill="1" applyBorder="1" applyAlignment="1">
      <alignment horizontal="center" vertical="center" textRotation="180" wrapText="1"/>
    </xf>
    <xf numFmtId="0" fontId="9" fillId="0" borderId="2" xfId="0" applyFont="1" applyBorder="1" applyAlignment="1">
      <alignment vertical="center"/>
    </xf>
    <xf numFmtId="1" fontId="7" fillId="5"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5" borderId="1"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7" fillId="5" borderId="17" xfId="0" applyFont="1" applyFill="1" applyBorder="1" applyAlignment="1">
      <alignment horizontal="justify" vertical="center" wrapText="1"/>
    </xf>
    <xf numFmtId="3" fontId="7" fillId="5" borderId="1" xfId="0" applyNumberFormat="1" applyFont="1" applyFill="1" applyBorder="1" applyAlignment="1">
      <alignment horizontal="justify" vertical="center" wrapText="1"/>
    </xf>
    <xf numFmtId="1" fontId="7" fillId="5" borderId="14" xfId="0" applyNumberFormat="1" applyFont="1" applyFill="1" applyBorder="1" applyAlignment="1">
      <alignment horizontal="center" vertical="center" wrapText="1"/>
    </xf>
    <xf numFmtId="1" fontId="7" fillId="5" borderId="17"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177" fontId="7" fillId="5" borderId="1" xfId="0"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 xfId="0"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4" xfId="0" applyNumberFormat="1" applyFont="1" applyFill="1" applyBorder="1" applyAlignment="1">
      <alignment horizontal="center" vertical="center"/>
    </xf>
    <xf numFmtId="1" fontId="7" fillId="5" borderId="17"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7" fillId="5" borderId="1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 fillId="5" borderId="1" xfId="0" applyFont="1" applyFill="1" applyBorder="1" applyAlignment="1">
      <alignment horizontal="justify" vertical="center"/>
    </xf>
    <xf numFmtId="1" fontId="7" fillId="5" borderId="1" xfId="0" applyNumberFormat="1"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6" fillId="9" borderId="4"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5" borderId="17" xfId="0" applyFont="1" applyFill="1" applyBorder="1" applyAlignment="1">
      <alignment horizontal="center" vertical="center"/>
    </xf>
    <xf numFmtId="0" fontId="6" fillId="5" borderId="2" xfId="0" applyFont="1" applyFill="1" applyBorder="1" applyAlignment="1">
      <alignment horizontal="center" vertical="center" wrapText="1"/>
    </xf>
    <xf numFmtId="0" fontId="7" fillId="0" borderId="8" xfId="0" applyFont="1" applyBorder="1" applyAlignment="1">
      <alignment horizontal="justify" vertical="center" wrapText="1"/>
    </xf>
    <xf numFmtId="0" fontId="7" fillId="0" borderId="17" xfId="0" applyFont="1" applyBorder="1" applyAlignment="1">
      <alignment horizontal="justify" vertical="center" wrapText="1"/>
    </xf>
    <xf numFmtId="0" fontId="7" fillId="5" borderId="12" xfId="0" applyFont="1" applyFill="1" applyBorder="1" applyAlignment="1">
      <alignment horizontal="justify"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9" fillId="0" borderId="8" xfId="0" applyFont="1" applyBorder="1" applyAlignment="1">
      <alignment vertical="center"/>
    </xf>
    <xf numFmtId="0" fontId="9" fillId="3" borderId="3" xfId="0" applyFont="1" applyFill="1" applyBorder="1" applyAlignment="1">
      <alignment horizontal="center" vertical="center" textRotation="180"/>
    </xf>
    <xf numFmtId="169" fontId="6" fillId="3" borderId="6" xfId="2" applyFont="1" applyFill="1" applyBorder="1" applyAlignment="1">
      <alignment horizontal="center" vertical="center" textRotation="180" wrapText="1"/>
    </xf>
    <xf numFmtId="0" fontId="6" fillId="0" borderId="4" xfId="0" applyFont="1" applyBorder="1" applyAlignment="1">
      <alignment horizontal="center" vertical="center"/>
    </xf>
    <xf numFmtId="1" fontId="6" fillId="18" borderId="4" xfId="0" applyNumberFormat="1" applyFont="1" applyFill="1" applyBorder="1" applyAlignment="1">
      <alignment horizontal="left" vertical="center" wrapText="1"/>
    </xf>
    <xf numFmtId="0" fontId="6" fillId="18" borderId="4" xfId="0" applyFont="1" applyFill="1" applyBorder="1" applyAlignment="1">
      <alignment vertical="center"/>
    </xf>
    <xf numFmtId="0" fontId="6" fillId="18" borderId="1" xfId="0" applyFont="1" applyFill="1" applyBorder="1" applyAlignment="1">
      <alignment horizontal="justify" vertical="center" wrapText="1"/>
    </xf>
    <xf numFmtId="0" fontId="6" fillId="18" borderId="17" xfId="0" applyFont="1" applyFill="1" applyBorder="1" applyAlignment="1">
      <alignment horizontal="center" vertical="center" wrapText="1"/>
    </xf>
    <xf numFmtId="1" fontId="6" fillId="18" borderId="1" xfId="0" applyNumberFormat="1" applyFont="1" applyFill="1" applyBorder="1" applyAlignment="1">
      <alignment horizontal="center" vertical="center" wrapText="1"/>
    </xf>
    <xf numFmtId="1" fontId="6" fillId="18" borderId="17" xfId="0" applyNumberFormat="1" applyFont="1" applyFill="1" applyBorder="1" applyAlignment="1">
      <alignment horizontal="center" vertical="center" wrapText="1"/>
    </xf>
    <xf numFmtId="1" fontId="6" fillId="19" borderId="17" xfId="0" applyNumberFormat="1" applyFont="1" applyFill="1" applyBorder="1" applyAlignment="1">
      <alignment horizontal="center" vertical="center"/>
    </xf>
    <xf numFmtId="0" fontId="6" fillId="19" borderId="1" xfId="0" applyFont="1" applyFill="1" applyBorder="1" applyAlignment="1">
      <alignment horizontal="center" vertical="center" wrapText="1"/>
    </xf>
    <xf numFmtId="0" fontId="6" fillId="19" borderId="1" xfId="0" applyFont="1" applyFill="1" applyBorder="1" applyAlignment="1">
      <alignment horizontal="justify" vertical="center" wrapText="1"/>
    </xf>
    <xf numFmtId="0" fontId="6" fillId="19" borderId="17" xfId="0" applyFont="1" applyFill="1" applyBorder="1" applyAlignment="1">
      <alignment horizontal="center" vertical="center" wrapText="1"/>
    </xf>
    <xf numFmtId="9" fontId="6" fillId="19" borderId="1" xfId="5" applyNumberFormat="1" applyFont="1" applyFill="1" applyBorder="1" applyAlignment="1">
      <alignment horizontal="center" vertical="center" wrapText="1"/>
    </xf>
    <xf numFmtId="43" fontId="6" fillId="19" borderId="1" xfId="0" applyNumberFormat="1"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3" fontId="6" fillId="19" borderId="1" xfId="0" applyNumberFormat="1" applyFont="1" applyFill="1" applyBorder="1" applyAlignment="1">
      <alignment horizontal="center" vertical="center" wrapText="1"/>
    </xf>
    <xf numFmtId="170" fontId="6" fillId="19" borderId="1" xfId="0" applyNumberFormat="1" applyFont="1" applyFill="1" applyBorder="1" applyAlignment="1">
      <alignment horizontal="center" vertical="center" wrapText="1"/>
    </xf>
    <xf numFmtId="1" fontId="6" fillId="9" borderId="7" xfId="0" applyNumberFormat="1" applyFont="1" applyFill="1" applyBorder="1" applyAlignment="1">
      <alignment horizontal="center" vertical="center" wrapText="1"/>
    </xf>
    <xf numFmtId="1" fontId="6" fillId="9" borderId="4" xfId="0" applyNumberFormat="1" applyFont="1" applyFill="1" applyBorder="1" applyAlignment="1">
      <alignment horizontal="justify" vertical="center"/>
    </xf>
    <xf numFmtId="9" fontId="6" fillId="9" borderId="4" xfId="5" applyNumberFormat="1" applyFont="1" applyFill="1" applyBorder="1" applyAlignment="1">
      <alignment horizontal="center" vertical="center"/>
    </xf>
    <xf numFmtId="43" fontId="6" fillId="9" borderId="4" xfId="0" applyNumberFormat="1" applyFont="1" applyFill="1" applyBorder="1" applyAlignment="1">
      <alignment horizontal="justify" vertical="center"/>
    </xf>
    <xf numFmtId="1" fontId="6" fillId="9" borderId="4" xfId="0" applyNumberFormat="1" applyFont="1" applyFill="1" applyBorder="1" applyAlignment="1">
      <alignment vertical="center"/>
    </xf>
    <xf numFmtId="1" fontId="7" fillId="9" borderId="0" xfId="0" applyNumberFormat="1" applyFont="1" applyFill="1"/>
    <xf numFmtId="0" fontId="7" fillId="9" borderId="0" xfId="0" applyFont="1" applyFill="1" applyAlignment="1">
      <alignment horizontal="center" vertical="center"/>
    </xf>
    <xf numFmtId="0" fontId="7" fillId="9" borderId="0" xfId="0" applyFont="1" applyFill="1"/>
    <xf numFmtId="0" fontId="7" fillId="9" borderId="5" xfId="0" applyFont="1" applyFill="1" applyBorder="1"/>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9" fontId="7" fillId="5" borderId="1" xfId="5" applyNumberFormat="1" applyFont="1" applyFill="1" applyBorder="1" applyAlignment="1">
      <alignment horizontal="center" vertical="center" wrapText="1"/>
    </xf>
    <xf numFmtId="43" fontId="7" fillId="5" borderId="3" xfId="21" applyNumberFormat="1" applyFont="1" applyFill="1" applyBorder="1" applyAlignment="1">
      <alignment horizontal="center" vertical="center" wrapText="1"/>
    </xf>
    <xf numFmtId="177" fontId="7" fillId="5" borderId="3"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3" xfId="0" applyFont="1" applyFill="1" applyBorder="1" applyAlignment="1">
      <alignment horizontal="center" vertical="center" wrapText="1"/>
    </xf>
    <xf numFmtId="43" fontId="7" fillId="5" borderId="6" xfId="4" applyNumberFormat="1" applyFont="1" applyFill="1" applyBorder="1" applyAlignment="1">
      <alignment vertical="center"/>
    </xf>
    <xf numFmtId="1" fontId="7" fillId="9" borderId="14" xfId="0" applyNumberFormat="1"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1" fontId="6" fillId="9" borderId="17"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177" fontId="6" fillId="9" borderId="4" xfId="0" applyNumberFormat="1" applyFont="1" applyFill="1" applyBorder="1" applyAlignment="1">
      <alignment horizontal="center" vertical="center"/>
    </xf>
    <xf numFmtId="177" fontId="6" fillId="9" borderId="1" xfId="0" applyNumberFormat="1" applyFont="1" applyFill="1" applyBorder="1" applyAlignment="1">
      <alignment horizontal="center" vertical="center"/>
    </xf>
    <xf numFmtId="43" fontId="7" fillId="5" borderId="3" xfId="4" applyNumberFormat="1" applyFont="1" applyFill="1" applyBorder="1" applyAlignment="1">
      <alignment vertical="center"/>
    </xf>
    <xf numFmtId="177" fontId="7" fillId="5" borderId="9" xfId="0"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43" fontId="7" fillId="5" borderId="3" xfId="0" applyNumberFormat="1" applyFont="1" applyFill="1" applyBorder="1" applyAlignment="1">
      <alignment horizontal="right" vertical="center"/>
    </xf>
    <xf numFmtId="43" fontId="7" fillId="5" borderId="3" xfId="0" applyNumberFormat="1" applyFont="1" applyFill="1" applyBorder="1" applyAlignment="1">
      <alignment vertical="center" wrapText="1"/>
    </xf>
    <xf numFmtId="0" fontId="7" fillId="5" borderId="9" xfId="0" applyFont="1" applyFill="1" applyBorder="1" applyAlignment="1">
      <alignment vertical="center"/>
    </xf>
    <xf numFmtId="177" fontId="7" fillId="5" borderId="3" xfId="0" applyNumberFormat="1" applyFont="1" applyFill="1" applyBorder="1" applyAlignment="1">
      <alignment horizontal="center" vertical="center"/>
    </xf>
    <xf numFmtId="0" fontId="7" fillId="5" borderId="15" xfId="0" applyFont="1" applyFill="1" applyBorder="1" applyAlignment="1">
      <alignment vertical="center"/>
    </xf>
    <xf numFmtId="0" fontId="7" fillId="5" borderId="5" xfId="0" applyFont="1" applyFill="1" applyBorder="1" applyAlignment="1">
      <alignment horizontal="center" vertical="center"/>
    </xf>
    <xf numFmtId="9" fontId="7" fillId="5" borderId="1" xfId="5" applyNumberFormat="1" applyFont="1" applyFill="1" applyBorder="1" applyAlignment="1">
      <alignment horizontal="center" vertical="center"/>
    </xf>
    <xf numFmtId="43" fontId="7" fillId="0" borderId="3" xfId="0" applyNumberFormat="1" applyFont="1" applyFill="1" applyBorder="1" applyAlignment="1">
      <alignment horizontal="center" vertical="center" wrapText="1"/>
    </xf>
    <xf numFmtId="1" fontId="7" fillId="5" borderId="14" xfId="0" applyNumberFormat="1" applyFont="1" applyFill="1" applyBorder="1" applyAlignment="1">
      <alignment horizontal="center" vertical="center" textRotation="180" wrapText="1"/>
    </xf>
    <xf numFmtId="43" fontId="7" fillId="0" borderId="3" xfId="21" applyNumberFormat="1" applyFont="1" applyFill="1" applyBorder="1" applyAlignment="1">
      <alignment horizontal="center" vertical="center"/>
    </xf>
    <xf numFmtId="0" fontId="7" fillId="5" borderId="12" xfId="0" applyFont="1" applyFill="1" applyBorder="1" applyAlignment="1">
      <alignment vertical="center"/>
    </xf>
    <xf numFmtId="0" fontId="7" fillId="5" borderId="2" xfId="0" applyFont="1" applyFill="1" applyBorder="1" applyAlignment="1">
      <alignment vertical="center"/>
    </xf>
    <xf numFmtId="0" fontId="6" fillId="5" borderId="12" xfId="0" applyFont="1" applyFill="1" applyBorder="1" applyAlignment="1">
      <alignment horizontal="center" vertical="center" wrapText="1"/>
    </xf>
    <xf numFmtId="43" fontId="7" fillId="5" borderId="3" xfId="0" applyNumberFormat="1" applyFont="1" applyFill="1" applyBorder="1" applyAlignment="1">
      <alignment horizontal="center" vertical="center"/>
    </xf>
    <xf numFmtId="1" fontId="7" fillId="5" borderId="17" xfId="0" applyNumberFormat="1" applyFont="1" applyFill="1" applyBorder="1" applyAlignment="1">
      <alignment horizontal="center" vertical="center" textRotation="180" wrapText="1"/>
    </xf>
    <xf numFmtId="0" fontId="6" fillId="18" borderId="4" xfId="0" applyFont="1" applyFill="1" applyBorder="1" applyAlignment="1">
      <alignment horizontal="justify" vertical="center"/>
    </xf>
    <xf numFmtId="0" fontId="6" fillId="18" borderId="4" xfId="0" applyFont="1" applyFill="1" applyBorder="1" applyAlignment="1">
      <alignment horizontal="center" vertical="center"/>
    </xf>
    <xf numFmtId="9" fontId="6" fillId="18" borderId="4" xfId="5" applyNumberFormat="1" applyFont="1" applyFill="1" applyBorder="1" applyAlignment="1">
      <alignment horizontal="center" vertical="center"/>
    </xf>
    <xf numFmtId="43" fontId="6" fillId="18" borderId="4" xfId="0" applyNumberFormat="1" applyFont="1" applyFill="1" applyBorder="1" applyAlignment="1">
      <alignment vertical="center"/>
    </xf>
    <xf numFmtId="43" fontId="6" fillId="18" borderId="4" xfId="0" applyNumberFormat="1" applyFont="1" applyFill="1" applyBorder="1" applyAlignment="1">
      <alignment horizontal="center" vertical="center"/>
    </xf>
    <xf numFmtId="1" fontId="6" fillId="18" borderId="4" xfId="0" applyNumberFormat="1" applyFont="1" applyFill="1" applyBorder="1" applyAlignment="1">
      <alignment vertical="center"/>
    </xf>
    <xf numFmtId="177" fontId="6" fillId="18" borderId="4" xfId="0" applyNumberFormat="1" applyFont="1" applyFill="1" applyBorder="1" applyAlignment="1">
      <alignment horizontal="center" vertical="center"/>
    </xf>
    <xf numFmtId="177" fontId="6" fillId="18" borderId="1" xfId="0" applyNumberFormat="1" applyFont="1" applyFill="1" applyBorder="1" applyAlignment="1">
      <alignment horizontal="center" vertical="center"/>
    </xf>
    <xf numFmtId="0" fontId="6" fillId="18" borderId="5" xfId="0" applyFont="1" applyFill="1" applyBorder="1" applyAlignment="1">
      <alignment horizontal="justify" vertical="center"/>
    </xf>
    <xf numFmtId="1" fontId="6" fillId="8" borderId="13" xfId="0" applyNumberFormat="1" applyFont="1" applyFill="1" applyBorder="1" applyAlignment="1">
      <alignment horizontal="center" vertical="center"/>
    </xf>
    <xf numFmtId="0" fontId="6" fillId="8" borderId="2" xfId="0" applyFont="1" applyFill="1" applyBorder="1" applyAlignment="1">
      <alignment vertical="center"/>
    </xf>
    <xf numFmtId="0" fontId="6" fillId="8" borderId="2" xfId="0" applyFont="1" applyFill="1" applyBorder="1" applyAlignment="1">
      <alignment horizontal="justify" vertical="center"/>
    </xf>
    <xf numFmtId="1" fontId="6" fillId="8" borderId="2" xfId="0" applyNumberFormat="1" applyFont="1" applyFill="1" applyBorder="1" applyAlignment="1">
      <alignment horizontal="center" vertical="center"/>
    </xf>
    <xf numFmtId="9" fontId="6" fillId="8" borderId="2" xfId="5" applyNumberFormat="1" applyFont="1" applyFill="1" applyBorder="1" applyAlignment="1">
      <alignment horizontal="center" vertical="center"/>
    </xf>
    <xf numFmtId="43" fontId="6" fillId="8" borderId="2" xfId="0" applyNumberFormat="1" applyFont="1" applyFill="1" applyBorder="1" applyAlignment="1">
      <alignment vertical="center"/>
    </xf>
    <xf numFmtId="43" fontId="6" fillId="8" borderId="2" xfId="0" applyNumberFormat="1" applyFont="1" applyFill="1" applyBorder="1" applyAlignment="1">
      <alignment horizontal="center" vertical="center"/>
    </xf>
    <xf numFmtId="0" fontId="6" fillId="8" borderId="2" xfId="0" applyFont="1" applyFill="1" applyBorder="1" applyAlignment="1">
      <alignment horizontal="center" vertical="center"/>
    </xf>
    <xf numFmtId="1" fontId="6" fillId="8" borderId="2" xfId="0" applyNumberFormat="1" applyFont="1" applyFill="1" applyBorder="1" applyAlignment="1">
      <alignment vertical="center"/>
    </xf>
    <xf numFmtId="1" fontId="6" fillId="8" borderId="2" xfId="0" applyNumberFormat="1" applyFont="1" applyFill="1" applyBorder="1" applyAlignment="1">
      <alignment horizontal="justify" vertical="center"/>
    </xf>
    <xf numFmtId="1" fontId="6" fillId="8" borderId="1" xfId="0" applyNumberFormat="1" applyFont="1" applyFill="1" applyBorder="1" applyAlignment="1">
      <alignment horizontal="center" vertical="center" wrapText="1"/>
    </xf>
    <xf numFmtId="177" fontId="6" fillId="8" borderId="2" xfId="0" applyNumberFormat="1" applyFont="1" applyFill="1" applyBorder="1" applyAlignment="1">
      <alignment horizontal="center" vertical="center"/>
    </xf>
    <xf numFmtId="177" fontId="6" fillId="8" borderId="1" xfId="0" applyNumberFormat="1" applyFont="1" applyFill="1" applyBorder="1" applyAlignment="1">
      <alignment horizontal="center" vertical="center"/>
    </xf>
    <xf numFmtId="0" fontId="6" fillId="8" borderId="13" xfId="0" applyFont="1" applyFill="1" applyBorder="1" applyAlignment="1">
      <alignment horizontal="justify" vertical="center"/>
    </xf>
    <xf numFmtId="0" fontId="7" fillId="5" borderId="16" xfId="0" applyFont="1" applyFill="1" applyBorder="1" applyAlignment="1">
      <alignment vertical="center"/>
    </xf>
    <xf numFmtId="1" fontId="6" fillId="9" borderId="6" xfId="0" applyNumberFormat="1" applyFont="1" applyFill="1" applyBorder="1" applyAlignment="1">
      <alignment horizontal="center" vertical="center" wrapText="1"/>
    </xf>
    <xf numFmtId="14" fontId="7" fillId="5" borderId="9" xfId="0" applyNumberFormat="1" applyFont="1" applyFill="1" applyBorder="1" applyAlignment="1">
      <alignment horizontal="center" vertical="center"/>
    </xf>
    <xf numFmtId="0" fontId="7" fillId="5" borderId="14" xfId="0" applyFont="1" applyFill="1" applyBorder="1"/>
    <xf numFmtId="43" fontId="7" fillId="0" borderId="3" xfId="0" applyNumberFormat="1" applyFont="1" applyFill="1" applyBorder="1" applyAlignment="1">
      <alignment horizontal="center" vertical="center"/>
    </xf>
    <xf numFmtId="0" fontId="7" fillId="5" borderId="17" xfId="0" applyFont="1" applyFill="1" applyBorder="1"/>
    <xf numFmtId="0" fontId="7" fillId="9" borderId="8"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14" xfId="0" applyFont="1" applyFill="1" applyBorder="1"/>
    <xf numFmtId="0" fontId="7" fillId="9" borderId="15" xfId="0" applyFont="1" applyFill="1" applyBorder="1"/>
    <xf numFmtId="1" fontId="6" fillId="9" borderId="14" xfId="0" applyNumberFormat="1" applyFont="1" applyFill="1" applyBorder="1" applyAlignment="1">
      <alignment horizontal="center" vertical="center" wrapText="1"/>
    </xf>
    <xf numFmtId="1" fontId="7" fillId="9" borderId="1" xfId="0" applyNumberFormat="1" applyFont="1" applyFill="1" applyBorder="1"/>
    <xf numFmtId="0" fontId="7" fillId="9" borderId="1" xfId="0" applyFont="1" applyFill="1" applyBorder="1" applyAlignment="1">
      <alignment horizontal="center" vertical="center"/>
    </xf>
    <xf numFmtId="14" fontId="7" fillId="5" borderId="3" xfId="0" applyNumberFormat="1" applyFont="1" applyFill="1" applyBorder="1" applyAlignment="1">
      <alignment horizontal="center" vertical="center"/>
    </xf>
    <xf numFmtId="0" fontId="7" fillId="0" borderId="14" xfId="0" applyFont="1" applyBorder="1"/>
    <xf numFmtId="0" fontId="7" fillId="5" borderId="3" xfId="0" applyFont="1" applyFill="1" applyBorder="1" applyAlignment="1">
      <alignment horizontal="center" vertical="center"/>
    </xf>
    <xf numFmtId="0" fontId="7" fillId="5" borderId="5" xfId="0" applyFont="1" applyFill="1" applyBorder="1" applyAlignment="1">
      <alignment horizontal="justify" vertical="center" wrapText="1"/>
    </xf>
    <xf numFmtId="43" fontId="7" fillId="5" borderId="1" xfId="0" applyNumberFormat="1" applyFont="1" applyFill="1" applyBorder="1" applyAlignment="1">
      <alignment horizontal="center" vertical="center"/>
    </xf>
    <xf numFmtId="1" fontId="7" fillId="5" borderId="8" xfId="0" applyNumberFormat="1" applyFont="1" applyFill="1" applyBorder="1" applyAlignment="1">
      <alignment horizontal="justify" vertical="center"/>
    </xf>
    <xf numFmtId="1" fontId="7" fillId="5" borderId="1" xfId="0" applyNumberFormat="1" applyFont="1" applyFill="1" applyBorder="1"/>
    <xf numFmtId="176" fontId="7" fillId="5" borderId="5" xfId="0" applyNumberFormat="1" applyFont="1" applyFill="1" applyBorder="1" applyAlignment="1">
      <alignment horizontal="left" vertical="center" wrapText="1"/>
    </xf>
    <xf numFmtId="0" fontId="7" fillId="5" borderId="8" xfId="0" applyFont="1" applyFill="1" applyBorder="1" applyAlignment="1">
      <alignment horizontal="justify" vertical="center"/>
    </xf>
    <xf numFmtId="0" fontId="7" fillId="0" borderId="17" xfId="0" applyFont="1" applyBorder="1"/>
    <xf numFmtId="0" fontId="7" fillId="0" borderId="0" xfId="0" applyFont="1" applyAlignment="1">
      <alignment horizontal="justify" vertical="center" wrapText="1"/>
    </xf>
    <xf numFmtId="1" fontId="7" fillId="5" borderId="1" xfId="0" applyNumberFormat="1" applyFont="1" applyFill="1" applyBorder="1" applyAlignment="1">
      <alignment horizontal="justify" vertical="center"/>
    </xf>
    <xf numFmtId="1" fontId="7" fillId="5" borderId="3" xfId="0" applyNumberFormat="1" applyFont="1" applyFill="1" applyBorder="1" applyAlignment="1">
      <alignment horizontal="center" vertical="center"/>
    </xf>
    <xf numFmtId="1" fontId="6" fillId="9" borderId="0" xfId="0" applyNumberFormat="1" applyFont="1" applyFill="1" applyBorder="1" applyAlignment="1">
      <alignment horizontal="justify" vertical="center"/>
    </xf>
    <xf numFmtId="1" fontId="6" fillId="9" borderId="0" xfId="0" applyNumberFormat="1" applyFont="1" applyFill="1" applyBorder="1" applyAlignment="1">
      <alignment vertical="center"/>
    </xf>
    <xf numFmtId="0" fontId="7" fillId="5" borderId="10" xfId="0" applyFont="1" applyFill="1" applyBorder="1" applyAlignment="1">
      <alignment horizontal="center" vertical="center" wrapText="1"/>
    </xf>
    <xf numFmtId="43" fontId="7" fillId="5" borderId="3" xfId="21" applyNumberFormat="1"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13" xfId="0" applyFont="1" applyFill="1" applyBorder="1" applyAlignment="1">
      <alignment vertical="center"/>
    </xf>
    <xf numFmtId="0" fontId="7" fillId="5" borderId="6" xfId="0" applyFont="1" applyFill="1" applyBorder="1" applyAlignment="1">
      <alignment horizontal="center" vertical="center"/>
    </xf>
    <xf numFmtId="43" fontId="7" fillId="5" borderId="6" xfId="21" applyNumberFormat="1" applyFont="1" applyFill="1" applyBorder="1" applyAlignment="1">
      <alignment horizontal="center" vertical="center"/>
    </xf>
    <xf numFmtId="0" fontId="7" fillId="9" borderId="1" xfId="0" applyFont="1" applyFill="1" applyBorder="1" applyAlignment="1">
      <alignment horizontal="justify" vertical="center"/>
    </xf>
    <xf numFmtId="1" fontId="6" fillId="9" borderId="1" xfId="0" applyNumberFormat="1" applyFont="1" applyFill="1" applyBorder="1" applyAlignment="1">
      <alignment horizontal="justify" vertical="center"/>
    </xf>
    <xf numFmtId="9" fontId="7" fillId="5" borderId="8" xfId="5" applyNumberFormat="1" applyFont="1" applyFill="1" applyBorder="1" applyAlignment="1">
      <alignment horizontal="center" vertical="center"/>
    </xf>
    <xf numFmtId="1" fontId="6" fillId="18" borderId="1" xfId="0" applyNumberFormat="1" applyFont="1" applyFill="1" applyBorder="1" applyAlignment="1">
      <alignment horizontal="left" vertical="center" wrapText="1"/>
    </xf>
    <xf numFmtId="0" fontId="6" fillId="18" borderId="1" xfId="0" applyFont="1" applyFill="1" applyBorder="1" applyAlignment="1">
      <alignment vertical="center"/>
    </xf>
    <xf numFmtId="0" fontId="7" fillId="18" borderId="1" xfId="0" applyFont="1" applyFill="1" applyBorder="1"/>
    <xf numFmtId="0" fontId="7" fillId="18" borderId="1" xfId="0" applyFont="1" applyFill="1" applyBorder="1" applyAlignment="1">
      <alignment horizontal="justify" vertical="center" wrapText="1"/>
    </xf>
    <xf numFmtId="0" fontId="6" fillId="18" borderId="1" xfId="0" applyFont="1" applyFill="1" applyBorder="1" applyAlignment="1">
      <alignment horizontal="justify" vertical="center"/>
    </xf>
    <xf numFmtId="0" fontId="6" fillId="18" borderId="1" xfId="0" applyFont="1" applyFill="1" applyBorder="1" applyAlignment="1">
      <alignment horizontal="center" vertical="center"/>
    </xf>
    <xf numFmtId="9" fontId="6" fillId="18" borderId="1" xfId="5" applyNumberFormat="1" applyFont="1" applyFill="1" applyBorder="1" applyAlignment="1">
      <alignment horizontal="center" vertical="center"/>
    </xf>
    <xf numFmtId="43" fontId="6" fillId="18" borderId="1" xfId="0" applyNumberFormat="1" applyFont="1" applyFill="1" applyBorder="1" applyAlignment="1">
      <alignment vertical="center"/>
    </xf>
    <xf numFmtId="1" fontId="6" fillId="18" borderId="1" xfId="0" applyNumberFormat="1" applyFont="1" applyFill="1" applyBorder="1" applyAlignment="1">
      <alignment horizontal="center" vertical="center"/>
    </xf>
    <xf numFmtId="1" fontId="6" fillId="18" borderId="3" xfId="0" applyNumberFormat="1" applyFont="1" applyFill="1" applyBorder="1" applyAlignment="1">
      <alignment vertical="center"/>
    </xf>
    <xf numFmtId="1" fontId="7" fillId="18" borderId="1" xfId="0" applyNumberFormat="1" applyFont="1" applyFill="1" applyBorder="1"/>
    <xf numFmtId="1" fontId="6" fillId="18" borderId="1" xfId="0" applyNumberFormat="1" applyFont="1" applyFill="1" applyBorder="1" applyAlignment="1">
      <alignment vertical="center"/>
    </xf>
    <xf numFmtId="1" fontId="6" fillId="18" borderId="5" xfId="0" applyNumberFormat="1" applyFont="1" applyFill="1" applyBorder="1" applyAlignment="1">
      <alignment vertical="center"/>
    </xf>
    <xf numFmtId="0" fontId="7" fillId="8" borderId="1" xfId="0" applyFont="1" applyFill="1" applyBorder="1" applyAlignment="1">
      <alignment horizontal="center" vertical="center"/>
    </xf>
    <xf numFmtId="1" fontId="6" fillId="8" borderId="1" xfId="0" applyNumberFormat="1" applyFont="1" applyFill="1" applyBorder="1" applyAlignment="1">
      <alignment horizontal="center" vertical="center"/>
    </xf>
    <xf numFmtId="0" fontId="6" fillId="8" borderId="1" xfId="0" applyFont="1" applyFill="1" applyBorder="1" applyAlignment="1">
      <alignment vertical="center"/>
    </xf>
    <xf numFmtId="0" fontId="7" fillId="8" borderId="1" xfId="0" applyFont="1" applyFill="1" applyBorder="1" applyAlignment="1">
      <alignment horizontal="justify" vertical="center"/>
    </xf>
    <xf numFmtId="0" fontId="6" fillId="8" borderId="1" xfId="0" applyFont="1" applyFill="1" applyBorder="1" applyAlignment="1">
      <alignment horizontal="justify" vertical="center"/>
    </xf>
    <xf numFmtId="9" fontId="6" fillId="8" borderId="1" xfId="5" applyNumberFormat="1" applyFont="1" applyFill="1" applyBorder="1" applyAlignment="1">
      <alignment horizontal="center" vertical="center"/>
    </xf>
    <xf numFmtId="43" fontId="6" fillId="8" borderId="1" xfId="0" applyNumberFormat="1" applyFont="1" applyFill="1" applyBorder="1" applyAlignment="1">
      <alignment vertical="center"/>
    </xf>
    <xf numFmtId="1" fontId="6" fillId="8" borderId="3" xfId="0" applyNumberFormat="1" applyFont="1" applyFill="1" applyBorder="1" applyAlignment="1">
      <alignment vertical="center"/>
    </xf>
    <xf numFmtId="1" fontId="7" fillId="8" borderId="1" xfId="0" applyNumberFormat="1" applyFont="1" applyFill="1" applyBorder="1"/>
    <xf numFmtId="1" fontId="6" fillId="8" borderId="1" xfId="0" applyNumberFormat="1" applyFont="1" applyFill="1" applyBorder="1" applyAlignment="1">
      <alignment horizontal="justify" vertical="center"/>
    </xf>
    <xf numFmtId="1" fontId="6" fillId="8" borderId="1" xfId="0" applyNumberFormat="1" applyFont="1" applyFill="1" applyBorder="1" applyAlignment="1">
      <alignment vertical="center"/>
    </xf>
    <xf numFmtId="1" fontId="6" fillId="8" borderId="5" xfId="0" applyNumberFormat="1" applyFont="1" applyFill="1" applyBorder="1" applyAlignment="1">
      <alignment vertical="center"/>
    </xf>
    <xf numFmtId="177" fontId="6" fillId="8" borderId="4" xfId="0" applyNumberFormat="1" applyFont="1" applyFill="1" applyBorder="1" applyAlignment="1">
      <alignment horizontal="center" vertical="center"/>
    </xf>
    <xf numFmtId="0" fontId="6" fillId="8" borderId="5" xfId="0" applyFont="1" applyFill="1" applyBorder="1" applyAlignment="1">
      <alignment horizontal="justify" vertical="center"/>
    </xf>
    <xf numFmtId="0" fontId="7" fillId="9" borderId="8" xfId="0" applyFont="1" applyFill="1" applyBorder="1"/>
    <xf numFmtId="1" fontId="6" fillId="9" borderId="8" xfId="0" applyNumberFormat="1" applyFont="1" applyFill="1" applyBorder="1" applyAlignment="1">
      <alignment horizontal="center" vertical="center" wrapText="1"/>
    </xf>
    <xf numFmtId="0" fontId="6" fillId="9" borderId="8" xfId="0" applyFont="1" applyFill="1" applyBorder="1" applyAlignment="1">
      <alignment vertical="center"/>
    </xf>
    <xf numFmtId="9" fontId="6" fillId="9" borderId="1" xfId="5" applyNumberFormat="1" applyFont="1" applyFill="1" applyBorder="1" applyAlignment="1">
      <alignment horizontal="center" vertical="center"/>
    </xf>
    <xf numFmtId="43" fontId="6" fillId="9" borderId="1" xfId="0" applyNumberFormat="1" applyFont="1" applyFill="1" applyBorder="1" applyAlignment="1">
      <alignment vertical="center"/>
    </xf>
    <xf numFmtId="1" fontId="6" fillId="9" borderId="3" xfId="0" applyNumberFormat="1" applyFont="1" applyFill="1" applyBorder="1" applyAlignment="1">
      <alignment vertical="center"/>
    </xf>
    <xf numFmtId="1" fontId="6" fillId="9" borderId="5" xfId="0" applyNumberFormat="1" applyFont="1" applyFill="1" applyBorder="1" applyAlignment="1">
      <alignment vertical="center"/>
    </xf>
    <xf numFmtId="0" fontId="7" fillId="0" borderId="2" xfId="0" applyFont="1" applyFill="1" applyBorder="1" applyAlignment="1">
      <alignment horizontal="center" vertical="center" wrapText="1"/>
    </xf>
    <xf numFmtId="9" fontId="7" fillId="5" borderId="17" xfId="5" applyNumberFormat="1" applyFont="1" applyFill="1" applyBorder="1" applyAlignment="1">
      <alignment horizontal="center" vertical="center"/>
    </xf>
    <xf numFmtId="0" fontId="7" fillId="5" borderId="17" xfId="0" applyFont="1" applyFill="1" applyBorder="1" applyAlignment="1">
      <alignment horizontal="justify" vertical="center"/>
    </xf>
    <xf numFmtId="43" fontId="7" fillId="5" borderId="12" xfId="21" applyNumberFormat="1"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1"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xf>
    <xf numFmtId="9" fontId="7" fillId="0" borderId="0" xfId="5" applyNumberFormat="1" applyFont="1" applyAlignment="1">
      <alignment horizontal="center"/>
    </xf>
    <xf numFmtId="1" fontId="6" fillId="3" borderId="3" xfId="0" applyNumberFormat="1" applyFont="1" applyFill="1" applyBorder="1" applyAlignment="1">
      <alignment horizontal="center" vertical="center" wrapText="1"/>
    </xf>
    <xf numFmtId="43" fontId="6" fillId="18" borderId="3" xfId="0" applyNumberFormat="1" applyFont="1" applyFill="1" applyBorder="1" applyAlignment="1">
      <alignment horizontal="center" vertical="center"/>
    </xf>
    <xf numFmtId="43" fontId="6" fillId="8" borderId="3" xfId="0" applyNumberFormat="1" applyFont="1" applyFill="1" applyBorder="1" applyAlignment="1">
      <alignment horizontal="center" vertical="center"/>
    </xf>
    <xf numFmtId="43" fontId="6" fillId="9" borderId="3" xfId="0" applyNumberFormat="1" applyFont="1" applyFill="1" applyBorder="1" applyAlignment="1">
      <alignment horizontal="center" vertical="center"/>
    </xf>
    <xf numFmtId="0" fontId="6" fillId="18" borderId="5" xfId="0" applyFont="1" applyFill="1" applyBorder="1" applyAlignment="1">
      <alignment horizontal="center" vertical="center"/>
    </xf>
    <xf numFmtId="0" fontId="6" fillId="8" borderId="5" xfId="0" applyFont="1" applyFill="1" applyBorder="1" applyAlignment="1">
      <alignment horizontal="center" vertical="center"/>
    </xf>
    <xf numFmtId="0" fontId="6" fillId="9" borderId="5" xfId="0" applyFont="1" applyFill="1" applyBorder="1" applyAlignment="1">
      <alignment horizontal="center" vertical="center"/>
    </xf>
    <xf numFmtId="1" fontId="6" fillId="8" borderId="17" xfId="0" applyNumberFormat="1" applyFont="1" applyFill="1" applyBorder="1" applyAlignment="1">
      <alignment horizontal="center" vertical="center"/>
    </xf>
    <xf numFmtId="1" fontId="6" fillId="18" borderId="2" xfId="0" applyNumberFormat="1" applyFont="1" applyFill="1" applyBorder="1" applyAlignment="1">
      <alignment horizontal="left" vertical="center" wrapText="1"/>
    </xf>
    <xf numFmtId="0" fontId="6" fillId="18" borderId="2" xfId="0" applyFont="1" applyFill="1" applyBorder="1" applyAlignment="1">
      <alignment vertical="center"/>
    </xf>
    <xf numFmtId="0" fontId="6" fillId="18" borderId="17" xfId="0" applyFont="1" applyFill="1" applyBorder="1" applyAlignment="1">
      <alignment horizontal="justify" vertical="center" wrapText="1"/>
    </xf>
    <xf numFmtId="9" fontId="6" fillId="18" borderId="17" xfId="5" applyNumberFormat="1" applyFont="1" applyFill="1" applyBorder="1" applyAlignment="1">
      <alignment horizontal="center" vertical="center" wrapText="1"/>
    </xf>
    <xf numFmtId="43" fontId="6" fillId="18" borderId="17" xfId="0" applyNumberFormat="1" applyFont="1" applyFill="1" applyBorder="1" applyAlignment="1">
      <alignment horizontal="center" vertical="center" wrapText="1"/>
    </xf>
    <xf numFmtId="170" fontId="6" fillId="18" borderId="17" xfId="0" applyNumberFormat="1" applyFont="1" applyFill="1" applyBorder="1" applyAlignment="1">
      <alignment horizontal="center" vertical="center" wrapText="1"/>
    </xf>
    <xf numFmtId="3" fontId="6" fillId="18" borderId="17" xfId="0" applyNumberFormat="1" applyFont="1" applyFill="1" applyBorder="1" applyAlignment="1">
      <alignment horizontal="center" vertical="center" wrapText="1"/>
    </xf>
    <xf numFmtId="1" fontId="6" fillId="5" borderId="14" xfId="0" applyNumberFormat="1" applyFont="1" applyFill="1" applyBorder="1" applyAlignment="1">
      <alignment vertical="center" textRotation="180" wrapText="1"/>
    </xf>
    <xf numFmtId="0" fontId="3" fillId="5" borderId="6" xfId="0" applyFont="1" applyFill="1" applyBorder="1" applyAlignment="1">
      <alignment horizontal="justify" vertical="center"/>
    </xf>
    <xf numFmtId="0" fontId="3" fillId="5" borderId="9" xfId="0" applyFont="1" applyFill="1" applyBorder="1" applyAlignment="1">
      <alignment horizontal="justify" vertical="center"/>
    </xf>
    <xf numFmtId="0" fontId="3" fillId="5" borderId="7" xfId="0" applyFont="1" applyFill="1" applyBorder="1" applyAlignment="1">
      <alignment horizontal="justify" vertical="center"/>
    </xf>
    <xf numFmtId="0" fontId="3" fillId="5" borderId="15" xfId="0" applyFont="1" applyFill="1" applyBorder="1" applyAlignment="1">
      <alignment horizontal="justify"/>
    </xf>
    <xf numFmtId="0" fontId="3" fillId="5" borderId="0" xfId="0" applyFont="1" applyFill="1" applyBorder="1" applyAlignment="1">
      <alignment horizontal="justify"/>
    </xf>
    <xf numFmtId="0" fontId="3" fillId="5" borderId="16" xfId="0" applyFont="1" applyFill="1" applyBorder="1" applyAlignment="1">
      <alignment horizontal="justify"/>
    </xf>
    <xf numFmtId="0" fontId="3" fillId="5" borderId="12" xfId="0" applyFont="1" applyFill="1" applyBorder="1" applyAlignment="1">
      <alignment horizontal="justify"/>
    </xf>
    <xf numFmtId="0" fontId="3" fillId="5" borderId="2" xfId="0" applyFont="1" applyFill="1" applyBorder="1" applyAlignment="1">
      <alignment horizontal="justify"/>
    </xf>
    <xf numFmtId="0" fontId="3" fillId="5" borderId="13" xfId="0" applyFont="1" applyFill="1" applyBorder="1" applyAlignment="1">
      <alignment horizontal="justify"/>
    </xf>
    <xf numFmtId="0" fontId="3" fillId="5" borderId="1" xfId="0" applyFont="1" applyFill="1" applyBorder="1" applyAlignment="1">
      <alignment horizontal="justify" vertical="center"/>
    </xf>
    <xf numFmtId="0" fontId="6" fillId="0" borderId="9" xfId="0" applyFont="1" applyBorder="1"/>
    <xf numFmtId="169" fontId="6" fillId="0" borderId="9" xfId="2" applyFont="1" applyBorder="1"/>
    <xf numFmtId="169" fontId="7" fillId="0" borderId="9" xfId="2" applyFont="1" applyBorder="1"/>
    <xf numFmtId="0" fontId="6" fillId="0" borderId="9" xfId="0" applyFont="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lignment horizontal="justify"/>
    </xf>
    <xf numFmtId="9" fontId="6" fillId="0" borderId="5" xfId="5" applyNumberFormat="1" applyFont="1" applyBorder="1" applyAlignment="1">
      <alignment horizontal="center"/>
    </xf>
    <xf numFmtId="43" fontId="6" fillId="0" borderId="1" xfId="0" applyNumberFormat="1" applyFont="1" applyBorder="1"/>
    <xf numFmtId="43" fontId="6" fillId="0" borderId="1" xfId="0" applyNumberFormat="1" applyFont="1" applyBorder="1" applyAlignment="1">
      <alignment horizontal="center"/>
    </xf>
    <xf numFmtId="1" fontId="6" fillId="0" borderId="4" xfId="0" applyNumberFormat="1" applyFont="1" applyBorder="1"/>
    <xf numFmtId="0" fontId="6" fillId="0" borderId="5" xfId="0" applyFont="1" applyBorder="1"/>
    <xf numFmtId="1" fontId="4" fillId="10" borderId="14" xfId="0" applyNumberFormat="1" applyFont="1" applyFill="1" applyBorder="1" applyAlignment="1">
      <alignment horizontal="justify" vertical="center"/>
    </xf>
    <xf numFmtId="0" fontId="3" fillId="5" borderId="15" xfId="0" applyFont="1" applyFill="1" applyBorder="1" applyAlignment="1"/>
    <xf numFmtId="0" fontId="3" fillId="5" borderId="16" xfId="0" applyFont="1" applyFill="1" applyBorder="1" applyAlignment="1"/>
    <xf numFmtId="0" fontId="3" fillId="5" borderId="6" xfId="0" applyFont="1" applyFill="1" applyBorder="1" applyAlignment="1"/>
    <xf numFmtId="0" fontId="3" fillId="5" borderId="7" xfId="0" applyFont="1" applyFill="1" applyBorder="1" applyAlignment="1"/>
    <xf numFmtId="0" fontId="4" fillId="9" borderId="5" xfId="0" applyNumberFormat="1" applyFont="1" applyFill="1" applyBorder="1" applyAlignment="1">
      <alignment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1" fontId="6" fillId="0" borderId="4" xfId="0" applyNumberFormat="1" applyFont="1" applyBorder="1" applyAlignment="1">
      <alignment horizontal="right" vertical="center"/>
    </xf>
    <xf numFmtId="174" fontId="7" fillId="5" borderId="8" xfId="0" applyNumberFormat="1" applyFont="1" applyFill="1" applyBorder="1" applyAlignment="1">
      <alignment horizontal="center" vertical="center" wrapText="1"/>
    </xf>
    <xf numFmtId="174" fontId="7" fillId="5" borderId="14" xfId="0" applyNumberFormat="1" applyFont="1" applyFill="1" applyBorder="1" applyAlignment="1">
      <alignment horizontal="center" vertical="center" wrapText="1"/>
    </xf>
    <xf numFmtId="174" fontId="7" fillId="5" borderId="17" xfId="0" applyNumberFormat="1" applyFont="1" applyFill="1" applyBorder="1" applyAlignment="1">
      <alignment horizontal="center" vertical="center" wrapText="1"/>
    </xf>
    <xf numFmtId="0" fontId="7" fillId="5" borderId="8"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17" xfId="0" applyFont="1" applyFill="1" applyBorder="1" applyAlignment="1">
      <alignment horizontal="justify" vertical="center" wrapText="1"/>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17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42" fontId="7" fillId="5" borderId="8" xfId="8" applyFont="1" applyFill="1" applyBorder="1" applyAlignment="1">
      <alignment horizontal="center" vertical="center" wrapText="1"/>
    </xf>
    <xf numFmtId="42" fontId="7" fillId="5" borderId="14" xfId="8" applyFont="1" applyFill="1" applyBorder="1" applyAlignment="1">
      <alignment horizontal="center" vertical="center" wrapText="1"/>
    </xf>
    <xf numFmtId="42" fontId="7" fillId="5" borderId="17" xfId="8"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173" fontId="7" fillId="0" borderId="1" xfId="7"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41" fontId="7" fillId="5" borderId="1" xfId="1" applyFont="1" applyFill="1" applyBorder="1" applyAlignment="1">
      <alignment horizontal="center" vertical="center" wrapText="1"/>
    </xf>
    <xf numFmtId="42" fontId="7" fillId="5" borderId="1" xfId="8" applyFont="1" applyFill="1" applyBorder="1" applyAlignment="1">
      <alignment horizontal="center" vertical="center" wrapText="1"/>
    </xf>
    <xf numFmtId="0" fontId="8" fillId="0" borderId="1" xfId="0" applyFont="1" applyBorder="1" applyAlignment="1">
      <alignment horizontal="center" vertical="center" wrapText="1"/>
    </xf>
    <xf numFmtId="42" fontId="7" fillId="0" borderId="1" xfId="8" applyFont="1" applyFill="1" applyBorder="1" applyAlignment="1">
      <alignment horizontal="center" vertical="center"/>
    </xf>
    <xf numFmtId="170" fontId="6" fillId="3" borderId="6" xfId="0" applyNumberFormat="1" applyFont="1" applyFill="1" applyBorder="1" applyAlignment="1">
      <alignment horizontal="center" vertical="center" wrapText="1"/>
    </xf>
    <xf numFmtId="170" fontId="6" fillId="3" borderId="12"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3" fontId="7" fillId="5" borderId="8" xfId="0" applyNumberFormat="1" applyFont="1" applyFill="1" applyBorder="1" applyAlignment="1">
      <alignment horizontal="justify" vertical="center" wrapText="1"/>
    </xf>
    <xf numFmtId="3" fontId="7" fillId="5" borderId="14" xfId="0" applyNumberFormat="1" applyFont="1" applyFill="1" applyBorder="1" applyAlignment="1">
      <alignment horizontal="justify" vertical="center" wrapText="1"/>
    </xf>
    <xf numFmtId="3" fontId="7" fillId="5" borderId="17" xfId="0" applyNumberFormat="1" applyFont="1" applyFill="1" applyBorder="1" applyAlignment="1">
      <alignment horizontal="justify" vertical="center" wrapText="1"/>
    </xf>
    <xf numFmtId="176" fontId="6" fillId="3" borderId="8" xfId="0" applyNumberFormat="1" applyFont="1" applyFill="1" applyBorder="1" applyAlignment="1">
      <alignment horizontal="center" vertical="center" wrapText="1"/>
    </xf>
    <xf numFmtId="176" fontId="6" fillId="3" borderId="14" xfId="0" applyNumberFormat="1" applyFont="1" applyFill="1" applyBorder="1" applyAlignment="1">
      <alignment horizontal="center" vertical="center" wrapText="1"/>
    </xf>
    <xf numFmtId="177" fontId="6" fillId="3" borderId="8" xfId="0" applyNumberFormat="1" applyFont="1" applyFill="1" applyBorder="1" applyAlignment="1">
      <alignment horizontal="center" vertical="center" wrapText="1"/>
    </xf>
    <xf numFmtId="177" fontId="6" fillId="3" borderId="17" xfId="0" applyNumberFormat="1" applyFont="1" applyFill="1" applyBorder="1" applyAlignment="1">
      <alignment horizontal="center" vertical="center"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xf>
    <xf numFmtId="177" fontId="7" fillId="5" borderId="8" xfId="0" applyNumberFormat="1" applyFont="1" applyFill="1" applyBorder="1" applyAlignment="1">
      <alignment horizontal="center" vertical="center"/>
    </xf>
    <xf numFmtId="177" fontId="7" fillId="5" borderId="17" xfId="0" applyNumberFormat="1" applyFont="1" applyFill="1" applyBorder="1" applyAlignment="1">
      <alignment horizontal="center" vertical="center"/>
    </xf>
    <xf numFmtId="0" fontId="7" fillId="0" borderId="1" xfId="0" applyFont="1" applyFill="1" applyBorder="1" applyAlignment="1">
      <alignment horizontal="center"/>
    </xf>
    <xf numFmtId="0" fontId="7" fillId="0" borderId="14" xfId="0" applyFont="1" applyFill="1" applyBorder="1" applyAlignment="1">
      <alignment horizontal="center" vertical="top" wrapText="1"/>
    </xf>
    <xf numFmtId="0" fontId="7" fillId="0" borderId="17" xfId="0" applyFont="1" applyFill="1" applyBorder="1" applyAlignment="1">
      <alignment horizontal="center" vertical="top" wrapText="1"/>
    </xf>
    <xf numFmtId="1" fontId="7" fillId="5" borderId="14" xfId="0" applyNumberFormat="1" applyFont="1" applyFill="1" applyBorder="1" applyAlignment="1">
      <alignment horizontal="center" vertical="top"/>
    </xf>
    <xf numFmtId="1" fontId="7" fillId="5" borderId="17" xfId="0" applyNumberFormat="1" applyFont="1" applyFill="1" applyBorder="1" applyAlignment="1">
      <alignment horizontal="center" vertical="top"/>
    </xf>
    <xf numFmtId="1" fontId="7" fillId="5" borderId="14" xfId="0" applyNumberFormat="1" applyFont="1" applyFill="1" applyBorder="1" applyAlignment="1">
      <alignment horizontal="center" vertical="top" wrapText="1"/>
    </xf>
    <xf numFmtId="1" fontId="7" fillId="5" borderId="17" xfId="0" applyNumberFormat="1" applyFont="1" applyFill="1" applyBorder="1" applyAlignment="1">
      <alignment horizontal="center" vertical="top" wrapText="1"/>
    </xf>
    <xf numFmtId="1" fontId="7" fillId="5" borderId="8" xfId="0" applyNumberFormat="1" applyFont="1" applyFill="1" applyBorder="1" applyAlignment="1">
      <alignment horizontal="center"/>
    </xf>
    <xf numFmtId="1" fontId="7" fillId="5" borderId="14" xfId="0" applyNumberFormat="1" applyFont="1" applyFill="1" applyBorder="1" applyAlignment="1">
      <alignment horizontal="center"/>
    </xf>
    <xf numFmtId="176" fontId="7" fillId="5" borderId="8" xfId="0" applyNumberFormat="1" applyFont="1" applyFill="1" applyBorder="1" applyAlignment="1">
      <alignment horizontal="center" vertical="center"/>
    </xf>
    <xf numFmtId="176" fontId="7" fillId="5" borderId="14" xfId="0" applyNumberFormat="1" applyFont="1" applyFill="1" applyBorder="1" applyAlignment="1">
      <alignment horizontal="center" vertical="center"/>
    </xf>
    <xf numFmtId="176" fontId="7" fillId="5" borderId="17"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9" fontId="7" fillId="5" borderId="1" xfId="5" applyFont="1" applyFill="1" applyBorder="1" applyAlignment="1">
      <alignment horizontal="center" vertical="center"/>
    </xf>
    <xf numFmtId="0" fontId="7" fillId="0" borderId="15" xfId="0" applyFont="1" applyFill="1" applyBorder="1" applyAlignment="1">
      <alignment horizontal="center" vertical="center" wrapText="1"/>
    </xf>
    <xf numFmtId="1" fontId="7" fillId="0" borderId="14" xfId="0" applyNumberFormat="1" applyFont="1" applyFill="1" applyBorder="1" applyAlignment="1">
      <alignment horizontal="center" vertical="top"/>
    </xf>
    <xf numFmtId="0" fontId="7" fillId="0" borderId="8" xfId="0" applyFont="1" applyFill="1" applyBorder="1" applyAlignment="1">
      <alignment horizontal="center" wrapText="1"/>
    </xf>
    <xf numFmtId="0" fontId="7" fillId="0" borderId="14" xfId="0" applyFont="1" applyFill="1" applyBorder="1" applyAlignment="1">
      <alignment horizontal="center" wrapText="1"/>
    </xf>
    <xf numFmtId="0" fontId="7" fillId="0" borderId="8" xfId="0" applyFont="1" applyFill="1" applyBorder="1" applyAlignment="1">
      <alignment horizontal="justify" vertical="center" wrapText="1"/>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7" fillId="0" borderId="8" xfId="0" applyFont="1" applyFill="1" applyBorder="1" applyAlignment="1">
      <alignment horizontal="center"/>
    </xf>
    <xf numFmtId="0" fontId="7" fillId="0" borderId="14" xfId="0" applyFont="1" applyFill="1" applyBorder="1" applyAlignment="1">
      <alignment horizontal="center"/>
    </xf>
    <xf numFmtId="9" fontId="7" fillId="0" borderId="1" xfId="5" applyFont="1" applyFill="1" applyBorder="1" applyAlignment="1">
      <alignment horizontal="center" vertical="center"/>
    </xf>
    <xf numFmtId="176" fontId="7" fillId="0" borderId="1" xfId="0" applyNumberFormat="1" applyFont="1" applyFill="1" applyBorder="1" applyAlignment="1">
      <alignment horizontal="right" vertical="center"/>
    </xf>
    <xf numFmtId="1" fontId="7" fillId="0" borderId="8" xfId="0" applyNumberFormat="1" applyFont="1" applyFill="1" applyBorder="1" applyAlignment="1">
      <alignment horizontal="center"/>
    </xf>
    <xf numFmtId="1" fontId="7" fillId="0" borderId="14" xfId="0" applyNumberFormat="1" applyFont="1" applyFill="1" applyBorder="1" applyAlignment="1">
      <alignment horizontal="center"/>
    </xf>
    <xf numFmtId="177" fontId="7" fillId="5" borderId="1" xfId="0" applyNumberFormat="1" applyFont="1" applyFill="1" applyBorder="1" applyAlignment="1">
      <alignment horizontal="center" vertical="center"/>
    </xf>
    <xf numFmtId="176" fontId="7" fillId="5" borderId="1" xfId="0" applyNumberFormat="1" applyFont="1" applyFill="1" applyBorder="1" applyAlignment="1">
      <alignment horizontal="right" vertical="center"/>
    </xf>
    <xf numFmtId="0" fontId="7" fillId="5" borderId="14" xfId="0" applyFont="1" applyFill="1" applyBorder="1" applyAlignment="1">
      <alignment horizontal="center" vertical="top" wrapText="1"/>
    </xf>
    <xf numFmtId="0" fontId="7" fillId="5" borderId="17" xfId="0" applyFont="1" applyFill="1" applyBorder="1" applyAlignment="1">
      <alignment horizontal="center" vertical="top" wrapText="1"/>
    </xf>
    <xf numFmtId="0" fontId="7" fillId="5" borderId="8" xfId="0" applyFont="1" applyFill="1" applyBorder="1" applyAlignment="1">
      <alignment horizontal="center" wrapText="1"/>
    </xf>
    <xf numFmtId="0" fontId="7" fillId="5" borderId="14" xfId="0" applyFont="1" applyFill="1" applyBorder="1" applyAlignment="1">
      <alignment horizontal="center" wrapText="1"/>
    </xf>
    <xf numFmtId="176" fontId="7" fillId="0" borderId="15" xfId="0" applyNumberFormat="1" applyFont="1" applyFill="1" applyBorder="1" applyAlignment="1">
      <alignment vertical="center" wrapText="1"/>
    </xf>
    <xf numFmtId="1" fontId="7" fillId="5" borderId="15" xfId="0" applyNumberFormat="1" applyFont="1" applyFill="1" applyBorder="1" applyAlignment="1">
      <alignment horizontal="center"/>
    </xf>
    <xf numFmtId="0" fontId="6" fillId="5" borderId="0" xfId="0" applyFont="1" applyFill="1" applyBorder="1" applyAlignment="1">
      <alignment horizontal="center" vertical="center" wrapText="1"/>
    </xf>
    <xf numFmtId="0" fontId="7" fillId="5" borderId="15" xfId="0" applyFont="1" applyFill="1" applyBorder="1" applyAlignment="1">
      <alignment horizontal="center"/>
    </xf>
    <xf numFmtId="0" fontId="7" fillId="5" borderId="0" xfId="0" applyFont="1" applyFill="1" applyBorder="1" applyAlignment="1">
      <alignment horizontal="center"/>
    </xf>
    <xf numFmtId="177" fontId="7" fillId="5" borderId="8" xfId="0" applyNumberFormat="1" applyFont="1" applyFill="1" applyBorder="1" applyAlignment="1">
      <alignment horizontal="center" vertical="center" wrapText="1"/>
    </xf>
    <xf numFmtId="177" fontId="7" fillId="5" borderId="14" xfId="0" applyNumberFormat="1" applyFont="1" applyFill="1" applyBorder="1" applyAlignment="1">
      <alignment horizontal="center" vertical="center" wrapText="1"/>
    </xf>
    <xf numFmtId="177" fontId="7" fillId="5" borderId="17"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wrapText="1"/>
    </xf>
    <xf numFmtId="1" fontId="6" fillId="5" borderId="14" xfId="0" applyNumberFormat="1" applyFont="1" applyFill="1" applyBorder="1" applyAlignment="1">
      <alignment horizontal="center" vertical="center" wrapText="1"/>
    </xf>
    <xf numFmtId="1" fontId="6" fillId="5" borderId="17" xfId="0" applyNumberFormat="1" applyFont="1" applyFill="1" applyBorder="1" applyAlignment="1">
      <alignment horizontal="center" vertical="center" wrapText="1"/>
    </xf>
    <xf numFmtId="1" fontId="7" fillId="5" borderId="8" xfId="0" applyNumberFormat="1" applyFont="1" applyFill="1" applyBorder="1" applyAlignment="1">
      <alignment horizontal="center" vertical="center" wrapText="1"/>
    </xf>
    <xf numFmtId="1" fontId="7" fillId="5" borderId="14" xfId="0" applyNumberFormat="1" applyFont="1" applyFill="1" applyBorder="1" applyAlignment="1">
      <alignment horizontal="center" vertical="center" wrapText="1"/>
    </xf>
    <xf numFmtId="1" fontId="7" fillId="5" borderId="17" xfId="0" applyNumberFormat="1" applyFont="1" applyFill="1" applyBorder="1" applyAlignment="1">
      <alignment horizontal="center" vertical="center" wrapText="1"/>
    </xf>
    <xf numFmtId="1" fontId="7" fillId="5" borderId="8" xfId="0" applyNumberFormat="1" applyFont="1" applyFill="1" applyBorder="1" applyAlignment="1">
      <alignment horizontal="center" wrapText="1"/>
    </xf>
    <xf numFmtId="1" fontId="7" fillId="5" borderId="14" xfId="0" applyNumberFormat="1" applyFont="1" applyFill="1" applyBorder="1" applyAlignment="1">
      <alignment horizontal="center" wrapText="1"/>
    </xf>
    <xf numFmtId="0" fontId="7" fillId="5" borderId="8" xfId="0" applyFont="1" applyFill="1" applyBorder="1" applyAlignment="1">
      <alignment horizontal="center" vertical="center" wrapText="1"/>
    </xf>
    <xf numFmtId="0" fontId="7" fillId="5" borderId="17" xfId="0" applyFont="1" applyFill="1" applyBorder="1" applyAlignment="1">
      <alignment horizontal="center" vertical="center" wrapText="1"/>
    </xf>
    <xf numFmtId="177"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0" fontId="7" fillId="5" borderId="14" xfId="0" applyFont="1" applyFill="1" applyBorder="1" applyAlignment="1">
      <alignment horizontal="center" vertical="center" wrapText="1"/>
    </xf>
    <xf numFmtId="0" fontId="8" fillId="0" borderId="8" xfId="0" applyFont="1" applyBorder="1" applyAlignment="1">
      <alignment horizontal="center"/>
    </xf>
    <xf numFmtId="0" fontId="8" fillId="0" borderId="14" xfId="0" applyFont="1" applyBorder="1" applyAlignment="1">
      <alignment horizontal="center"/>
    </xf>
    <xf numFmtId="9" fontId="7" fillId="5" borderId="1" xfId="5" applyFont="1" applyFill="1" applyBorder="1" applyAlignment="1">
      <alignment horizontal="center" vertical="center" wrapText="1"/>
    </xf>
    <xf numFmtId="9" fontId="7" fillId="5" borderId="8" xfId="5" applyFont="1" applyFill="1" applyBorder="1" applyAlignment="1">
      <alignment horizontal="center" vertical="center" wrapText="1"/>
    </xf>
    <xf numFmtId="9" fontId="7" fillId="5" borderId="14" xfId="5" applyFont="1" applyFill="1" applyBorder="1" applyAlignment="1">
      <alignment horizontal="center" vertical="center" wrapText="1"/>
    </xf>
    <xf numFmtId="9" fontId="7" fillId="5" borderId="17" xfId="5" applyFont="1" applyFill="1" applyBorder="1" applyAlignment="1">
      <alignment horizontal="center" vertical="center" wrapText="1"/>
    </xf>
    <xf numFmtId="176" fontId="7" fillId="5" borderId="8" xfId="0" applyNumberFormat="1" applyFont="1" applyFill="1" applyBorder="1" applyAlignment="1">
      <alignment horizontal="right" vertical="center" wrapText="1"/>
    </xf>
    <xf numFmtId="176" fontId="7" fillId="5" borderId="14" xfId="0" applyNumberFormat="1" applyFont="1" applyFill="1" applyBorder="1" applyAlignment="1">
      <alignment horizontal="right" vertical="center" wrapText="1"/>
    </xf>
    <xf numFmtId="176" fontId="7" fillId="5" borderId="17" xfId="0" applyNumberFormat="1" applyFont="1" applyFill="1" applyBorder="1" applyAlignment="1">
      <alignment horizontal="right" vertical="center" wrapText="1"/>
    </xf>
    <xf numFmtId="0" fontId="7" fillId="5" borderId="0" xfId="0" applyFont="1" applyFill="1" applyBorder="1" applyAlignment="1">
      <alignment horizontal="center" vertical="center" wrapText="1"/>
    </xf>
    <xf numFmtId="0" fontId="7" fillId="5" borderId="15" xfId="0" applyFont="1" applyFill="1" applyBorder="1" applyAlignment="1">
      <alignment horizontal="center" vertical="center" wrapText="1"/>
    </xf>
    <xf numFmtId="177" fontId="7" fillId="0" borderId="8"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 fontId="7" fillId="0" borderId="7" xfId="0" applyNumberFormat="1" applyFont="1" applyFill="1" applyBorder="1" applyAlignment="1">
      <alignment horizontal="center"/>
    </xf>
    <xf numFmtId="1" fontId="7" fillId="0" borderId="16" xfId="0" applyNumberFormat="1" applyFont="1" applyFill="1" applyBorder="1" applyAlignment="1">
      <alignment horizontal="center"/>
    </xf>
    <xf numFmtId="176" fontId="7" fillId="5" borderId="1" xfId="0" applyNumberFormat="1" applyFont="1" applyFill="1" applyBorder="1" applyAlignment="1">
      <alignment horizontal="right" vertical="center" wrapText="1"/>
    </xf>
    <xf numFmtId="1" fontId="7" fillId="0" borderId="17" xfId="0" applyNumberFormat="1" applyFont="1" applyFill="1" applyBorder="1" applyAlignment="1">
      <alignment horizontal="center" vertical="top"/>
    </xf>
    <xf numFmtId="1" fontId="7" fillId="0" borderId="16" xfId="0" applyNumberFormat="1" applyFont="1" applyFill="1" applyBorder="1" applyAlignment="1">
      <alignment horizontal="center" vertical="top" wrapText="1"/>
    </xf>
    <xf numFmtId="1" fontId="7" fillId="0" borderId="13" xfId="0" applyNumberFormat="1" applyFont="1" applyFill="1" applyBorder="1" applyAlignment="1">
      <alignment horizontal="center" vertical="top" wrapText="1"/>
    </xf>
    <xf numFmtId="177" fontId="7" fillId="0" borderId="14" xfId="0" applyNumberFormat="1"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4" xfId="0" applyNumberFormat="1" applyFont="1" applyFill="1" applyBorder="1" applyAlignment="1">
      <alignment horizontal="center" vertical="center"/>
    </xf>
    <xf numFmtId="1" fontId="7" fillId="5" borderId="17" xfId="0" applyNumberFormat="1" applyFont="1" applyFill="1" applyBorder="1" applyAlignment="1">
      <alignment horizontal="center" vertical="center"/>
    </xf>
    <xf numFmtId="14" fontId="7" fillId="5" borderId="1" xfId="0" applyNumberFormat="1" applyFont="1" applyFill="1" applyBorder="1" applyAlignment="1">
      <alignment horizontal="justify" vertical="center"/>
    </xf>
    <xf numFmtId="1" fontId="7" fillId="0" borderId="1" xfId="0" applyNumberFormat="1" applyFont="1" applyFill="1" applyBorder="1" applyAlignment="1">
      <alignment horizontal="justify" vertical="center" wrapText="1"/>
    </xf>
    <xf numFmtId="0" fontId="7" fillId="5" borderId="16"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76" fontId="6" fillId="3" borderId="8" xfId="0" applyNumberFormat="1" applyFont="1" applyFill="1" applyBorder="1" applyAlignment="1">
      <alignment horizontal="right" vertical="center" wrapText="1"/>
    </xf>
    <xf numFmtId="176" fontId="6" fillId="3" borderId="14" xfId="0" applyNumberFormat="1" applyFont="1" applyFill="1" applyBorder="1" applyAlignment="1">
      <alignment horizontal="right"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176" fontId="7" fillId="0" borderId="8"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3" fontId="6" fillId="3" borderId="8" xfId="0" applyNumberFormat="1" applyFont="1" applyFill="1" applyBorder="1" applyAlignment="1">
      <alignment horizontal="center" vertical="center" wrapText="1"/>
    </xf>
    <xf numFmtId="3" fontId="6" fillId="3" borderId="14" xfId="0" applyNumberFormat="1" applyFont="1" applyFill="1" applyBorder="1" applyAlignment="1">
      <alignment horizontal="center" vertical="center" wrapText="1"/>
    </xf>
    <xf numFmtId="0" fontId="7" fillId="5" borderId="8" xfId="0" applyFont="1" applyFill="1" applyBorder="1" applyAlignment="1">
      <alignment horizontal="center"/>
    </xf>
    <xf numFmtId="0" fontId="7" fillId="5" borderId="14" xfId="0" applyFont="1" applyFill="1" applyBorder="1" applyAlignment="1">
      <alignment horizontal="center"/>
    </xf>
    <xf numFmtId="9" fontId="6" fillId="3" borderId="8" xfId="5" applyFont="1" applyFill="1" applyBorder="1" applyAlignment="1">
      <alignment horizontal="center" vertical="center" wrapText="1"/>
    </xf>
    <xf numFmtId="9" fontId="6" fillId="3" borderId="14" xfId="5"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3" fontId="7" fillId="0"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6" fillId="5" borderId="9" xfId="0" applyNumberFormat="1" applyFont="1" applyFill="1" applyBorder="1" applyAlignment="1">
      <alignment horizontal="center" vertical="center"/>
    </xf>
    <xf numFmtId="1" fontId="7" fillId="0" borderId="8" xfId="6" applyNumberFormat="1" applyFont="1" applyFill="1" applyBorder="1" applyAlignment="1">
      <alignment horizontal="center" vertical="center" wrapText="1"/>
    </xf>
    <xf numFmtId="1" fontId="7" fillId="0" borderId="14" xfId="6" applyNumberFormat="1" applyFont="1" applyFill="1" applyBorder="1" applyAlignment="1">
      <alignment horizontal="center" vertical="center" wrapText="1"/>
    </xf>
    <xf numFmtId="1" fontId="7" fillId="0" borderId="17" xfId="6" applyNumberFormat="1"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7" xfId="0" applyFont="1" applyFill="1" applyBorder="1" applyAlignment="1">
      <alignment horizontal="justify" vertical="center" wrapText="1"/>
    </xf>
    <xf numFmtId="170" fontId="7" fillId="0" borderId="8" xfId="0" applyNumberFormat="1" applyFont="1" applyFill="1" applyBorder="1" applyAlignment="1">
      <alignment horizontal="center" vertical="center" wrapText="1"/>
    </xf>
    <xf numFmtId="170" fontId="7" fillId="0" borderId="17" xfId="0" applyNumberFormat="1" applyFont="1" applyFill="1" applyBorder="1" applyAlignment="1">
      <alignment horizontal="center" vertical="center" wrapText="1"/>
    </xf>
    <xf numFmtId="41" fontId="7" fillId="0" borderId="1" xfId="1" applyFont="1" applyFill="1" applyBorder="1" applyAlignment="1">
      <alignment horizontal="center" vertical="center" wrapText="1"/>
    </xf>
    <xf numFmtId="3" fontId="7" fillId="0" borderId="8" xfId="0" applyNumberFormat="1" applyFont="1" applyFill="1" applyBorder="1" applyAlignment="1">
      <alignment horizontal="left" vertical="center" wrapText="1"/>
    </xf>
    <xf numFmtId="3" fontId="7" fillId="0" borderId="17" xfId="0" applyNumberFormat="1" applyFont="1" applyFill="1" applyBorder="1" applyAlignment="1">
      <alignment horizontal="left" vertical="center" wrapText="1"/>
    </xf>
    <xf numFmtId="0" fontId="7" fillId="0" borderId="0" xfId="0" applyFont="1" applyAlignment="1">
      <alignment horizontal="center"/>
    </xf>
    <xf numFmtId="41" fontId="7" fillId="0" borderId="8" xfId="1" applyFont="1" applyFill="1" applyBorder="1" applyAlignment="1">
      <alignment horizontal="center" vertical="center" wrapText="1"/>
    </xf>
    <xf numFmtId="41" fontId="7" fillId="0" borderId="14" xfId="1" applyFont="1" applyFill="1" applyBorder="1" applyAlignment="1">
      <alignment horizontal="center" vertical="center" wrapText="1"/>
    </xf>
    <xf numFmtId="41" fontId="7" fillId="0" borderId="17" xfId="1"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0" fontId="7" fillId="0" borderId="1" xfId="0" applyFont="1" applyFill="1" applyBorder="1" applyAlignment="1">
      <alignment horizontal="justify" vertical="justify" wrapText="1"/>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4" xfId="0" applyFont="1" applyFill="1" applyBorder="1" applyAlignment="1">
      <alignment horizontal="center" vertical="center"/>
    </xf>
    <xf numFmtId="175" fontId="7" fillId="0" borderId="8" xfId="6" applyNumberFormat="1" applyFont="1" applyBorder="1" applyAlignment="1">
      <alignment horizontal="center" vertical="center"/>
    </xf>
    <xf numFmtId="175" fontId="7" fillId="0" borderId="14" xfId="6" applyNumberFormat="1" applyFont="1" applyBorder="1" applyAlignment="1">
      <alignment horizontal="center" vertical="center"/>
    </xf>
    <xf numFmtId="175" fontId="7" fillId="0" borderId="17" xfId="6" applyNumberFormat="1" applyFont="1" applyBorder="1" applyAlignment="1">
      <alignment horizontal="center" vertical="center"/>
    </xf>
    <xf numFmtId="170"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81" fontId="7" fillId="0" borderId="8" xfId="5" applyNumberFormat="1" applyFont="1" applyFill="1" applyBorder="1" applyAlignment="1">
      <alignment horizontal="center" vertical="center" wrapText="1"/>
    </xf>
    <xf numFmtId="181" fontId="7" fillId="0" borderId="14" xfId="5" applyNumberFormat="1" applyFont="1" applyFill="1" applyBorder="1" applyAlignment="1">
      <alignment horizontal="center" vertical="center" wrapText="1"/>
    </xf>
    <xf numFmtId="181" fontId="7" fillId="0" borderId="17" xfId="5" applyNumberFormat="1" applyFont="1" applyFill="1" applyBorder="1" applyAlignment="1">
      <alignment horizontal="center" vertical="center" wrapText="1"/>
    </xf>
    <xf numFmtId="9" fontId="7" fillId="0" borderId="8" xfId="5" applyFont="1" applyFill="1" applyBorder="1" applyAlignment="1">
      <alignment horizontal="center" vertical="center" wrapText="1"/>
    </xf>
    <xf numFmtId="9" fontId="7" fillId="0" borderId="17" xfId="5" applyFont="1" applyFill="1" applyBorder="1" applyAlignment="1">
      <alignment horizontal="center" vertical="center" wrapText="1"/>
    </xf>
    <xf numFmtId="43" fontId="7" fillId="0" borderId="8" xfId="7" applyNumberFormat="1" applyFont="1" applyFill="1" applyBorder="1" applyAlignment="1">
      <alignment horizontal="center" vertical="center" wrapText="1"/>
    </xf>
    <xf numFmtId="43" fontId="7" fillId="0" borderId="14" xfId="7" applyNumberFormat="1" applyFont="1" applyFill="1" applyBorder="1" applyAlignment="1">
      <alignment horizontal="center" vertical="center" wrapText="1"/>
    </xf>
    <xf numFmtId="43" fontId="7" fillId="0" borderId="17" xfId="7" applyNumberFormat="1" applyFont="1" applyFill="1" applyBorder="1" applyAlignment="1">
      <alignment horizontal="center" vertical="center" wrapText="1"/>
    </xf>
    <xf numFmtId="9" fontId="7" fillId="0" borderId="14" xfId="5" applyFont="1" applyFill="1" applyBorder="1" applyAlignment="1">
      <alignment horizontal="center" vertical="center" wrapText="1"/>
    </xf>
    <xf numFmtId="43" fontId="6" fillId="3" borderId="1" xfId="7"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17" borderId="8"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170" fontId="6" fillId="17" borderId="6" xfId="0" applyNumberFormat="1" applyFont="1" applyFill="1" applyBorder="1" applyAlignment="1">
      <alignment horizontal="center" vertical="center" wrapText="1"/>
    </xf>
    <xf numFmtId="170" fontId="6" fillId="17" borderId="12" xfId="0" applyNumberFormat="1" applyFont="1" applyFill="1" applyBorder="1" applyAlignment="1">
      <alignment horizontal="center" vertical="center" wrapText="1"/>
    </xf>
    <xf numFmtId="3" fontId="6" fillId="17" borderId="1" xfId="0" applyNumberFormat="1" applyFont="1" applyFill="1" applyBorder="1" applyAlignment="1">
      <alignment horizontal="center" vertical="center" wrapText="1"/>
    </xf>
    <xf numFmtId="0" fontId="6" fillId="17" borderId="3" xfId="0" applyFont="1" applyFill="1" applyBorder="1" applyAlignment="1">
      <alignment horizontal="center" vertical="center"/>
    </xf>
    <xf numFmtId="0" fontId="6" fillId="17" borderId="4"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7" xfId="0" applyFont="1" applyFill="1" applyBorder="1" applyAlignment="1">
      <alignment horizontal="center" vertical="center"/>
    </xf>
    <xf numFmtId="0" fontId="6" fillId="5" borderId="14" xfId="0" applyFont="1" applyFill="1" applyBorder="1" applyAlignment="1">
      <alignment horizontal="center" vertical="center" textRotation="90"/>
    </xf>
    <xf numFmtId="0" fontId="6" fillId="5" borderId="17" xfId="0" applyFont="1" applyFill="1" applyBorder="1" applyAlignment="1">
      <alignment horizontal="center" vertical="center" textRotation="90"/>
    </xf>
    <xf numFmtId="0" fontId="7" fillId="5" borderId="8" xfId="0" applyFont="1" applyFill="1" applyBorder="1" applyAlignment="1">
      <alignment horizontal="center" vertical="center"/>
    </xf>
    <xf numFmtId="0" fontId="7" fillId="5" borderId="8" xfId="0" applyFont="1" applyFill="1" applyBorder="1" applyAlignment="1">
      <alignment horizontal="center" vertical="center" textRotation="255" wrapText="1"/>
    </xf>
    <xf numFmtId="0" fontId="7" fillId="5" borderId="14" xfId="0" applyFont="1" applyFill="1" applyBorder="1" applyAlignment="1">
      <alignment horizontal="center" vertical="center" textRotation="255" wrapText="1"/>
    </xf>
    <xf numFmtId="0" fontId="7" fillId="5" borderId="17" xfId="0" applyFont="1" applyFill="1" applyBorder="1" applyAlignment="1">
      <alignment horizontal="center" vertical="center" textRotation="255" wrapText="1"/>
    </xf>
    <xf numFmtId="0" fontId="6" fillId="17" borderId="1" xfId="0" applyFont="1" applyFill="1" applyBorder="1" applyAlignment="1">
      <alignment horizontal="justify" vertical="center" wrapText="1"/>
    </xf>
    <xf numFmtId="0" fontId="6" fillId="10" borderId="9" xfId="0" applyFont="1" applyFill="1" applyBorder="1" applyAlignment="1">
      <alignment horizontal="left" vertical="center"/>
    </xf>
    <xf numFmtId="0" fontId="6" fillId="10" borderId="4" xfId="0" applyFont="1" applyFill="1" applyBorder="1" applyAlignment="1">
      <alignment horizontal="left" vertical="center"/>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167" fontId="7" fillId="5" borderId="8" xfId="11" applyFont="1" applyFill="1" applyBorder="1" applyAlignment="1">
      <alignment horizontal="center" vertical="center"/>
    </xf>
    <xf numFmtId="167" fontId="7" fillId="5" borderId="17" xfId="11" applyFont="1" applyFill="1" applyBorder="1" applyAlignment="1">
      <alignment horizontal="center" vertical="center"/>
    </xf>
    <xf numFmtId="9" fontId="7" fillId="5" borderId="8" xfId="5" applyFont="1" applyFill="1" applyBorder="1" applyAlignment="1">
      <alignment horizontal="center" vertical="center"/>
    </xf>
    <xf numFmtId="9" fontId="7" fillId="5" borderId="14" xfId="5" applyFont="1" applyFill="1" applyBorder="1" applyAlignment="1">
      <alignment horizontal="center" vertical="center"/>
    </xf>
    <xf numFmtId="9" fontId="7" fillId="5" borderId="17" xfId="5" applyFont="1" applyFill="1" applyBorder="1" applyAlignment="1">
      <alignment horizontal="center" vertical="center"/>
    </xf>
    <xf numFmtId="166" fontId="7" fillId="5" borderId="8" xfId="11" applyNumberFormat="1" applyFont="1" applyFill="1" applyBorder="1" applyAlignment="1">
      <alignment horizontal="center" vertical="center"/>
    </xf>
    <xf numFmtId="166" fontId="7" fillId="5" borderId="14" xfId="11" applyNumberFormat="1" applyFont="1" applyFill="1" applyBorder="1" applyAlignment="1">
      <alignment horizontal="center" vertical="center"/>
    </xf>
    <xf numFmtId="166" fontId="7" fillId="5" borderId="17" xfId="11" applyNumberFormat="1" applyFont="1" applyFill="1" applyBorder="1" applyAlignment="1">
      <alignment horizontal="center" vertical="center"/>
    </xf>
    <xf numFmtId="180" fontId="7" fillId="5" borderId="8" xfId="11" applyNumberFormat="1" applyFont="1" applyFill="1" applyBorder="1" applyAlignment="1">
      <alignment horizontal="center" vertical="center"/>
    </xf>
    <xf numFmtId="180" fontId="7" fillId="5" borderId="14" xfId="11" applyNumberFormat="1" applyFont="1" applyFill="1" applyBorder="1" applyAlignment="1">
      <alignment horizontal="center" vertical="center"/>
    </xf>
    <xf numFmtId="180" fontId="7" fillId="5" borderId="17" xfId="11" applyNumberFormat="1" applyFont="1" applyFill="1" applyBorder="1" applyAlignment="1">
      <alignment horizontal="center" vertical="center"/>
    </xf>
    <xf numFmtId="167" fontId="7" fillId="5" borderId="14" xfId="11" applyFont="1" applyFill="1" applyBorder="1" applyAlignment="1">
      <alignment horizontal="center" vertical="center"/>
    </xf>
    <xf numFmtId="0" fontId="7" fillId="5" borderId="8" xfId="0" applyFont="1" applyFill="1" applyBorder="1" applyAlignment="1">
      <alignment horizontal="center" vertical="center" textRotation="90"/>
    </xf>
    <xf numFmtId="0" fontId="7" fillId="5" borderId="14" xfId="0" applyFont="1" applyFill="1" applyBorder="1" applyAlignment="1">
      <alignment horizontal="center" vertical="center" textRotation="90"/>
    </xf>
    <xf numFmtId="0" fontId="7" fillId="5" borderId="17" xfId="0" applyFont="1" applyFill="1" applyBorder="1" applyAlignment="1">
      <alignment horizontal="center" vertical="center" textRotation="90"/>
    </xf>
    <xf numFmtId="0" fontId="6" fillId="5" borderId="0" xfId="0" applyFont="1" applyFill="1" applyAlignment="1">
      <alignment horizontal="center"/>
    </xf>
    <xf numFmtId="167" fontId="6" fillId="5" borderId="0" xfId="11" applyFont="1" applyFill="1" applyAlignment="1">
      <alignment horizontal="center"/>
    </xf>
    <xf numFmtId="167" fontId="7" fillId="5" borderId="0" xfId="11" applyFont="1" applyFill="1" applyAlignment="1">
      <alignment horizontal="center"/>
    </xf>
    <xf numFmtId="0" fontId="7" fillId="5" borderId="8" xfId="0" applyFont="1" applyFill="1" applyBorder="1" applyAlignment="1">
      <alignment horizontal="justify" wrapText="1"/>
    </xf>
    <xf numFmtId="0" fontId="7" fillId="5" borderId="17" xfId="0" applyFont="1" applyFill="1" applyBorder="1" applyAlignment="1">
      <alignment horizontal="justify"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7" fillId="0" borderId="8"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7" xfId="0" applyNumberFormat="1" applyFont="1" applyBorder="1" applyAlignment="1">
      <alignment horizontal="center" vertical="center"/>
    </xf>
    <xf numFmtId="172" fontId="7" fillId="0" borderId="8" xfId="1" applyNumberFormat="1" applyFont="1" applyFill="1" applyBorder="1" applyAlignment="1">
      <alignment horizontal="center" vertical="center"/>
    </xf>
    <xf numFmtId="172" fontId="7" fillId="0" borderId="14" xfId="1" applyNumberFormat="1" applyFont="1" applyFill="1" applyBorder="1" applyAlignment="1">
      <alignment horizontal="center" vertical="center"/>
    </xf>
    <xf numFmtId="172" fontId="7" fillId="0" borderId="17" xfId="1"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5" xfId="0" applyFont="1" applyBorder="1" applyAlignment="1">
      <alignment horizontal="center" vertical="center"/>
    </xf>
    <xf numFmtId="0" fontId="7" fillId="0" borderId="0"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justify" vertical="center"/>
    </xf>
    <xf numFmtId="0" fontId="7" fillId="0" borderId="16" xfId="0" applyFont="1" applyBorder="1" applyAlignment="1">
      <alignment horizontal="justify" vertical="center"/>
    </xf>
    <xf numFmtId="0" fontId="7" fillId="0" borderId="13" xfId="0" applyFont="1" applyBorder="1" applyAlignment="1">
      <alignment horizontal="justify" vertical="center"/>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172" fontId="7" fillId="5" borderId="8" xfId="1" applyNumberFormat="1" applyFont="1" applyFill="1" applyBorder="1" applyAlignment="1">
      <alignment horizontal="center" vertical="center"/>
    </xf>
    <xf numFmtId="172" fontId="7" fillId="5" borderId="14" xfId="1" applyNumberFormat="1" applyFont="1" applyFill="1" applyBorder="1" applyAlignment="1">
      <alignment horizontal="center" vertical="center"/>
    </xf>
    <xf numFmtId="172" fontId="7" fillId="5" borderId="17" xfId="1"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wrapText="1"/>
    </xf>
    <xf numFmtId="3" fontId="7" fillId="5" borderId="8" xfId="0" applyNumberFormat="1"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3" fontId="7" fillId="5" borderId="17"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2" fontId="7" fillId="0" borderId="8" xfId="0" applyNumberFormat="1" applyFont="1" applyBorder="1" applyAlignment="1">
      <alignment horizontal="center" vertical="center"/>
    </xf>
    <xf numFmtId="172" fontId="7" fillId="0" borderId="14" xfId="0" applyNumberFormat="1" applyFont="1" applyBorder="1" applyAlignment="1">
      <alignment horizontal="center" vertical="center"/>
    </xf>
    <xf numFmtId="172" fontId="7" fillId="0" borderId="17" xfId="0" applyNumberFormat="1"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justify" vertical="center" wrapText="1"/>
    </xf>
    <xf numFmtId="3" fontId="7" fillId="5" borderId="8" xfId="0" applyNumberFormat="1" applyFont="1" applyFill="1" applyBorder="1" applyAlignment="1">
      <alignment horizontal="center" vertical="center" textRotation="90" wrapText="1"/>
    </xf>
    <xf numFmtId="3" fontId="7" fillId="5" borderId="17" xfId="0" applyNumberFormat="1" applyFont="1" applyFill="1" applyBorder="1" applyAlignment="1">
      <alignment horizontal="center" vertical="center" textRotation="90" wrapText="1"/>
    </xf>
    <xf numFmtId="10" fontId="7" fillId="0" borderId="8" xfId="0" applyNumberFormat="1" applyFont="1" applyBorder="1" applyAlignment="1">
      <alignment horizontal="center" vertical="center"/>
    </xf>
    <xf numFmtId="10" fontId="7" fillId="0" borderId="14" xfId="0" applyNumberFormat="1" applyFont="1" applyBorder="1" applyAlignment="1">
      <alignment horizontal="center" vertical="center"/>
    </xf>
    <xf numFmtId="10" fontId="7" fillId="0" borderId="17" xfId="0" applyNumberFormat="1" applyFont="1" applyBorder="1" applyAlignment="1">
      <alignment horizontal="center" vertical="center"/>
    </xf>
    <xf numFmtId="0" fontId="6" fillId="0" borderId="16" xfId="0" applyFont="1" applyBorder="1" applyAlignment="1">
      <alignment horizontal="center" vertical="center"/>
    </xf>
    <xf numFmtId="0" fontId="7" fillId="0" borderId="13" xfId="0" applyFont="1" applyBorder="1" applyAlignment="1">
      <alignment horizontal="justify" vertical="center" wrapText="1"/>
    </xf>
    <xf numFmtId="174" fontId="6" fillId="6" borderId="8" xfId="0" applyNumberFormat="1" applyFont="1" applyFill="1" applyBorder="1" applyAlignment="1" applyProtection="1">
      <alignment horizontal="center" vertical="center" wrapText="1"/>
      <protection locked="0"/>
    </xf>
    <xf numFmtId="174" fontId="6" fillId="6" borderId="17" xfId="0" applyNumberFormat="1" applyFont="1" applyFill="1" applyBorder="1" applyAlignment="1" applyProtection="1">
      <alignment horizontal="center" vertical="center" wrapText="1"/>
      <protection locked="0"/>
    </xf>
    <xf numFmtId="0" fontId="6" fillId="6" borderId="6" xfId="0" applyFont="1" applyFill="1" applyBorder="1" applyAlignment="1" applyProtection="1">
      <alignment horizontal="left" vertical="center" wrapText="1"/>
      <protection locked="0"/>
    </xf>
    <xf numFmtId="0" fontId="6" fillId="6" borderId="9"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3" fontId="11" fillId="3" borderId="8" xfId="0" applyNumberFormat="1" applyFont="1" applyFill="1" applyBorder="1" applyAlignment="1" applyProtection="1">
      <alignment horizontal="center" vertical="center" wrapText="1"/>
      <protection locked="0"/>
    </xf>
    <xf numFmtId="3" fontId="11" fillId="3" borderId="14" xfId="0" applyNumberFormat="1" applyFont="1" applyFill="1" applyBorder="1" applyAlignment="1" applyProtection="1">
      <alignment horizontal="center" vertical="center" wrapText="1"/>
      <protection locked="0"/>
    </xf>
    <xf numFmtId="3" fontId="11" fillId="3" borderId="17" xfId="0" applyNumberFormat="1"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textRotation="180" wrapText="1"/>
      <protection locked="0"/>
    </xf>
    <xf numFmtId="0" fontId="11" fillId="3" borderId="14" xfId="0" applyFont="1" applyFill="1" applyBorder="1" applyAlignment="1" applyProtection="1">
      <alignment horizontal="center" vertical="center" textRotation="180" wrapText="1"/>
      <protection locked="0"/>
    </xf>
    <xf numFmtId="0" fontId="11" fillId="3" borderId="17" xfId="0" applyFont="1" applyFill="1" applyBorder="1" applyAlignment="1" applyProtection="1">
      <alignment horizontal="center" vertical="center" textRotation="180" wrapText="1"/>
      <protection locked="0"/>
    </xf>
    <xf numFmtId="0" fontId="11" fillId="5" borderId="6"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174" fontId="6" fillId="7" borderId="8" xfId="0" applyNumberFormat="1" applyFont="1" applyFill="1" applyBorder="1" applyAlignment="1" applyProtection="1">
      <alignment horizontal="center" vertical="center" wrapText="1"/>
      <protection locked="0"/>
    </xf>
    <xf numFmtId="174" fontId="6" fillId="7" borderId="17" xfId="0" applyNumberFormat="1" applyFont="1" applyFill="1" applyBorder="1" applyAlignment="1" applyProtection="1">
      <alignment horizontal="center" vertical="center" wrapText="1"/>
      <protection locked="0"/>
    </xf>
    <xf numFmtId="0" fontId="6" fillId="7" borderId="6"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174" fontId="6" fillId="9" borderId="8" xfId="0" applyNumberFormat="1" applyFont="1" applyFill="1" applyBorder="1" applyAlignment="1" applyProtection="1">
      <alignment horizontal="center" vertical="center" wrapText="1"/>
      <protection locked="0"/>
    </xf>
    <xf numFmtId="174" fontId="6" fillId="9" borderId="17" xfId="0" applyNumberFormat="1" applyFont="1" applyFill="1" applyBorder="1" applyAlignment="1" applyProtection="1">
      <alignment horizontal="center" vertical="center" wrapText="1"/>
      <protection locked="0"/>
    </xf>
    <xf numFmtId="0" fontId="6" fillId="9" borderId="6" xfId="0" applyFont="1" applyFill="1" applyBorder="1" applyAlignment="1" applyProtection="1">
      <alignment horizontal="left" vertical="center" wrapText="1"/>
      <protection locked="0"/>
    </xf>
    <xf numFmtId="0" fontId="6" fillId="9" borderId="9" xfId="0" applyFont="1" applyFill="1" applyBorder="1" applyAlignment="1" applyProtection="1">
      <alignment horizontal="left" vertical="center" wrapText="1"/>
      <protection locked="0"/>
    </xf>
    <xf numFmtId="0" fontId="6" fillId="9" borderId="12" xfId="0" applyFont="1" applyFill="1" applyBorder="1" applyAlignment="1" applyProtection="1">
      <alignment horizontal="left" vertical="center" wrapText="1"/>
      <protection locked="0"/>
    </xf>
    <xf numFmtId="0" fontId="6" fillId="9" borderId="2" xfId="0" applyFont="1" applyFill="1" applyBorder="1" applyAlignment="1" applyProtection="1">
      <alignment horizontal="left" vertical="center" wrapText="1"/>
      <protection locked="0"/>
    </xf>
    <xf numFmtId="174" fontId="7" fillId="5" borderId="8" xfId="0" applyNumberFormat="1" applyFont="1" applyFill="1" applyBorder="1" applyAlignment="1" applyProtection="1">
      <alignment horizontal="center" vertical="center" wrapText="1"/>
    </xf>
    <xf numFmtId="174" fontId="7" fillId="5" borderId="14" xfId="0" applyNumberFormat="1" applyFont="1" applyFill="1" applyBorder="1" applyAlignment="1" applyProtection="1">
      <alignment horizontal="center" vertical="center" wrapText="1"/>
    </xf>
    <xf numFmtId="174" fontId="7" fillId="5" borderId="17" xfId="0" applyNumberFormat="1" applyFont="1" applyFill="1" applyBorder="1" applyAlignment="1" applyProtection="1">
      <alignment horizontal="center" vertical="center" wrapText="1"/>
    </xf>
    <xf numFmtId="0" fontId="7" fillId="5" borderId="8" xfId="0" applyFont="1" applyFill="1" applyBorder="1" applyAlignment="1" applyProtection="1">
      <alignment horizontal="justify" vertical="center" wrapText="1"/>
      <protection locked="0"/>
    </xf>
    <xf numFmtId="0" fontId="7" fillId="5" borderId="14" xfId="0" applyFont="1" applyFill="1" applyBorder="1" applyAlignment="1" applyProtection="1">
      <alignment horizontal="justify" vertical="center" wrapText="1"/>
      <protection locked="0"/>
    </xf>
    <xf numFmtId="0" fontId="7" fillId="5" borderId="17" xfId="0" applyFont="1" applyFill="1" applyBorder="1" applyAlignment="1" applyProtection="1">
      <alignment horizontal="justify" vertical="center" wrapText="1"/>
      <protection locked="0"/>
    </xf>
    <xf numFmtId="9" fontId="7" fillId="5" borderId="8" xfId="5" applyFont="1" applyFill="1" applyBorder="1" applyAlignment="1" applyProtection="1">
      <alignment horizontal="center" vertical="center"/>
      <protection locked="0"/>
    </xf>
    <xf numFmtId="9" fontId="7" fillId="5" borderId="14" xfId="5" applyFont="1" applyFill="1" applyBorder="1" applyAlignment="1" applyProtection="1">
      <alignment horizontal="center" vertical="center"/>
      <protection locked="0"/>
    </xf>
    <xf numFmtId="9" fontId="7" fillId="5" borderId="17" xfId="5" applyFont="1" applyFill="1" applyBorder="1" applyAlignment="1" applyProtection="1">
      <alignment horizontal="center" vertical="center"/>
      <protection locked="0"/>
    </xf>
    <xf numFmtId="174" fontId="7" fillId="5" borderId="8" xfId="0" applyNumberFormat="1" applyFont="1" applyFill="1" applyBorder="1" applyAlignment="1" applyProtection="1">
      <alignment horizontal="right" vertical="center" wrapText="1"/>
      <protection locked="0"/>
    </xf>
    <xf numFmtId="174" fontId="7" fillId="5" borderId="14" xfId="0" applyNumberFormat="1" applyFont="1" applyFill="1" applyBorder="1" applyAlignment="1" applyProtection="1">
      <alignment horizontal="right" vertical="center" wrapText="1"/>
      <protection locked="0"/>
    </xf>
    <xf numFmtId="174" fontId="7" fillId="5" borderId="17" xfId="0" applyNumberFormat="1" applyFont="1" applyFill="1" applyBorder="1" applyAlignment="1" applyProtection="1">
      <alignment horizontal="right" vertical="center" wrapText="1"/>
      <protection locked="0"/>
    </xf>
    <xf numFmtId="0" fontId="7" fillId="5" borderId="8" xfId="0" applyFont="1" applyFill="1" applyBorder="1" applyAlignment="1" applyProtection="1">
      <alignment horizontal="justify" vertical="center" wrapText="1"/>
    </xf>
    <xf numFmtId="0" fontId="7" fillId="5" borderId="14" xfId="0" applyFont="1" applyFill="1" applyBorder="1" applyAlignment="1" applyProtection="1">
      <alignment horizontal="justify" vertical="center" wrapText="1"/>
    </xf>
    <xf numFmtId="0" fontId="7" fillId="5" borderId="17" xfId="0" applyFont="1" applyFill="1" applyBorder="1" applyAlignment="1" applyProtection="1">
      <alignment horizontal="justify" vertical="center" wrapText="1"/>
    </xf>
    <xf numFmtId="0" fontId="7" fillId="5" borderId="8"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174" fontId="7" fillId="5" borderId="8" xfId="0" applyNumberFormat="1" applyFont="1" applyFill="1" applyBorder="1" applyAlignment="1" applyProtection="1">
      <alignment horizontal="center" vertical="center" wrapText="1"/>
      <protection locked="0"/>
    </xf>
    <xf numFmtId="174" fontId="7" fillId="5" borderId="14" xfId="0" applyNumberFormat="1" applyFont="1" applyFill="1" applyBorder="1" applyAlignment="1" applyProtection="1">
      <alignment horizontal="center" vertical="center" wrapText="1"/>
      <protection locked="0"/>
    </xf>
    <xf numFmtId="174" fontId="7" fillId="5" borderId="17"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49" fontId="7" fillId="5" borderId="14" xfId="0" applyNumberFormat="1" applyFont="1" applyFill="1" applyBorder="1" applyAlignment="1" applyProtection="1">
      <alignment horizontal="center" vertical="center" wrapText="1"/>
      <protection locked="0"/>
    </xf>
    <xf numFmtId="49" fontId="7" fillId="5" borderId="17" xfId="0" applyNumberFormat="1" applyFont="1" applyFill="1" applyBorder="1" applyAlignment="1" applyProtection="1">
      <alignment horizontal="center" vertical="center" wrapText="1"/>
      <protection locked="0"/>
    </xf>
    <xf numFmtId="174" fontId="7" fillId="0" borderId="8" xfId="0" applyNumberFormat="1" applyFont="1" applyFill="1" applyBorder="1" applyAlignment="1" applyProtection="1">
      <alignment horizontal="right" vertical="center" wrapText="1"/>
      <protection locked="0"/>
    </xf>
    <xf numFmtId="174" fontId="7" fillId="0" borderId="14" xfId="0" applyNumberFormat="1" applyFont="1" applyFill="1" applyBorder="1" applyAlignment="1" applyProtection="1">
      <alignment horizontal="right" vertical="center" wrapText="1"/>
      <protection locked="0"/>
    </xf>
    <xf numFmtId="174" fontId="7" fillId="0" borderId="17" xfId="0" applyNumberFormat="1" applyFont="1" applyFill="1" applyBorder="1" applyAlignment="1" applyProtection="1">
      <alignment horizontal="right" vertical="center" wrapText="1"/>
      <protection locked="0"/>
    </xf>
    <xf numFmtId="14" fontId="7" fillId="5" borderId="8" xfId="0" applyNumberFormat="1" applyFont="1" applyFill="1" applyBorder="1" applyAlignment="1" applyProtection="1">
      <alignment horizontal="center" vertical="center" wrapText="1"/>
      <protection locked="0"/>
    </xf>
    <xf numFmtId="14" fontId="7" fillId="5" borderId="14" xfId="0" applyNumberFormat="1" applyFont="1" applyFill="1" applyBorder="1" applyAlignment="1" applyProtection="1">
      <alignment horizontal="center" vertical="center" wrapText="1"/>
      <protection locked="0"/>
    </xf>
    <xf numFmtId="14" fontId="7" fillId="5" borderId="17" xfId="0" applyNumberFormat="1" applyFont="1" applyFill="1" applyBorder="1" applyAlignment="1" applyProtection="1">
      <alignment horizontal="center" vertical="center" wrapText="1"/>
      <protection locked="0"/>
    </xf>
    <xf numFmtId="174" fontId="7" fillId="5" borderId="8" xfId="0" applyNumberFormat="1" applyFont="1" applyFill="1" applyBorder="1" applyAlignment="1" applyProtection="1">
      <alignment horizontal="center" vertical="center"/>
    </xf>
    <xf numFmtId="174" fontId="7" fillId="5" borderId="14" xfId="0" applyNumberFormat="1" applyFont="1" applyFill="1" applyBorder="1" applyAlignment="1" applyProtection="1">
      <alignment horizontal="center" vertical="center"/>
    </xf>
    <xf numFmtId="174" fontId="7" fillId="5" borderId="17" xfId="0" applyNumberFormat="1" applyFont="1" applyFill="1" applyBorder="1" applyAlignment="1" applyProtection="1">
      <alignment horizontal="center" vertical="center"/>
    </xf>
    <xf numFmtId="0" fontId="7" fillId="5" borderId="7" xfId="0" applyFont="1" applyFill="1" applyBorder="1" applyAlignment="1" applyProtection="1">
      <alignment horizontal="justify" vertical="center" wrapText="1"/>
      <protection locked="0"/>
    </xf>
    <xf numFmtId="0" fontId="7" fillId="5" borderId="16" xfId="0" applyFont="1" applyFill="1" applyBorder="1" applyAlignment="1" applyProtection="1">
      <alignment horizontal="justify" vertical="center" wrapText="1"/>
      <protection locked="0"/>
    </xf>
    <xf numFmtId="0" fontId="7" fillId="5" borderId="13" xfId="0" applyFont="1" applyFill="1" applyBorder="1" applyAlignment="1" applyProtection="1">
      <alignment horizontal="justify" vertical="center" wrapText="1"/>
      <protection locked="0"/>
    </xf>
    <xf numFmtId="170" fontId="7" fillId="5" borderId="1"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17" xfId="0" applyNumberFormat="1" applyFont="1" applyFill="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protection locked="0"/>
    </xf>
    <xf numFmtId="170" fontId="7" fillId="0" borderId="14" xfId="0" applyNumberFormat="1" applyFont="1" applyBorder="1" applyAlignment="1" applyProtection="1">
      <alignment horizontal="center" vertical="center"/>
      <protection locked="0"/>
    </xf>
    <xf numFmtId="170" fontId="7" fillId="0" borderId="17" xfId="0" applyNumberFormat="1" applyFont="1" applyBorder="1" applyAlignment="1" applyProtection="1">
      <alignment horizontal="center" vertical="center"/>
      <protection locked="0"/>
    </xf>
    <xf numFmtId="9" fontId="7" fillId="0" borderId="8" xfId="5" applyFont="1" applyFill="1" applyBorder="1" applyAlignment="1" applyProtection="1">
      <alignment horizontal="center" vertical="center"/>
      <protection locked="0"/>
    </xf>
    <xf numFmtId="9" fontId="7" fillId="0" borderId="14" xfId="5" applyFont="1" applyFill="1" applyBorder="1" applyAlignment="1" applyProtection="1">
      <alignment horizontal="center" vertical="center"/>
      <protection locked="0"/>
    </xf>
    <xf numFmtId="9" fontId="7" fillId="0" borderId="17" xfId="5" applyFont="1" applyFill="1" applyBorder="1" applyAlignment="1" applyProtection="1">
      <alignment horizontal="center" vertical="center"/>
      <protection locked="0"/>
    </xf>
    <xf numFmtId="174" fontId="7" fillId="0" borderId="8" xfId="0" applyNumberFormat="1" applyFont="1" applyFill="1" applyBorder="1" applyAlignment="1" applyProtection="1">
      <alignment horizontal="right" vertical="center"/>
      <protection locked="0"/>
    </xf>
    <xf numFmtId="174" fontId="7" fillId="0" borderId="14" xfId="0" applyNumberFormat="1" applyFont="1" applyFill="1" applyBorder="1" applyAlignment="1" applyProtection="1">
      <alignment horizontal="right" vertical="center"/>
      <protection locked="0"/>
    </xf>
    <xf numFmtId="174" fontId="7" fillId="0" borderId="17" xfId="0" applyNumberFormat="1" applyFont="1" applyFill="1" applyBorder="1" applyAlignment="1" applyProtection="1">
      <alignment horizontal="right" vertical="center"/>
      <protection locked="0"/>
    </xf>
    <xf numFmtId="0" fontId="7" fillId="5" borderId="8"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182" fontId="7" fillId="5" borderId="8" xfId="0" applyNumberFormat="1" applyFont="1" applyFill="1" applyBorder="1" applyAlignment="1" applyProtection="1">
      <alignment horizontal="center" vertical="center"/>
      <protection locked="0"/>
    </xf>
    <xf numFmtId="182" fontId="7" fillId="5" borderId="14" xfId="0" applyNumberFormat="1" applyFont="1" applyFill="1" applyBorder="1" applyAlignment="1" applyProtection="1">
      <alignment horizontal="center" vertical="center"/>
      <protection locked="0"/>
    </xf>
    <xf numFmtId="182" fontId="7" fillId="5" borderId="17" xfId="0" applyNumberFormat="1" applyFont="1" applyFill="1" applyBorder="1" applyAlignment="1" applyProtection="1">
      <alignment horizontal="center" vertical="center"/>
      <protection locked="0"/>
    </xf>
    <xf numFmtId="174" fontId="7" fillId="5" borderId="8" xfId="0" applyNumberFormat="1" applyFont="1" applyFill="1" applyBorder="1" applyAlignment="1" applyProtection="1">
      <alignment horizontal="center" vertical="center"/>
      <protection locked="0"/>
    </xf>
    <xf numFmtId="174" fontId="7" fillId="5" borderId="14" xfId="0" applyNumberFormat="1" applyFont="1" applyFill="1" applyBorder="1" applyAlignment="1" applyProtection="1">
      <alignment horizontal="center" vertical="center"/>
      <protection locked="0"/>
    </xf>
    <xf numFmtId="174" fontId="7" fillId="5" borderId="17" xfId="0" applyNumberFormat="1" applyFont="1" applyFill="1" applyBorder="1" applyAlignment="1" applyProtection="1">
      <alignment horizontal="center" vertical="center"/>
      <protection locked="0"/>
    </xf>
    <xf numFmtId="9" fontId="12" fillId="0" borderId="8" xfId="5" applyFont="1" applyFill="1" applyBorder="1" applyAlignment="1" applyProtection="1">
      <alignment horizontal="center" vertical="center"/>
      <protection locked="0"/>
    </xf>
    <xf numFmtId="9" fontId="12" fillId="0" borderId="14" xfId="5" applyFont="1" applyFill="1" applyBorder="1" applyAlignment="1" applyProtection="1">
      <alignment horizontal="center" vertical="center"/>
      <protection locked="0"/>
    </xf>
    <xf numFmtId="9" fontId="12" fillId="0" borderId="17" xfId="5" applyFont="1" applyFill="1" applyBorder="1" applyAlignment="1" applyProtection="1">
      <alignment horizontal="center" vertical="center"/>
      <protection locked="0"/>
    </xf>
    <xf numFmtId="170" fontId="7" fillId="0" borderId="1" xfId="0" applyNumberFormat="1" applyFont="1" applyBorder="1" applyAlignment="1" applyProtection="1">
      <alignment horizontal="center" vertical="center"/>
      <protection locked="0"/>
    </xf>
    <xf numFmtId="170" fontId="7" fillId="0" borderId="7" xfId="0" applyNumberFormat="1" applyFont="1" applyBorder="1" applyAlignment="1" applyProtection="1">
      <alignment horizontal="justify" vertical="center" wrapText="1"/>
      <protection locked="0"/>
    </xf>
    <xf numFmtId="170" fontId="7" fillId="0" borderId="16" xfId="0" applyNumberFormat="1" applyFont="1" applyBorder="1" applyAlignment="1" applyProtection="1">
      <alignment horizontal="justify" vertical="center" wrapText="1"/>
      <protection locked="0"/>
    </xf>
    <xf numFmtId="170" fontId="7" fillId="0" borderId="13" xfId="0" applyNumberFormat="1" applyFont="1" applyBorder="1" applyAlignment="1" applyProtection="1">
      <alignment horizontal="justify" vertical="center" wrapText="1"/>
      <protection locked="0"/>
    </xf>
    <xf numFmtId="0" fontId="6" fillId="9" borderId="8" xfId="0" applyFont="1" applyFill="1" applyBorder="1" applyAlignment="1" applyProtection="1">
      <alignment horizontal="center" vertical="center" wrapText="1"/>
      <protection locked="0"/>
    </xf>
    <xf numFmtId="0" fontId="6" fillId="9" borderId="17" xfId="0" applyFont="1" applyFill="1" applyBorder="1" applyAlignment="1" applyProtection="1">
      <alignment horizontal="center" vertical="center" wrapText="1"/>
      <protection locked="0"/>
    </xf>
    <xf numFmtId="9" fontId="12" fillId="0" borderId="8" xfId="5" applyFont="1" applyFill="1" applyBorder="1" applyAlignment="1" applyProtection="1">
      <alignment horizontal="center" vertical="center" wrapText="1"/>
      <protection locked="0"/>
    </xf>
    <xf numFmtId="9" fontId="12" fillId="0" borderId="14" xfId="5" applyFont="1" applyFill="1" applyBorder="1" applyAlignment="1" applyProtection="1">
      <alignment horizontal="center" vertical="center" wrapText="1"/>
      <protection locked="0"/>
    </xf>
    <xf numFmtId="9" fontId="12" fillId="0" borderId="17" xfId="5" applyFont="1" applyFill="1" applyBorder="1" applyAlignment="1" applyProtection="1">
      <alignment horizontal="center" vertical="center" wrapText="1"/>
      <protection locked="0"/>
    </xf>
    <xf numFmtId="0" fontId="12" fillId="9" borderId="7" xfId="0" applyFont="1" applyFill="1" applyBorder="1" applyAlignment="1" applyProtection="1">
      <alignment horizontal="left"/>
      <protection locked="0"/>
    </xf>
    <xf numFmtId="0" fontId="12" fillId="9" borderId="13" xfId="0" applyFont="1" applyFill="1" applyBorder="1" applyAlignment="1" applyProtection="1">
      <alignment horizontal="left"/>
      <protection locked="0"/>
    </xf>
    <xf numFmtId="0" fontId="12" fillId="0" borderId="6"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13" xfId="0" applyFont="1" applyBorder="1" applyAlignment="1" applyProtection="1">
      <alignment horizontal="center"/>
      <protection locked="0"/>
    </xf>
    <xf numFmtId="1" fontId="7" fillId="0" borderId="8" xfId="0" applyNumberFormat="1" applyFont="1" applyFill="1" applyBorder="1" applyAlignment="1" applyProtection="1">
      <alignment horizontal="center" vertical="center"/>
      <protection locked="0"/>
    </xf>
    <xf numFmtId="1" fontId="7" fillId="0" borderId="14" xfId="0" applyNumberFormat="1" applyFont="1" applyFill="1" applyBorder="1" applyAlignment="1" applyProtection="1">
      <alignment horizontal="center" vertical="center"/>
      <protection locked="0"/>
    </xf>
    <xf numFmtId="1" fontId="7" fillId="0" borderId="17" xfId="0" applyNumberFormat="1" applyFont="1" applyFill="1" applyBorder="1" applyAlignment="1" applyProtection="1">
      <alignment horizontal="center" vertical="center"/>
      <protection locked="0"/>
    </xf>
    <xf numFmtId="10" fontId="7" fillId="0" borderId="8" xfId="5" applyNumberFormat="1" applyFont="1" applyFill="1" applyBorder="1" applyAlignment="1" applyProtection="1">
      <alignment horizontal="center" vertical="center"/>
      <protection locked="0"/>
    </xf>
    <xf numFmtId="10" fontId="7" fillId="0" borderId="14" xfId="5" applyNumberFormat="1" applyFont="1" applyFill="1" applyBorder="1" applyAlignment="1" applyProtection="1">
      <alignment horizontal="center" vertical="center"/>
      <protection locked="0"/>
    </xf>
    <xf numFmtId="10" fontId="7" fillId="0" borderId="17" xfId="5" applyNumberFormat="1" applyFont="1" applyFill="1" applyBorder="1" applyAlignment="1" applyProtection="1">
      <alignment horizontal="center" vertical="center"/>
      <protection locked="0"/>
    </xf>
    <xf numFmtId="3" fontId="7" fillId="5" borderId="8" xfId="0" applyNumberFormat="1" applyFont="1" applyFill="1" applyBorder="1" applyAlignment="1" applyProtection="1">
      <alignment horizontal="right" vertical="center"/>
      <protection locked="0"/>
    </xf>
    <xf numFmtId="3" fontId="7" fillId="5" borderId="14" xfId="0" applyNumberFormat="1" applyFont="1" applyFill="1" applyBorder="1" applyAlignment="1" applyProtection="1">
      <alignment horizontal="right" vertical="center"/>
      <protection locked="0"/>
    </xf>
    <xf numFmtId="3" fontId="7" fillId="5" borderId="17" xfId="0" applyNumberFormat="1" applyFont="1" applyFill="1" applyBorder="1" applyAlignment="1" applyProtection="1">
      <alignment horizontal="right" vertical="center"/>
      <protection locked="0"/>
    </xf>
    <xf numFmtId="0" fontId="7" fillId="0" borderId="8"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183" fontId="7" fillId="0" borderId="8" xfId="0" applyNumberFormat="1" applyFont="1" applyFill="1" applyBorder="1" applyAlignment="1" applyProtection="1">
      <alignment horizontal="center" vertical="center" wrapText="1"/>
      <protection locked="0"/>
    </xf>
    <xf numFmtId="183" fontId="7" fillId="0" borderId="14" xfId="0" applyNumberFormat="1" applyFont="1" applyFill="1" applyBorder="1" applyAlignment="1" applyProtection="1">
      <alignment horizontal="center" vertical="center" wrapText="1"/>
      <protection locked="0"/>
    </xf>
    <xf numFmtId="183" fontId="7" fillId="0" borderId="17" xfId="0"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7" fillId="0" borderId="13" xfId="0" applyFont="1" applyBorder="1" applyAlignment="1" applyProtection="1">
      <alignment horizontal="justify" vertical="center" wrapText="1"/>
      <protection locked="0"/>
    </xf>
    <xf numFmtId="1" fontId="7" fillId="5" borderId="8" xfId="0" applyNumberFormat="1" applyFont="1" applyFill="1" applyBorder="1" applyAlignment="1" applyProtection="1">
      <alignment horizontal="center" vertical="center"/>
      <protection locked="0"/>
    </xf>
    <xf numFmtId="1" fontId="7" fillId="5" borderId="14" xfId="0" applyNumberFormat="1" applyFont="1" applyFill="1" applyBorder="1" applyAlignment="1" applyProtection="1">
      <alignment horizontal="center" vertical="center"/>
      <protection locked="0"/>
    </xf>
    <xf numFmtId="1" fontId="7" fillId="5" borderId="17" xfId="0" applyNumberFormat="1" applyFont="1" applyFill="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7" fillId="0" borderId="8"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 fontId="7" fillId="0" borderId="8" xfId="0" applyNumberFormat="1" applyFont="1" applyFill="1" applyBorder="1" applyAlignment="1" applyProtection="1">
      <alignment horizontal="center" vertical="center" wrapText="1"/>
      <protection locked="0"/>
    </xf>
    <xf numFmtId="1" fontId="7" fillId="0" borderId="14" xfId="0" applyNumberFormat="1" applyFont="1" applyFill="1" applyBorder="1" applyAlignment="1" applyProtection="1">
      <alignment horizontal="center" vertical="center" wrapText="1"/>
      <protection locked="0"/>
    </xf>
    <xf numFmtId="1" fontId="7" fillId="0" borderId="17" xfId="0" applyNumberFormat="1" applyFont="1" applyFill="1" applyBorder="1" applyAlignment="1" applyProtection="1">
      <alignment horizontal="center" vertical="center" wrapText="1"/>
      <protection locked="0"/>
    </xf>
    <xf numFmtId="0" fontId="7" fillId="5" borderId="14" xfId="0" applyFont="1" applyFill="1" applyBorder="1" applyAlignment="1" applyProtection="1">
      <alignment horizontal="justify" vertical="center"/>
      <protection locked="0"/>
    </xf>
    <xf numFmtId="0" fontId="7" fillId="5" borderId="17" xfId="0" applyFont="1" applyFill="1" applyBorder="1" applyAlignment="1" applyProtection="1">
      <alignment horizontal="justify" vertical="center"/>
      <protection locked="0"/>
    </xf>
    <xf numFmtId="174" fontId="7" fillId="5" borderId="8" xfId="0" applyNumberFormat="1" applyFont="1" applyFill="1" applyBorder="1" applyAlignment="1" applyProtection="1">
      <alignment horizontal="right" vertical="center"/>
      <protection locked="0"/>
    </xf>
    <xf numFmtId="174" fontId="7" fillId="5" borderId="14" xfId="0" applyNumberFormat="1" applyFont="1" applyFill="1" applyBorder="1" applyAlignment="1" applyProtection="1">
      <alignment horizontal="right" vertical="center"/>
      <protection locked="0"/>
    </xf>
    <xf numFmtId="174" fontId="7" fillId="5" borderId="17" xfId="0" applyNumberFormat="1" applyFont="1" applyFill="1" applyBorder="1" applyAlignment="1" applyProtection="1">
      <alignment horizontal="right" vertical="center"/>
      <protection locked="0"/>
    </xf>
    <xf numFmtId="174" fontId="7" fillId="5" borderId="1" xfId="0" applyNumberFormat="1" applyFont="1" applyFill="1" applyBorder="1" applyAlignment="1" applyProtection="1">
      <alignment horizontal="right" vertical="center"/>
      <protection locked="0"/>
    </xf>
    <xf numFmtId="174" fontId="7" fillId="0" borderId="8" xfId="0" applyNumberFormat="1" applyFont="1" applyFill="1" applyBorder="1" applyAlignment="1" applyProtection="1">
      <alignment horizontal="justify" vertical="center" wrapText="1"/>
      <protection locked="0"/>
    </xf>
    <xf numFmtId="174" fontId="7" fillId="0" borderId="14" xfId="0" applyNumberFormat="1" applyFont="1" applyFill="1" applyBorder="1" applyAlignment="1" applyProtection="1">
      <alignment horizontal="justify" vertical="center" wrapText="1"/>
      <protection locked="0"/>
    </xf>
    <xf numFmtId="174" fontId="7" fillId="0" borderId="17"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center" vertical="center"/>
      <protection locked="0"/>
    </xf>
    <xf numFmtId="174" fontId="6" fillId="0" borderId="3" xfId="0" applyNumberFormat="1" applyFont="1" applyFill="1" applyBorder="1" applyAlignment="1" applyProtection="1">
      <alignment horizontal="center" vertical="center" wrapText="1"/>
      <protection locked="0"/>
    </xf>
    <xf numFmtId="174" fontId="6" fillId="0" borderId="4" xfId="0" applyNumberFormat="1" applyFont="1" applyFill="1" applyBorder="1" applyAlignment="1" applyProtection="1">
      <alignment horizontal="center" vertical="center" wrapText="1"/>
      <protection locked="0"/>
    </xf>
    <xf numFmtId="174" fontId="6" fillId="0" borderId="5" xfId="0" applyNumberFormat="1" applyFont="1" applyFill="1" applyBorder="1" applyAlignment="1" applyProtection="1">
      <alignment horizontal="center" vertical="center" wrapText="1"/>
      <protection locked="0"/>
    </xf>
    <xf numFmtId="0" fontId="6" fillId="12" borderId="3" xfId="0" applyFont="1" applyFill="1" applyBorder="1" applyAlignment="1" applyProtection="1">
      <alignment horizontal="left" vertical="center" wrapText="1"/>
      <protection locked="0"/>
    </xf>
    <xf numFmtId="0" fontId="6" fillId="12" borderId="4" xfId="0" applyFont="1" applyFill="1" applyBorder="1" applyAlignment="1" applyProtection="1">
      <alignment horizontal="left" vertical="center" wrapText="1"/>
      <protection locked="0"/>
    </xf>
    <xf numFmtId="174" fontId="6" fillId="5" borderId="6" xfId="0" applyNumberFormat="1" applyFont="1" applyFill="1" applyBorder="1" applyAlignment="1" applyProtection="1">
      <alignment horizontal="center" vertical="center" wrapText="1"/>
      <protection locked="0"/>
    </xf>
    <xf numFmtId="174" fontId="6" fillId="5" borderId="9" xfId="0" applyNumberFormat="1" applyFont="1" applyFill="1" applyBorder="1" applyAlignment="1" applyProtection="1">
      <alignment horizontal="center" vertical="center" wrapText="1"/>
      <protection locked="0"/>
    </xf>
    <xf numFmtId="174" fontId="6" fillId="5" borderId="7" xfId="0" applyNumberFormat="1" applyFont="1" applyFill="1" applyBorder="1" applyAlignment="1" applyProtection="1">
      <alignment horizontal="center" vertical="center" wrapText="1"/>
      <protection locked="0"/>
    </xf>
    <xf numFmtId="174" fontId="6" fillId="5" borderId="15" xfId="0" applyNumberFormat="1" applyFont="1" applyFill="1" applyBorder="1" applyAlignment="1" applyProtection="1">
      <alignment horizontal="center" vertical="center" wrapText="1"/>
      <protection locked="0"/>
    </xf>
    <xf numFmtId="174" fontId="6" fillId="5" borderId="0" xfId="0" applyNumberFormat="1" applyFont="1" applyFill="1" applyBorder="1" applyAlignment="1" applyProtection="1">
      <alignment horizontal="center" vertical="center" wrapText="1"/>
      <protection locked="0"/>
    </xf>
    <xf numFmtId="174" fontId="6" fillId="5" borderId="16" xfId="0" applyNumberFormat="1" applyFont="1" applyFill="1" applyBorder="1" applyAlignment="1" applyProtection="1">
      <alignment horizontal="center" vertical="center" wrapText="1"/>
      <protection locked="0"/>
    </xf>
    <xf numFmtId="174" fontId="6" fillId="5" borderId="12" xfId="0" applyNumberFormat="1" applyFont="1" applyFill="1" applyBorder="1" applyAlignment="1" applyProtection="1">
      <alignment horizontal="center" vertical="center" wrapText="1"/>
      <protection locked="0"/>
    </xf>
    <xf numFmtId="174" fontId="6" fillId="5" borderId="2" xfId="0" applyNumberFormat="1" applyFont="1" applyFill="1" applyBorder="1" applyAlignment="1" applyProtection="1">
      <alignment horizontal="center" vertical="center" wrapText="1"/>
      <protection locked="0"/>
    </xf>
    <xf numFmtId="174" fontId="6" fillId="5" borderId="13" xfId="0" applyNumberFormat="1" applyFont="1" applyFill="1" applyBorder="1" applyAlignment="1" applyProtection="1">
      <alignment horizontal="center" vertical="center" wrapText="1"/>
      <protection locked="0"/>
    </xf>
    <xf numFmtId="0" fontId="12" fillId="7" borderId="7" xfId="0" applyFont="1" applyFill="1" applyBorder="1" applyAlignment="1" applyProtection="1">
      <alignment horizontal="left"/>
      <protection locked="0"/>
    </xf>
    <xf numFmtId="0" fontId="12" fillId="7" borderId="13" xfId="0" applyFont="1" applyFill="1" applyBorder="1" applyAlignment="1" applyProtection="1">
      <alignment horizontal="left"/>
      <protection locked="0"/>
    </xf>
    <xf numFmtId="174" fontId="7" fillId="0" borderId="8" xfId="0" applyNumberFormat="1" applyFont="1" applyFill="1" applyBorder="1" applyAlignment="1" applyProtection="1">
      <alignment horizontal="center" vertical="center"/>
      <protection locked="0"/>
    </xf>
    <xf numFmtId="174" fontId="7" fillId="0" borderId="14" xfId="0" applyNumberFormat="1" applyFont="1" applyFill="1" applyBorder="1" applyAlignment="1" applyProtection="1">
      <alignment horizontal="center" vertical="center"/>
      <protection locked="0"/>
    </xf>
    <xf numFmtId="174" fontId="7" fillId="0" borderId="17" xfId="0" applyNumberFormat="1"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justify" vertical="center" wrapText="1"/>
      <protection locked="0"/>
    </xf>
    <xf numFmtId="174" fontId="7" fillId="0" borderId="8" xfId="0" applyNumberFormat="1" applyFont="1" applyFill="1" applyBorder="1" applyAlignment="1" applyProtection="1">
      <alignment horizontal="center" vertical="center" textRotation="180"/>
      <protection locked="0"/>
    </xf>
    <xf numFmtId="174" fontId="7" fillId="0" borderId="14" xfId="0" applyNumberFormat="1" applyFont="1" applyFill="1" applyBorder="1" applyAlignment="1" applyProtection="1">
      <alignment horizontal="center" vertical="center" textRotation="180"/>
      <protection locked="0"/>
    </xf>
    <xf numFmtId="174" fontId="7" fillId="0" borderId="17" xfId="0" applyNumberFormat="1" applyFont="1" applyFill="1" applyBorder="1" applyAlignment="1" applyProtection="1">
      <alignment horizontal="center" vertical="center" textRotation="180"/>
      <protection locked="0"/>
    </xf>
    <xf numFmtId="9" fontId="7" fillId="5" borderId="8" xfId="5" applyNumberFormat="1" applyFont="1" applyFill="1" applyBorder="1" applyAlignment="1" applyProtection="1">
      <alignment horizontal="center" vertical="center"/>
      <protection locked="0"/>
    </xf>
    <xf numFmtId="9" fontId="7" fillId="5" borderId="14" xfId="5" applyNumberFormat="1" applyFont="1" applyFill="1" applyBorder="1" applyAlignment="1" applyProtection="1">
      <alignment horizontal="center" vertical="center"/>
      <protection locked="0"/>
    </xf>
    <xf numFmtId="9" fontId="7" fillId="5" borderId="17" xfId="5" applyNumberFormat="1" applyFont="1" applyFill="1" applyBorder="1" applyAlignment="1" applyProtection="1">
      <alignment horizontal="center" vertical="center"/>
      <protection locked="0"/>
    </xf>
    <xf numFmtId="174" fontId="7" fillId="0" borderId="1" xfId="0" applyNumberFormat="1" applyFont="1" applyFill="1" applyBorder="1" applyAlignment="1" applyProtection="1">
      <alignment horizontal="right" vertical="center"/>
      <protection locked="0"/>
    </xf>
    <xf numFmtId="0" fontId="7" fillId="0" borderId="16" xfId="0" applyFont="1" applyFill="1" applyBorder="1" applyAlignment="1" applyProtection="1">
      <alignment horizontal="justify" vertical="center" wrapText="1"/>
      <protection locked="0"/>
    </xf>
    <xf numFmtId="174"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textRotation="91"/>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170" fontId="11" fillId="3" borderId="8" xfId="0" applyNumberFormat="1" applyFont="1" applyFill="1" applyBorder="1" applyAlignment="1" applyProtection="1">
      <alignment horizontal="center" vertical="center" wrapText="1"/>
      <protection locked="0"/>
    </xf>
    <xf numFmtId="170" fontId="11" fillId="3" borderId="14" xfId="0" applyNumberFormat="1" applyFont="1" applyFill="1" applyBorder="1" applyAlignment="1" applyProtection="1">
      <alignment horizontal="center" vertical="center" wrapText="1"/>
      <protection locked="0"/>
    </xf>
    <xf numFmtId="170" fontId="11" fillId="3" borderId="17" xfId="0"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1" xfId="0" applyFont="1" applyFill="1" applyBorder="1" applyAlignment="1">
      <alignment horizontal="justify" vertical="center" wrapText="1"/>
    </xf>
    <xf numFmtId="0" fontId="6" fillId="3" borderId="12" xfId="0" applyFont="1" applyFill="1" applyBorder="1" applyAlignment="1">
      <alignment horizontal="center" vertical="center" wrapText="1"/>
    </xf>
    <xf numFmtId="0" fontId="6" fillId="3" borderId="17" xfId="0" applyFont="1" applyFill="1" applyBorder="1" applyAlignment="1">
      <alignment horizontal="center" vertical="center" wrapText="1"/>
    </xf>
    <xf numFmtId="1" fontId="6" fillId="3" borderId="3"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9" fontId="6" fillId="3" borderId="1" xfId="5" applyNumberFormat="1"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textRotation="180" wrapText="1"/>
    </xf>
    <xf numFmtId="1" fontId="6" fillId="5" borderId="14" xfId="0" applyNumberFormat="1" applyFont="1" applyFill="1" applyBorder="1" applyAlignment="1">
      <alignment horizontal="center" vertical="center" textRotation="180" wrapText="1"/>
    </xf>
    <xf numFmtId="1" fontId="6" fillId="5" borderId="17" xfId="0" applyNumberFormat="1" applyFont="1" applyFill="1" applyBorder="1" applyAlignment="1">
      <alignment horizontal="center" vertical="center" textRotation="180" wrapText="1"/>
    </xf>
    <xf numFmtId="0" fontId="6" fillId="19" borderId="6" xfId="0" applyFont="1" applyFill="1" applyBorder="1" applyAlignment="1">
      <alignment horizontal="left" vertical="center" wrapText="1"/>
    </xf>
    <xf numFmtId="0" fontId="6" fillId="19" borderId="9" xfId="0" applyFont="1" applyFill="1" applyBorder="1" applyAlignment="1">
      <alignment horizontal="left" vertical="center" wrapText="1"/>
    </xf>
    <xf numFmtId="0" fontId="6" fillId="19" borderId="5" xfId="0" applyFont="1" applyFill="1" applyBorder="1" applyAlignment="1">
      <alignment horizontal="left" vertical="center" wrapText="1"/>
    </xf>
    <xf numFmtId="1" fontId="6" fillId="9" borderId="9" xfId="0" applyNumberFormat="1" applyFont="1" applyFill="1" applyBorder="1" applyAlignment="1">
      <alignment horizontal="center" vertical="center" wrapText="1"/>
    </xf>
    <xf numFmtId="1" fontId="6" fillId="9" borderId="4" xfId="0" applyNumberFormat="1" applyFont="1" applyFill="1" applyBorder="1" applyAlignment="1">
      <alignment horizontal="center" vertical="center" wrapText="1"/>
    </xf>
    <xf numFmtId="43" fontId="7" fillId="5" borderId="8" xfId="21" applyNumberFormat="1" applyFont="1" applyFill="1" applyBorder="1" applyAlignment="1">
      <alignment horizontal="center" vertical="center" wrapText="1"/>
    </xf>
    <xf numFmtId="43" fontId="7" fillId="5" borderId="14" xfId="21" applyNumberFormat="1" applyFont="1" applyFill="1" applyBorder="1" applyAlignment="1">
      <alignment horizontal="center" vertical="center" wrapText="1"/>
    </xf>
    <xf numFmtId="43" fontId="7" fillId="5" borderId="17" xfId="21" applyNumberFormat="1" applyFont="1" applyFill="1" applyBorder="1" applyAlignment="1">
      <alignment horizontal="center" vertical="center" wrapText="1"/>
    </xf>
    <xf numFmtId="3" fontId="7" fillId="5" borderId="7" xfId="0" applyNumberFormat="1" applyFont="1" applyFill="1" applyBorder="1" applyAlignment="1">
      <alignment horizontal="center" vertical="center" wrapText="1"/>
    </xf>
    <xf numFmtId="3" fontId="7" fillId="5" borderId="16" xfId="0" applyNumberFormat="1" applyFont="1" applyFill="1" applyBorder="1" applyAlignment="1">
      <alignment horizontal="center" vertical="center" wrapText="1"/>
    </xf>
    <xf numFmtId="3" fontId="7" fillId="5" borderId="13" xfId="0" applyNumberFormat="1" applyFont="1" applyFill="1" applyBorder="1" applyAlignment="1">
      <alignment horizontal="center" vertical="center" wrapText="1"/>
    </xf>
    <xf numFmtId="1" fontId="6" fillId="9" borderId="15" xfId="0" applyNumberFormat="1" applyFont="1" applyFill="1" applyBorder="1" applyAlignment="1">
      <alignment horizontal="center" vertical="center" wrapText="1"/>
    </xf>
    <xf numFmtId="0" fontId="7" fillId="5" borderId="8" xfId="0" applyNumberFormat="1" applyFont="1" applyFill="1" applyBorder="1" applyAlignment="1">
      <alignment horizontal="justify" vertical="center" wrapText="1"/>
    </xf>
    <xf numFmtId="0" fontId="7" fillId="5" borderId="17" xfId="0" applyNumberFormat="1" applyFont="1" applyFill="1" applyBorder="1" applyAlignment="1">
      <alignment horizontal="justify" vertical="center" wrapText="1"/>
    </xf>
    <xf numFmtId="43" fontId="7" fillId="5" borderId="8" xfId="4" applyNumberFormat="1" applyFont="1" applyFill="1" applyBorder="1" applyAlignment="1">
      <alignment horizontal="center" vertical="center"/>
    </xf>
    <xf numFmtId="43" fontId="7" fillId="5" borderId="17" xfId="4" applyNumberFormat="1" applyFont="1" applyFill="1" applyBorder="1" applyAlignment="1">
      <alignment horizontal="center" vertical="center"/>
    </xf>
    <xf numFmtId="9" fontId="7" fillId="5" borderId="8" xfId="5" applyNumberFormat="1" applyFont="1" applyFill="1" applyBorder="1" applyAlignment="1">
      <alignment horizontal="center" vertical="center"/>
    </xf>
    <xf numFmtId="9" fontId="7" fillId="5" borderId="17" xfId="5" applyNumberFormat="1" applyFont="1" applyFill="1" applyBorder="1" applyAlignment="1">
      <alignment horizontal="center" vertical="center"/>
    </xf>
    <xf numFmtId="43" fontId="7" fillId="5" borderId="8" xfId="0" applyNumberFormat="1" applyFont="1" applyFill="1" applyBorder="1" applyAlignment="1">
      <alignment horizontal="center" vertical="center"/>
    </xf>
    <xf numFmtId="43" fontId="7" fillId="5" borderId="14" xfId="0" applyNumberFormat="1" applyFont="1" applyFill="1" applyBorder="1" applyAlignment="1">
      <alignment horizontal="center" vertical="center"/>
    </xf>
    <xf numFmtId="43" fontId="7" fillId="5" borderId="17" xfId="0" applyNumberFormat="1" applyFont="1" applyFill="1" applyBorder="1" applyAlignment="1">
      <alignment horizontal="center" vertical="center"/>
    </xf>
    <xf numFmtId="0" fontId="7" fillId="5" borderId="7"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NumberFormat="1" applyFont="1" applyFill="1" applyBorder="1" applyAlignment="1">
      <alignment horizontal="justify" vertical="center" wrapText="1"/>
    </xf>
    <xf numFmtId="9" fontId="7" fillId="5" borderId="8" xfId="5" applyNumberFormat="1" applyFont="1" applyFill="1" applyBorder="1" applyAlignment="1">
      <alignment horizontal="center" vertical="center" wrapText="1"/>
    </xf>
    <xf numFmtId="9" fontId="7" fillId="5" borderId="14" xfId="5" applyNumberFormat="1" applyFont="1" applyFill="1" applyBorder="1" applyAlignment="1">
      <alignment horizontal="center" vertical="center" wrapText="1"/>
    </xf>
    <xf numFmtId="9" fontId="7" fillId="5" borderId="17" xfId="5" applyNumberFormat="1" applyFont="1" applyFill="1" applyBorder="1" applyAlignment="1">
      <alignment horizontal="center" vertical="center" wrapText="1"/>
    </xf>
    <xf numFmtId="43" fontId="7" fillId="5" borderId="8" xfId="0" applyNumberFormat="1" applyFont="1" applyFill="1" applyBorder="1" applyAlignment="1">
      <alignment horizontal="center" vertical="center" wrapText="1"/>
    </xf>
    <xf numFmtId="43" fontId="7" fillId="5" borderId="14" xfId="0" applyNumberFormat="1" applyFont="1" applyFill="1" applyBorder="1" applyAlignment="1">
      <alignment horizontal="center" vertical="center" wrapText="1"/>
    </xf>
    <xf numFmtId="43" fontId="7" fillId="5" borderId="17"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3" xfId="0" applyFont="1" applyFill="1" applyBorder="1" applyAlignment="1">
      <alignment horizontal="center" vertical="center" wrapText="1"/>
    </xf>
    <xf numFmtId="1" fontId="6" fillId="8" borderId="3" xfId="0" applyNumberFormat="1" applyFont="1" applyFill="1" applyBorder="1" applyAlignment="1">
      <alignment horizontal="left" vertical="center"/>
    </xf>
    <xf numFmtId="1" fontId="6" fillId="8" borderId="4" xfId="0" applyNumberFormat="1" applyFont="1" applyFill="1" applyBorder="1" applyAlignment="1">
      <alignment horizontal="left" vertical="center"/>
    </xf>
    <xf numFmtId="1" fontId="6" fillId="9" borderId="6" xfId="0" applyNumberFormat="1" applyFont="1" applyFill="1" applyBorder="1" applyAlignment="1">
      <alignment horizontal="left" vertical="center" wrapText="1"/>
    </xf>
    <xf numFmtId="1" fontId="6" fillId="9" borderId="4" xfId="0" applyNumberFormat="1" applyFont="1" applyFill="1" applyBorder="1" applyAlignment="1">
      <alignment horizontal="left" vertical="center" wrapText="1"/>
    </xf>
    <xf numFmtId="176" fontId="7" fillId="5" borderId="7" xfId="0" applyNumberFormat="1" applyFont="1" applyFill="1" applyBorder="1" applyAlignment="1">
      <alignment horizontal="center" vertical="center" wrapText="1"/>
    </xf>
    <xf numFmtId="176" fontId="7" fillId="5" borderId="16" xfId="0" applyNumberFormat="1" applyFont="1" applyFill="1" applyBorder="1" applyAlignment="1">
      <alignment horizontal="center" vertical="center" wrapText="1"/>
    </xf>
    <xf numFmtId="176" fontId="7" fillId="5" borderId="13" xfId="0" applyNumberFormat="1" applyFont="1" applyFill="1" applyBorder="1" applyAlignment="1">
      <alignment horizontal="center" vertical="center" wrapText="1"/>
    </xf>
    <xf numFmtId="14" fontId="7" fillId="5" borderId="8" xfId="0" applyNumberFormat="1" applyFont="1" applyFill="1" applyBorder="1" applyAlignment="1">
      <alignment horizontal="center" vertical="center"/>
    </xf>
    <xf numFmtId="14" fontId="7" fillId="5" borderId="14" xfId="0" applyNumberFormat="1" applyFont="1" applyFill="1" applyBorder="1" applyAlignment="1">
      <alignment horizontal="center" vertical="center"/>
    </xf>
    <xf numFmtId="14" fontId="7" fillId="5" borderId="17" xfId="0" applyNumberFormat="1" applyFont="1" applyFill="1" applyBorder="1" applyAlignment="1">
      <alignment horizontal="center" vertical="center"/>
    </xf>
    <xf numFmtId="9" fontId="7" fillId="0" borderId="8" xfId="5" applyNumberFormat="1" applyFont="1" applyFill="1" applyBorder="1" applyAlignment="1">
      <alignment horizontal="center" vertical="center"/>
    </xf>
    <xf numFmtId="9" fontId="7" fillId="0" borderId="14" xfId="5" applyNumberFormat="1" applyFont="1" applyFill="1" applyBorder="1" applyAlignment="1">
      <alignment horizontal="center" vertical="center"/>
    </xf>
    <xf numFmtId="9" fontId="7" fillId="0" borderId="17" xfId="5"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7" xfId="0" applyFont="1" applyFill="1" applyBorder="1" applyAlignment="1">
      <alignment horizontal="justify" vertical="center" wrapText="1"/>
    </xf>
    <xf numFmtId="0" fontId="7" fillId="5" borderId="16"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6" fillId="0" borderId="3" xfId="0" applyFont="1" applyBorder="1" applyAlignment="1">
      <alignment horizontal="center" vertical="center"/>
    </xf>
    <xf numFmtId="169" fontId="6" fillId="3" borderId="8" xfId="2" applyFont="1" applyFill="1" applyBorder="1" applyAlignment="1">
      <alignment horizontal="center" vertical="center" wrapText="1"/>
    </xf>
    <xf numFmtId="169" fontId="6" fillId="3" borderId="14" xfId="2" applyFont="1" applyFill="1" applyBorder="1" applyAlignment="1">
      <alignment horizontal="center" vertical="center" wrapText="1"/>
    </xf>
    <xf numFmtId="169" fontId="6" fillId="3" borderId="6" xfId="2" applyFont="1" applyFill="1" applyBorder="1" applyAlignment="1">
      <alignment horizontal="center" vertical="center" wrapText="1"/>
    </xf>
    <xf numFmtId="169" fontId="6" fillId="3" borderId="7" xfId="2" applyFont="1" applyFill="1" applyBorder="1" applyAlignment="1">
      <alignment horizontal="center" vertical="center" wrapText="1"/>
    </xf>
    <xf numFmtId="169" fontId="6" fillId="3" borderId="15" xfId="2" applyFont="1" applyFill="1" applyBorder="1" applyAlignment="1">
      <alignment horizontal="center" vertical="center" wrapText="1"/>
    </xf>
    <xf numFmtId="169" fontId="6" fillId="3" borderId="16" xfId="2" applyFont="1" applyFill="1" applyBorder="1" applyAlignment="1">
      <alignment horizontal="center" vertical="center" wrapText="1"/>
    </xf>
    <xf numFmtId="3" fontId="6" fillId="3" borderId="8" xfId="2" applyNumberFormat="1" applyFont="1" applyFill="1" applyBorder="1" applyAlignment="1">
      <alignment horizontal="center" vertical="center" wrapText="1"/>
    </xf>
    <xf numFmtId="3" fontId="6" fillId="3" borderId="14" xfId="2" applyNumberFormat="1" applyFont="1" applyFill="1" applyBorder="1" applyAlignment="1">
      <alignment horizontal="center" vertical="center" wrapText="1"/>
    </xf>
    <xf numFmtId="169" fontId="6" fillId="3" borderId="1" xfId="2" applyFont="1" applyFill="1" applyBorder="1" applyAlignment="1">
      <alignment horizontal="center" vertical="center" textRotation="180" wrapText="1"/>
    </xf>
    <xf numFmtId="170" fontId="6" fillId="3" borderId="8" xfId="2" applyNumberFormat="1" applyFont="1" applyFill="1" applyBorder="1" applyAlignment="1">
      <alignment horizontal="center" vertical="center" wrapText="1"/>
    </xf>
    <xf numFmtId="170" fontId="6" fillId="3" borderId="14" xfId="2" applyNumberFormat="1" applyFont="1" applyFill="1" applyBorder="1" applyAlignment="1">
      <alignment horizontal="center" vertical="center" wrapText="1"/>
    </xf>
    <xf numFmtId="170" fontId="6" fillId="3" borderId="17" xfId="2" applyNumberFormat="1" applyFont="1" applyFill="1" applyBorder="1" applyAlignment="1">
      <alignment horizontal="center" vertical="center" wrapText="1"/>
    </xf>
    <xf numFmtId="169" fontId="6" fillId="3" borderId="3" xfId="2" applyFont="1" applyFill="1" applyBorder="1" applyAlignment="1">
      <alignment horizontal="center" vertical="center"/>
    </xf>
    <xf numFmtId="169" fontId="6" fillId="3" borderId="4" xfId="2" applyFont="1" applyFill="1" applyBorder="1" applyAlignment="1">
      <alignment horizontal="center" vertical="center"/>
    </xf>
    <xf numFmtId="1" fontId="6" fillId="5" borderId="6" xfId="2" applyNumberFormat="1" applyFont="1" applyFill="1" applyBorder="1" applyAlignment="1">
      <alignment horizontal="center" vertical="center" wrapText="1"/>
    </xf>
    <xf numFmtId="1" fontId="6" fillId="5" borderId="9" xfId="2" applyNumberFormat="1" applyFont="1" applyFill="1" applyBorder="1" applyAlignment="1">
      <alignment horizontal="center" vertical="center" wrapText="1"/>
    </xf>
    <xf numFmtId="1" fontId="6" fillId="5" borderId="7" xfId="2" applyNumberFormat="1" applyFont="1" applyFill="1" applyBorder="1" applyAlignment="1">
      <alignment horizontal="center" vertical="center" wrapText="1"/>
    </xf>
    <xf numFmtId="1" fontId="6" fillId="5" borderId="15"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 fontId="6" fillId="5" borderId="12" xfId="2" applyNumberFormat="1" applyFont="1" applyFill="1" applyBorder="1" applyAlignment="1">
      <alignment horizontal="center" vertical="center" wrapText="1"/>
    </xf>
    <xf numFmtId="1" fontId="6" fillId="5" borderId="2" xfId="2" applyNumberFormat="1" applyFont="1" applyFill="1" applyBorder="1" applyAlignment="1">
      <alignment horizontal="center" vertical="center" wrapText="1"/>
    </xf>
    <xf numFmtId="1" fontId="6" fillId="5" borderId="13" xfId="2" applyNumberFormat="1" applyFont="1" applyFill="1" applyBorder="1" applyAlignment="1">
      <alignment horizontal="center" vertical="center" wrapText="1"/>
    </xf>
    <xf numFmtId="3" fontId="6" fillId="5" borderId="8" xfId="2" applyNumberFormat="1" applyFont="1" applyFill="1" applyBorder="1" applyAlignment="1">
      <alignment horizontal="center" vertical="center" wrapText="1"/>
    </xf>
    <xf numFmtId="3" fontId="6" fillId="5" borderId="17" xfId="2" applyNumberFormat="1" applyFont="1" applyFill="1" applyBorder="1" applyAlignment="1">
      <alignment horizontal="center" vertical="center" wrapText="1"/>
    </xf>
    <xf numFmtId="169" fontId="7" fillId="5" borderId="8" xfId="2" applyFont="1" applyFill="1" applyBorder="1" applyAlignment="1">
      <alignment horizontal="justify" vertical="center" wrapText="1"/>
    </xf>
    <xf numFmtId="169" fontId="7" fillId="5" borderId="14" xfId="2" applyFont="1" applyFill="1" applyBorder="1" applyAlignment="1">
      <alignment horizontal="justify" vertical="center" wrapText="1"/>
    </xf>
    <xf numFmtId="169" fontId="7" fillId="0" borderId="8" xfId="2" applyFont="1" applyFill="1" applyBorder="1" applyAlignment="1">
      <alignment horizontal="center" vertical="center" wrapText="1"/>
    </xf>
    <xf numFmtId="169" fontId="7" fillId="0" borderId="14" xfId="2" applyFont="1" applyFill="1" applyBorder="1" applyAlignment="1">
      <alignment horizontal="center" vertical="center" wrapText="1"/>
    </xf>
    <xf numFmtId="3" fontId="7" fillId="0" borderId="8" xfId="2" applyNumberFormat="1" applyFont="1" applyBorder="1" applyAlignment="1">
      <alignment horizontal="center" vertical="center"/>
    </xf>
    <xf numFmtId="3" fontId="7" fillId="0" borderId="14" xfId="2" applyNumberFormat="1" applyFont="1" applyBorder="1" applyAlignment="1">
      <alignment horizontal="center" vertical="center"/>
    </xf>
    <xf numFmtId="169" fontId="7" fillId="5" borderId="17" xfId="2" applyFont="1" applyFill="1" applyBorder="1" applyAlignment="1">
      <alignment horizontal="justify" vertical="center" wrapText="1"/>
    </xf>
    <xf numFmtId="169" fontId="7" fillId="5" borderId="6" xfId="2" applyFont="1" applyFill="1" applyBorder="1" applyAlignment="1">
      <alignment horizontal="justify" vertical="center" wrapText="1"/>
    </xf>
    <xf numFmtId="169" fontId="7" fillId="5" borderId="15" xfId="2" applyFont="1" applyFill="1" applyBorder="1" applyAlignment="1">
      <alignment horizontal="justify" vertical="center" wrapText="1"/>
    </xf>
    <xf numFmtId="169" fontId="7" fillId="5" borderId="12" xfId="2" applyFont="1" applyFill="1" applyBorder="1" applyAlignment="1">
      <alignment horizontal="justify" vertical="center" wrapText="1"/>
    </xf>
    <xf numFmtId="169" fontId="7" fillId="5" borderId="1" xfId="2" applyFont="1" applyFill="1" applyBorder="1" applyAlignment="1">
      <alignment horizontal="justify" vertical="center" wrapText="1"/>
    </xf>
    <xf numFmtId="42" fontId="7" fillId="5" borderId="8" xfId="2" applyNumberFormat="1" applyFont="1" applyFill="1" applyBorder="1" applyAlignment="1">
      <alignment horizontal="center" vertical="center" wrapText="1"/>
    </xf>
    <xf numFmtId="42" fontId="7" fillId="5" borderId="17" xfId="2" applyNumberFormat="1" applyFont="1" applyFill="1" applyBorder="1" applyAlignment="1">
      <alignment horizontal="center" vertical="center" wrapText="1"/>
    </xf>
    <xf numFmtId="169" fontId="6" fillId="3" borderId="17" xfId="2" applyFont="1" applyFill="1" applyBorder="1" applyAlignment="1">
      <alignment horizontal="center" vertical="center" wrapText="1"/>
    </xf>
    <xf numFmtId="3" fontId="6" fillId="5" borderId="1" xfId="2" applyNumberFormat="1" applyFont="1" applyFill="1" applyBorder="1" applyAlignment="1">
      <alignment horizontal="center" vertical="center" wrapText="1"/>
    </xf>
    <xf numFmtId="169" fontId="7" fillId="0" borderId="17" xfId="2" applyFont="1" applyFill="1" applyBorder="1" applyAlignment="1">
      <alignment horizontal="center" vertical="center" wrapText="1"/>
    </xf>
    <xf numFmtId="3" fontId="7" fillId="0" borderId="1" xfId="2" applyNumberFormat="1" applyFont="1" applyBorder="1" applyAlignment="1">
      <alignment horizontal="center" vertical="center"/>
    </xf>
    <xf numFmtId="10" fontId="7" fillId="5" borderId="8" xfId="2" applyNumberFormat="1" applyFont="1" applyFill="1" applyBorder="1" applyAlignment="1">
      <alignment horizontal="center" vertical="center" wrapText="1"/>
    </xf>
    <xf numFmtId="10" fontId="7" fillId="5" borderId="14" xfId="2" applyNumberFormat="1" applyFont="1" applyFill="1" applyBorder="1" applyAlignment="1">
      <alignment horizontal="center" vertical="center" wrapText="1"/>
    </xf>
    <xf numFmtId="10" fontId="7" fillId="5" borderId="17" xfId="2" applyNumberFormat="1" applyFont="1" applyFill="1" applyBorder="1" applyAlignment="1">
      <alignment horizontal="center" vertical="center" wrapText="1"/>
    </xf>
    <xf numFmtId="173" fontId="7" fillId="5" borderId="8" xfId="2" applyNumberFormat="1" applyFont="1" applyFill="1" applyBorder="1" applyAlignment="1">
      <alignment horizontal="center" vertical="center" wrapText="1"/>
    </xf>
    <xf numFmtId="173" fontId="7" fillId="5" borderId="14" xfId="2" applyNumberFormat="1" applyFont="1" applyFill="1" applyBorder="1" applyAlignment="1">
      <alignment horizontal="center" vertical="center" wrapText="1"/>
    </xf>
    <xf numFmtId="173" fontId="7" fillId="5" borderId="17" xfId="2" applyNumberFormat="1" applyFont="1" applyFill="1" applyBorder="1" applyAlignment="1">
      <alignment horizontal="center" vertical="center" wrapText="1"/>
    </xf>
    <xf numFmtId="3" fontId="6" fillId="5" borderId="14"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xf>
    <xf numFmtId="3" fontId="7" fillId="0" borderId="14"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169" fontId="7" fillId="0" borderId="1" xfId="2" applyFont="1" applyFill="1" applyBorder="1" applyAlignment="1">
      <alignment horizontal="center" vertical="center" wrapText="1"/>
    </xf>
    <xf numFmtId="3" fontId="7" fillId="0" borderId="8" xfId="2" applyNumberFormat="1" applyFont="1" applyFill="1" applyBorder="1" applyAlignment="1">
      <alignment horizontal="center" vertical="center" wrapText="1"/>
    </xf>
    <xf numFmtId="3" fontId="7" fillId="0" borderId="14" xfId="2" applyNumberFormat="1" applyFont="1" applyFill="1" applyBorder="1" applyAlignment="1">
      <alignment horizontal="center" vertical="center" wrapText="1"/>
    </xf>
    <xf numFmtId="3" fontId="7" fillId="0" borderId="17" xfId="2" applyNumberFormat="1" applyFont="1" applyFill="1" applyBorder="1" applyAlignment="1">
      <alignment horizontal="center" vertical="center" wrapText="1"/>
    </xf>
    <xf numFmtId="169" fontId="6" fillId="0" borderId="8" xfId="2" applyFont="1" applyFill="1" applyBorder="1" applyAlignment="1">
      <alignment horizontal="center" vertical="center" textRotation="180" wrapText="1"/>
    </xf>
    <xf numFmtId="169" fontId="6" fillId="0" borderId="14" xfId="2" applyFont="1" applyFill="1" applyBorder="1" applyAlignment="1">
      <alignment horizontal="center" vertical="center" textRotation="180" wrapText="1"/>
    </xf>
    <xf numFmtId="169" fontId="6" fillId="0" borderId="17" xfId="2" applyFont="1" applyFill="1" applyBorder="1" applyAlignment="1">
      <alignment horizontal="center" vertical="center" textRotation="180" wrapText="1"/>
    </xf>
    <xf numFmtId="169" fontId="7" fillId="5" borderId="8" xfId="2" applyFont="1" applyFill="1" applyBorder="1" applyAlignment="1">
      <alignment horizontal="center" vertical="center" wrapText="1"/>
    </xf>
    <xf numFmtId="169" fontId="7" fillId="5" borderId="14" xfId="2" applyFont="1" applyFill="1" applyBorder="1" applyAlignment="1">
      <alignment horizontal="center" vertical="center" wrapText="1"/>
    </xf>
    <xf numFmtId="169" fontId="7" fillId="5" borderId="17" xfId="2" applyFont="1" applyFill="1" applyBorder="1" applyAlignment="1">
      <alignment horizontal="center" vertical="center" wrapText="1"/>
    </xf>
    <xf numFmtId="49" fontId="7" fillId="0" borderId="7" xfId="2" applyNumberFormat="1" applyFont="1" applyFill="1" applyBorder="1" applyAlignment="1">
      <alignment horizontal="center" vertical="center" wrapText="1"/>
    </xf>
    <xf numFmtId="49" fontId="7" fillId="0" borderId="16" xfId="2" applyNumberFormat="1" applyFont="1" applyFill="1" applyBorder="1" applyAlignment="1">
      <alignment horizontal="center" vertical="center" wrapText="1"/>
    </xf>
    <xf numFmtId="49" fontId="7" fillId="0" borderId="13"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1" fontId="6" fillId="5" borderId="8" xfId="2" applyNumberFormat="1" applyFont="1" applyFill="1" applyBorder="1" applyAlignment="1">
      <alignment horizontal="center" vertical="center" wrapText="1"/>
    </xf>
    <xf numFmtId="1" fontId="6" fillId="5" borderId="14" xfId="2" applyNumberFormat="1" applyFont="1" applyFill="1" applyBorder="1" applyAlignment="1">
      <alignment horizontal="center" vertical="center" wrapText="1"/>
    </xf>
    <xf numFmtId="1" fontId="6" fillId="5" borderId="17" xfId="2" applyNumberFormat="1" applyFont="1" applyFill="1" applyBorder="1" applyAlignment="1">
      <alignment horizontal="center" vertical="center" wrapText="1"/>
    </xf>
    <xf numFmtId="169" fontId="6" fillId="5" borderId="6" xfId="2" applyFont="1" applyFill="1" applyBorder="1" applyAlignment="1">
      <alignment vertical="center" wrapText="1"/>
    </xf>
    <xf numFmtId="169" fontId="6" fillId="5" borderId="7" xfId="2" applyFont="1" applyFill="1" applyBorder="1" applyAlignment="1">
      <alignment vertical="center" wrapText="1"/>
    </xf>
    <xf numFmtId="169" fontId="6" fillId="5" borderId="15" xfId="2" applyFont="1" applyFill="1" applyBorder="1" applyAlignment="1">
      <alignment vertical="center" wrapText="1"/>
    </xf>
    <xf numFmtId="169" fontId="6" fillId="5" borderId="16" xfId="2" applyFont="1" applyFill="1" applyBorder="1" applyAlignment="1">
      <alignment vertical="center" wrapText="1"/>
    </xf>
    <xf numFmtId="169" fontId="6" fillId="5" borderId="12" xfId="2" applyFont="1" applyFill="1" applyBorder="1" applyAlignment="1">
      <alignment vertical="center" wrapText="1"/>
    </xf>
    <xf numFmtId="169" fontId="6" fillId="5" borderId="13" xfId="2" applyFont="1" applyFill="1" applyBorder="1" applyAlignment="1">
      <alignment vertical="center" wrapText="1"/>
    </xf>
    <xf numFmtId="1" fontId="7" fillId="5" borderId="8" xfId="10" applyNumberFormat="1" applyFont="1" applyFill="1" applyBorder="1" applyAlignment="1">
      <alignment horizontal="center" vertical="center" wrapText="1"/>
    </xf>
    <xf numFmtId="1" fontId="7" fillId="5" borderId="17" xfId="10" applyNumberFormat="1" applyFont="1" applyFill="1" applyBorder="1" applyAlignment="1">
      <alignment horizontal="center" vertical="center" wrapText="1"/>
    </xf>
    <xf numFmtId="169" fontId="7" fillId="5" borderId="8" xfId="2" applyFont="1" applyFill="1" applyBorder="1" applyAlignment="1">
      <alignment horizontal="center" vertical="center"/>
    </xf>
    <xf numFmtId="169" fontId="7" fillId="5" borderId="17" xfId="2" applyFont="1" applyFill="1" applyBorder="1" applyAlignment="1">
      <alignment horizontal="center" vertical="center"/>
    </xf>
    <xf numFmtId="1" fontId="7" fillId="5" borderId="8" xfId="2" applyNumberFormat="1" applyFont="1" applyFill="1" applyBorder="1" applyAlignment="1">
      <alignment horizontal="center" vertical="center"/>
    </xf>
    <xf numFmtId="1" fontId="7" fillId="5" borderId="17" xfId="2" applyNumberFormat="1" applyFont="1" applyFill="1" applyBorder="1" applyAlignment="1">
      <alignment horizontal="center" vertical="center"/>
    </xf>
    <xf numFmtId="3" fontId="7" fillId="5" borderId="8" xfId="2" applyNumberFormat="1" applyFont="1" applyFill="1" applyBorder="1" applyAlignment="1">
      <alignment horizontal="center" vertical="center" wrapText="1"/>
    </xf>
    <xf numFmtId="3" fontId="7" fillId="5" borderId="14" xfId="2" applyNumberFormat="1" applyFont="1" applyFill="1" applyBorder="1" applyAlignment="1">
      <alignment horizontal="center" vertical="center" wrapText="1"/>
    </xf>
    <xf numFmtId="170" fontId="7" fillId="5" borderId="8" xfId="2" applyNumberFormat="1" applyFont="1" applyFill="1" applyBorder="1" applyAlignment="1">
      <alignment horizontal="center" vertical="center" wrapText="1"/>
    </xf>
    <xf numFmtId="170" fontId="7" fillId="5" borderId="17" xfId="2" applyNumberFormat="1" applyFont="1" applyFill="1" applyBorder="1" applyAlignment="1">
      <alignment horizontal="center" vertical="center" wrapText="1"/>
    </xf>
    <xf numFmtId="3" fontId="7" fillId="5" borderId="17" xfId="2" applyNumberFormat="1" applyFont="1" applyFill="1" applyBorder="1" applyAlignment="1">
      <alignment horizontal="center" vertical="center" wrapText="1"/>
    </xf>
    <xf numFmtId="49" fontId="7" fillId="0" borderId="14" xfId="2" applyNumberFormat="1" applyFont="1" applyFill="1" applyBorder="1" applyAlignment="1">
      <alignment horizontal="center" vertical="center" wrapText="1"/>
    </xf>
    <xf numFmtId="49" fontId="7" fillId="0" borderId="17" xfId="2" applyNumberFormat="1" applyFont="1" applyFill="1" applyBorder="1" applyAlignment="1">
      <alignment horizontal="center" vertical="center" wrapText="1"/>
    </xf>
    <xf numFmtId="170" fontId="7" fillId="5" borderId="1" xfId="2" applyNumberFormat="1" applyFont="1" applyFill="1" applyBorder="1" applyAlignment="1">
      <alignment horizontal="center" vertical="center" wrapText="1"/>
    </xf>
    <xf numFmtId="0" fontId="7" fillId="0" borderId="8" xfId="2" applyNumberFormat="1" applyFont="1" applyFill="1" applyBorder="1" applyAlignment="1">
      <alignment horizontal="center" vertical="center"/>
    </xf>
    <xf numFmtId="0" fontId="7" fillId="0" borderId="14" xfId="2" applyNumberFormat="1" applyFont="1" applyFill="1" applyBorder="1" applyAlignment="1">
      <alignment horizontal="center" vertical="center"/>
    </xf>
    <xf numFmtId="3" fontId="7" fillId="5" borderId="7" xfId="2" applyNumberFormat="1" applyFont="1" applyFill="1" applyBorder="1" applyAlignment="1">
      <alignment horizontal="center" vertical="center" wrapText="1"/>
    </xf>
    <xf numFmtId="3" fontId="7" fillId="5" borderId="16" xfId="2" applyNumberFormat="1" applyFont="1" applyFill="1" applyBorder="1" applyAlignment="1">
      <alignment horizontal="center" vertical="center" wrapText="1"/>
    </xf>
    <xf numFmtId="3" fontId="7" fillId="5" borderId="13" xfId="2" applyNumberFormat="1" applyFont="1" applyFill="1" applyBorder="1" applyAlignment="1">
      <alignment horizontal="center" vertical="center" wrapText="1"/>
    </xf>
    <xf numFmtId="3" fontId="7" fillId="0" borderId="16" xfId="2" applyNumberFormat="1" applyFont="1" applyFill="1" applyBorder="1" applyAlignment="1">
      <alignment horizontal="center" vertical="center" wrapText="1"/>
    </xf>
    <xf numFmtId="1" fontId="7" fillId="5" borderId="14" xfId="10" applyNumberFormat="1" applyFont="1" applyFill="1" applyBorder="1" applyAlignment="1">
      <alignment horizontal="center" vertical="center" wrapText="1"/>
    </xf>
    <xf numFmtId="169" fontId="7" fillId="5" borderId="14" xfId="2" applyFont="1" applyFill="1" applyBorder="1" applyAlignment="1">
      <alignment horizontal="center" vertical="center"/>
    </xf>
    <xf numFmtId="1" fontId="7" fillId="5" borderId="14" xfId="2" applyNumberFormat="1" applyFont="1" applyFill="1" applyBorder="1" applyAlignment="1">
      <alignment horizontal="center" vertical="center"/>
    </xf>
    <xf numFmtId="1" fontId="7" fillId="0" borderId="8" xfId="2" applyNumberFormat="1" applyFont="1" applyFill="1" applyBorder="1" applyAlignment="1">
      <alignment horizontal="center" vertical="center"/>
    </xf>
    <xf numFmtId="1" fontId="7" fillId="0" borderId="14" xfId="2" applyNumberFormat="1" applyFont="1" applyFill="1" applyBorder="1" applyAlignment="1">
      <alignment horizontal="center" vertical="center"/>
    </xf>
    <xf numFmtId="1" fontId="7" fillId="0" borderId="17" xfId="2" applyNumberFormat="1" applyFont="1" applyFill="1" applyBorder="1" applyAlignment="1">
      <alignment horizontal="center" vertical="center"/>
    </xf>
    <xf numFmtId="3" fontId="6" fillId="5" borderId="8" xfId="2" applyNumberFormat="1" applyFont="1" applyFill="1" applyBorder="1" applyAlignment="1">
      <alignment horizontal="center" vertical="center" textRotation="180" wrapText="1"/>
    </xf>
    <xf numFmtId="3" fontId="6" fillId="5" borderId="14" xfId="2" applyNumberFormat="1" applyFont="1" applyFill="1" applyBorder="1" applyAlignment="1">
      <alignment horizontal="center" vertical="center" textRotation="180" wrapText="1"/>
    </xf>
    <xf numFmtId="3" fontId="6" fillId="5" borderId="17" xfId="2" applyNumberFormat="1" applyFont="1" applyFill="1" applyBorder="1" applyAlignment="1">
      <alignment horizontal="center" vertical="center" textRotation="180" wrapText="1"/>
    </xf>
    <xf numFmtId="1" fontId="6" fillId="5" borderId="8" xfId="2" applyNumberFormat="1" applyFont="1" applyFill="1" applyBorder="1" applyAlignment="1">
      <alignment horizontal="center" vertical="center" textRotation="180" wrapText="1"/>
    </xf>
    <xf numFmtId="1" fontId="6" fillId="5" borderId="14" xfId="2" applyNumberFormat="1" applyFont="1" applyFill="1" applyBorder="1" applyAlignment="1">
      <alignment horizontal="center" vertical="center" textRotation="180" wrapText="1"/>
    </xf>
    <xf numFmtId="1" fontId="6" fillId="5" borderId="17" xfId="2" applyNumberFormat="1" applyFont="1" applyFill="1" applyBorder="1" applyAlignment="1">
      <alignment horizontal="center" vertical="center" textRotation="180" wrapText="1"/>
    </xf>
    <xf numFmtId="1" fontId="7" fillId="0" borderId="8" xfId="2" applyNumberFormat="1" applyFont="1" applyBorder="1" applyAlignment="1">
      <alignment horizontal="center" vertical="center"/>
    </xf>
    <xf numFmtId="1" fontId="7" fillId="0" borderId="17" xfId="2" applyNumberFormat="1" applyFont="1" applyBorder="1" applyAlignment="1">
      <alignment horizontal="center" vertical="center"/>
    </xf>
    <xf numFmtId="169" fontId="7" fillId="5" borderId="6" xfId="2" applyFont="1" applyFill="1" applyBorder="1" applyAlignment="1">
      <alignment horizontal="center" vertical="center" wrapText="1"/>
    </xf>
    <xf numFmtId="169" fontId="7" fillId="5" borderId="7" xfId="2" applyFont="1" applyFill="1" applyBorder="1" applyAlignment="1">
      <alignment horizontal="center" vertical="center" wrapText="1"/>
    </xf>
    <xf numFmtId="169" fontId="7" fillId="5" borderId="15" xfId="2" applyFont="1" applyFill="1" applyBorder="1" applyAlignment="1">
      <alignment horizontal="center" vertical="center" wrapText="1"/>
    </xf>
    <xf numFmtId="169" fontId="7" fillId="5" borderId="16" xfId="2" applyFont="1" applyFill="1" applyBorder="1" applyAlignment="1">
      <alignment horizontal="center" vertical="center" wrapText="1"/>
    </xf>
    <xf numFmtId="169" fontId="7" fillId="5" borderId="12" xfId="2" applyFont="1" applyFill="1" applyBorder="1" applyAlignment="1">
      <alignment horizontal="center" vertical="center" wrapText="1"/>
    </xf>
    <xf numFmtId="169" fontId="7" fillId="5" borderId="13" xfId="2" applyFont="1" applyFill="1" applyBorder="1" applyAlignment="1">
      <alignment horizontal="center" vertical="center" wrapText="1"/>
    </xf>
    <xf numFmtId="169" fontId="7" fillId="5" borderId="6" xfId="2" applyFont="1" applyFill="1" applyBorder="1" applyAlignment="1">
      <alignment vertical="center" wrapText="1"/>
    </xf>
    <xf numFmtId="169" fontId="7" fillId="5" borderId="7" xfId="2" applyFont="1" applyFill="1" applyBorder="1" applyAlignment="1">
      <alignment vertical="center" wrapText="1"/>
    </xf>
    <xf numFmtId="169" fontId="7" fillId="5" borderId="15" xfId="2" applyFont="1" applyFill="1" applyBorder="1" applyAlignment="1">
      <alignment vertical="center" wrapText="1"/>
    </xf>
    <xf numFmtId="169" fontId="7" fillId="5" borderId="16" xfId="2" applyFont="1" applyFill="1" applyBorder="1" applyAlignment="1">
      <alignment vertical="center" wrapText="1"/>
    </xf>
    <xf numFmtId="169" fontId="7" fillId="5" borderId="12" xfId="2" applyFont="1" applyFill="1" applyBorder="1" applyAlignment="1">
      <alignment vertical="center" wrapText="1"/>
    </xf>
    <xf numFmtId="169" fontId="7" fillId="5" borderId="13" xfId="2" applyFont="1" applyFill="1" applyBorder="1" applyAlignment="1">
      <alignment vertical="center" wrapText="1"/>
    </xf>
    <xf numFmtId="169" fontId="7" fillId="0" borderId="8" xfId="2" applyFont="1" applyBorder="1" applyAlignment="1">
      <alignment horizontal="justify" vertical="center" wrapText="1"/>
    </xf>
    <xf numFmtId="169" fontId="7" fillId="0" borderId="14" xfId="2" applyFont="1" applyBorder="1" applyAlignment="1">
      <alignment horizontal="justify" vertical="center" wrapText="1"/>
    </xf>
    <xf numFmtId="169" fontId="7" fillId="0" borderId="17" xfId="2" applyFont="1" applyBorder="1" applyAlignment="1">
      <alignment horizontal="justify" vertical="center" wrapText="1"/>
    </xf>
    <xf numFmtId="191" fontId="7" fillId="5" borderId="8" xfId="2" applyNumberFormat="1" applyFont="1" applyFill="1" applyBorder="1" applyAlignment="1">
      <alignment horizontal="center" vertical="center" wrapText="1"/>
    </xf>
    <xf numFmtId="191" fontId="7" fillId="5" borderId="17" xfId="2" applyNumberFormat="1" applyFont="1" applyFill="1" applyBorder="1" applyAlignment="1">
      <alignment horizontal="center" vertical="center" wrapText="1"/>
    </xf>
    <xf numFmtId="1" fontId="7" fillId="0" borderId="14" xfId="2" applyNumberFormat="1" applyFont="1" applyBorder="1" applyAlignment="1">
      <alignment horizontal="center" vertical="center"/>
    </xf>
    <xf numFmtId="1" fontId="7" fillId="5" borderId="8" xfId="2" applyNumberFormat="1" applyFont="1" applyFill="1" applyBorder="1" applyAlignment="1">
      <alignment horizontal="center" vertical="center" wrapText="1"/>
    </xf>
    <xf numFmtId="1" fontId="7" fillId="5" borderId="14" xfId="2" applyNumberFormat="1" applyFont="1" applyFill="1" applyBorder="1" applyAlignment="1">
      <alignment horizontal="center" vertical="center" wrapText="1"/>
    </xf>
    <xf numFmtId="1" fontId="7" fillId="5" borderId="17" xfId="2" applyNumberFormat="1" applyFont="1" applyFill="1" applyBorder="1" applyAlignment="1">
      <alignment horizontal="center" vertical="center" wrapText="1"/>
    </xf>
    <xf numFmtId="169" fontId="7" fillId="0" borderId="8" xfId="2" applyFont="1" applyFill="1" applyBorder="1" applyAlignment="1">
      <alignment horizontal="justify" vertical="center" wrapText="1"/>
    </xf>
    <xf numFmtId="169" fontId="7" fillId="0" borderId="14" xfId="2" applyFont="1" applyFill="1" applyBorder="1" applyAlignment="1">
      <alignment horizontal="justify" vertical="center" wrapText="1"/>
    </xf>
    <xf numFmtId="191" fontId="7" fillId="5" borderId="14" xfId="2" applyNumberFormat="1" applyFont="1" applyFill="1" applyBorder="1" applyAlignment="1">
      <alignment horizontal="center" vertical="center" wrapText="1"/>
    </xf>
    <xf numFmtId="169" fontId="7" fillId="0" borderId="17" xfId="2" applyFont="1" applyFill="1" applyBorder="1" applyAlignment="1">
      <alignment horizontal="justify" vertical="center" wrapText="1"/>
    </xf>
    <xf numFmtId="169" fontId="7" fillId="0" borderId="6" xfId="2" applyFont="1" applyBorder="1" applyAlignment="1">
      <alignment vertical="center" wrapText="1"/>
    </xf>
    <xf numFmtId="169" fontId="7" fillId="0" borderId="7" xfId="2" applyFont="1" applyBorder="1" applyAlignment="1">
      <alignment vertical="center" wrapText="1"/>
    </xf>
    <xf numFmtId="169" fontId="7" fillId="0" borderId="15" xfId="2" applyFont="1" applyBorder="1" applyAlignment="1">
      <alignment vertical="center" wrapText="1"/>
    </xf>
    <xf numFmtId="169" fontId="7" fillId="0" borderId="16" xfId="2" applyFont="1" applyBorder="1" applyAlignment="1">
      <alignment vertical="center" wrapText="1"/>
    </xf>
    <xf numFmtId="169" fontId="7" fillId="0" borderId="12" xfId="2" applyFont="1" applyBorder="1" applyAlignment="1">
      <alignment vertical="center" wrapText="1"/>
    </xf>
    <xf numFmtId="169" fontId="7" fillId="0" borderId="13" xfId="2" applyFont="1" applyBorder="1" applyAlignment="1">
      <alignment vertical="center" wrapText="1"/>
    </xf>
    <xf numFmtId="169" fontId="7" fillId="0" borderId="8" xfId="2" applyFont="1" applyFill="1" applyBorder="1" applyAlignment="1">
      <alignment horizontal="center" vertical="center"/>
    </xf>
    <xf numFmtId="169" fontId="7" fillId="0" borderId="17" xfId="2" applyFont="1" applyFill="1" applyBorder="1" applyAlignment="1">
      <alignment horizontal="center" vertical="center"/>
    </xf>
    <xf numFmtId="3" fontId="7" fillId="0" borderId="17" xfId="2" applyNumberFormat="1" applyFont="1" applyBorder="1" applyAlignment="1">
      <alignment horizontal="center" vertical="center"/>
    </xf>
    <xf numFmtId="1" fontId="7" fillId="5" borderId="7" xfId="2" applyNumberFormat="1" applyFont="1" applyFill="1" applyBorder="1" applyAlignment="1">
      <alignment horizontal="center" vertical="center" wrapText="1"/>
    </xf>
    <xf numFmtId="1" fontId="7" fillId="5" borderId="16" xfId="2" applyNumberFormat="1" applyFont="1" applyFill="1" applyBorder="1" applyAlignment="1">
      <alignment horizontal="center" vertical="center" wrapText="1"/>
    </xf>
    <xf numFmtId="1" fontId="7" fillId="5" borderId="13" xfId="2" applyNumberFormat="1" applyFont="1" applyFill="1" applyBorder="1" applyAlignment="1">
      <alignment horizontal="center" vertical="center" wrapText="1"/>
    </xf>
    <xf numFmtId="3" fontId="7" fillId="5" borderId="8" xfId="2" applyNumberFormat="1" applyFont="1" applyFill="1" applyBorder="1" applyAlignment="1">
      <alignment horizontal="center" vertical="center"/>
    </xf>
    <xf numFmtId="3" fontId="7" fillId="5" borderId="14" xfId="2" applyNumberFormat="1" applyFont="1" applyFill="1" applyBorder="1" applyAlignment="1">
      <alignment horizontal="center" vertical="center"/>
    </xf>
    <xf numFmtId="3" fontId="7" fillId="5" borderId="17" xfId="2" applyNumberFormat="1" applyFont="1" applyFill="1" applyBorder="1" applyAlignment="1">
      <alignment horizontal="center" vertical="center"/>
    </xf>
    <xf numFmtId="169" fontId="7" fillId="0" borderId="6" xfId="2" applyFont="1" applyBorder="1" applyAlignment="1">
      <alignment vertical="center"/>
    </xf>
    <xf numFmtId="169" fontId="7" fillId="0" borderId="7" xfId="2" applyFont="1" applyBorder="1" applyAlignment="1">
      <alignment vertical="center"/>
    </xf>
    <xf numFmtId="169" fontId="7" fillId="0" borderId="15" xfId="2" applyFont="1" applyBorder="1" applyAlignment="1">
      <alignment vertical="center"/>
    </xf>
    <xf numFmtId="169" fontId="7" fillId="0" borderId="16" xfId="2" applyFont="1" applyBorder="1" applyAlignment="1">
      <alignment vertical="center"/>
    </xf>
    <xf numFmtId="169" fontId="7" fillId="0" borderId="12" xfId="2" applyFont="1" applyBorder="1" applyAlignment="1">
      <alignment vertical="center"/>
    </xf>
    <xf numFmtId="169" fontId="7" fillId="0" borderId="13" xfId="2" applyFont="1" applyBorder="1" applyAlignment="1">
      <alignment vertical="center"/>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10" fontId="7" fillId="5" borderId="8" xfId="2" applyNumberFormat="1" applyFont="1" applyFill="1" applyBorder="1" applyAlignment="1">
      <alignment horizontal="center" vertical="center"/>
    </xf>
    <xf numFmtId="10" fontId="7" fillId="5" borderId="14" xfId="2" applyNumberFormat="1" applyFont="1" applyFill="1" applyBorder="1" applyAlignment="1">
      <alignment horizontal="center" vertical="center"/>
    </xf>
    <xf numFmtId="10" fontId="7" fillId="5" borderId="17" xfId="2" applyNumberFormat="1" applyFont="1" applyFill="1" applyBorder="1" applyAlignment="1">
      <alignment horizontal="center" vertical="center"/>
    </xf>
    <xf numFmtId="169" fontId="7" fillId="0" borderId="14" xfId="2" applyFont="1" applyFill="1" applyBorder="1" applyAlignment="1">
      <alignment horizontal="center" vertical="center"/>
    </xf>
    <xf numFmtId="191" fontId="7" fillId="5" borderId="8" xfId="2" applyNumberFormat="1" applyFont="1" applyFill="1" applyBorder="1" applyAlignment="1">
      <alignment horizontal="center" vertical="center"/>
    </xf>
    <xf numFmtId="191" fontId="7" fillId="5" borderId="14" xfId="2" applyNumberFormat="1" applyFont="1" applyFill="1" applyBorder="1" applyAlignment="1">
      <alignment horizontal="center" vertical="center"/>
    </xf>
    <xf numFmtId="191" fontId="7" fillId="5" borderId="17" xfId="2" applyNumberFormat="1" applyFont="1" applyFill="1" applyBorder="1" applyAlignment="1">
      <alignment horizontal="center" vertical="center"/>
    </xf>
    <xf numFmtId="3" fontId="6" fillId="0" borderId="8"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3" fontId="6" fillId="0" borderId="17" xfId="2" applyNumberFormat="1" applyFont="1" applyFill="1" applyBorder="1" applyAlignment="1">
      <alignment horizontal="center" vertical="center"/>
    </xf>
    <xf numFmtId="3" fontId="7" fillId="5" borderId="7" xfId="2" applyNumberFormat="1" applyFont="1" applyFill="1" applyBorder="1" applyAlignment="1">
      <alignment horizontal="center" vertical="center"/>
    </xf>
    <xf numFmtId="3" fontId="7" fillId="5" borderId="16" xfId="2" applyNumberFormat="1" applyFont="1" applyFill="1" applyBorder="1" applyAlignment="1">
      <alignment horizontal="center" vertical="center"/>
    </xf>
    <xf numFmtId="3" fontId="7" fillId="5" borderId="13" xfId="2" applyNumberFormat="1" applyFont="1" applyFill="1" applyBorder="1" applyAlignment="1">
      <alignment horizontal="center" vertical="center"/>
    </xf>
    <xf numFmtId="3" fontId="6" fillId="5" borderId="8"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3" fontId="6" fillId="5" borderId="17" xfId="2" applyNumberFormat="1" applyFont="1" applyFill="1" applyBorder="1" applyAlignment="1">
      <alignment horizontal="center" vertical="center"/>
    </xf>
    <xf numFmtId="49" fontId="7" fillId="0" borderId="8" xfId="2" applyNumberFormat="1" applyFont="1" applyFill="1" applyBorder="1" applyAlignment="1">
      <alignment horizontal="center" vertical="center"/>
    </xf>
    <xf numFmtId="49" fontId="7" fillId="0" borderId="14" xfId="2" applyNumberFormat="1" applyFont="1" applyFill="1" applyBorder="1" applyAlignment="1">
      <alignment horizontal="center" vertical="center"/>
    </xf>
    <xf numFmtId="49" fontId="7" fillId="0" borderId="17" xfId="2" applyNumberFormat="1" applyFont="1" applyFill="1" applyBorder="1" applyAlignment="1">
      <alignment horizontal="center" vertical="center"/>
    </xf>
    <xf numFmtId="169" fontId="7" fillId="5" borderId="8" xfId="2" applyFont="1" applyFill="1" applyBorder="1" applyAlignment="1">
      <alignment horizontal="left" vertical="center" wrapText="1"/>
    </xf>
    <xf numFmtId="169" fontId="7" fillId="5" borderId="14" xfId="2" applyFont="1" applyFill="1" applyBorder="1" applyAlignment="1">
      <alignment horizontal="left" vertical="center" wrapText="1"/>
    </xf>
    <xf numFmtId="169" fontId="7" fillId="5" borderId="17" xfId="2" applyFont="1" applyFill="1" applyBorder="1" applyAlignment="1">
      <alignment horizontal="left" vertical="center" wrapText="1"/>
    </xf>
    <xf numFmtId="9" fontId="7" fillId="5" borderId="8" xfId="2" applyNumberFormat="1" applyFont="1" applyFill="1" applyBorder="1" applyAlignment="1">
      <alignment horizontal="center" vertical="center"/>
    </xf>
    <xf numFmtId="9" fontId="7" fillId="5" borderId="17"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42" fontId="7" fillId="5" borderId="17" xfId="2" applyNumberFormat="1" applyFont="1" applyFill="1" applyBorder="1" applyAlignment="1">
      <alignment horizontal="center" vertical="center"/>
    </xf>
    <xf numFmtId="3" fontId="7" fillId="5" borderId="26" xfId="2" applyNumberFormat="1" applyFont="1" applyFill="1" applyBorder="1" applyAlignment="1">
      <alignment horizontal="center" vertical="center" wrapText="1"/>
    </xf>
    <xf numFmtId="3" fontId="7" fillId="5" borderId="21"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42" fontId="7" fillId="5" borderId="14" xfId="2" applyNumberFormat="1" applyFont="1" applyFill="1" applyBorder="1" applyAlignment="1">
      <alignment horizontal="center" vertical="center"/>
    </xf>
    <xf numFmtId="37" fontId="7" fillId="0" borderId="8" xfId="2" applyNumberFormat="1" applyFont="1" applyBorder="1" applyAlignment="1">
      <alignment horizontal="center" vertical="center"/>
    </xf>
    <xf numFmtId="37" fontId="7" fillId="0" borderId="14" xfId="2" applyNumberFormat="1" applyFont="1" applyBorder="1" applyAlignment="1">
      <alignment horizontal="center" vertical="center"/>
    </xf>
    <xf numFmtId="37" fontId="7" fillId="0" borderId="17" xfId="2" applyNumberFormat="1" applyFont="1" applyBorder="1" applyAlignment="1">
      <alignment horizontal="center" vertical="center"/>
    </xf>
    <xf numFmtId="37" fontId="7" fillId="5" borderId="8" xfId="2" applyNumberFormat="1" applyFont="1" applyFill="1" applyBorder="1" applyAlignment="1">
      <alignment horizontal="center" vertical="center"/>
    </xf>
    <xf numFmtId="37" fontId="7" fillId="5" borderId="14" xfId="2" applyNumberFormat="1" applyFont="1" applyFill="1" applyBorder="1" applyAlignment="1">
      <alignment horizontal="center" vertical="center"/>
    </xf>
    <xf numFmtId="37" fontId="7" fillId="5" borderId="17" xfId="2" applyNumberFormat="1" applyFont="1" applyFill="1" applyBorder="1" applyAlignment="1">
      <alignment horizontal="center" vertical="center"/>
    </xf>
    <xf numFmtId="169" fontId="7" fillId="0" borderId="8" xfId="2" applyFont="1" applyBorder="1" applyAlignment="1">
      <alignment horizontal="center" vertical="center" wrapText="1"/>
    </xf>
    <xf numFmtId="169" fontId="7" fillId="0" borderId="14" xfId="2" applyFont="1" applyBorder="1" applyAlignment="1">
      <alignment horizontal="center" vertical="center" wrapText="1"/>
    </xf>
    <xf numFmtId="169" fontId="7" fillId="0" borderId="17" xfId="2" applyFont="1" applyBorder="1" applyAlignment="1">
      <alignment horizontal="center" vertical="center" wrapText="1"/>
    </xf>
    <xf numFmtId="10" fontId="7" fillId="0" borderId="8" xfId="2" applyNumberFormat="1" applyFont="1" applyFill="1" applyBorder="1" applyAlignment="1">
      <alignment horizontal="center" vertical="center"/>
    </xf>
    <xf numFmtId="10" fontId="7" fillId="0" borderId="14" xfId="2" applyNumberFormat="1" applyFont="1" applyFill="1" applyBorder="1" applyAlignment="1">
      <alignment horizontal="center" vertical="center"/>
    </xf>
    <xf numFmtId="10" fontId="7" fillId="0" borderId="17" xfId="2" applyNumberFormat="1" applyFont="1" applyFill="1" applyBorder="1" applyAlignment="1">
      <alignment horizontal="center" vertical="center"/>
    </xf>
    <xf numFmtId="9" fontId="7" fillId="0" borderId="8" xfId="2" applyNumberFormat="1" applyFont="1" applyFill="1" applyBorder="1" applyAlignment="1">
      <alignment horizontal="center" vertical="center" wrapText="1"/>
    </xf>
    <xf numFmtId="9" fontId="7" fillId="0" borderId="14" xfId="2" applyNumberFormat="1"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37" fontId="7" fillId="5" borderId="7" xfId="2" applyNumberFormat="1" applyFont="1" applyFill="1" applyBorder="1" applyAlignment="1">
      <alignment horizontal="center" vertical="center"/>
    </xf>
    <xf numFmtId="37" fontId="7" fillId="5" borderId="16" xfId="2" applyNumberFormat="1" applyFont="1" applyFill="1" applyBorder="1" applyAlignment="1">
      <alignment horizontal="center" vertical="center"/>
    </xf>
    <xf numFmtId="37" fontId="7" fillId="5" borderId="13" xfId="2" applyNumberFormat="1" applyFont="1" applyFill="1" applyBorder="1" applyAlignment="1">
      <alignment horizontal="center" vertical="center"/>
    </xf>
    <xf numFmtId="1" fontId="7" fillId="0" borderId="38" xfId="2" applyNumberFormat="1" applyFont="1" applyBorder="1" applyAlignment="1">
      <alignment horizontal="center" vertical="center"/>
    </xf>
    <xf numFmtId="169" fontId="7" fillId="0" borderId="6" xfId="2" applyFont="1" applyBorder="1" applyAlignment="1">
      <alignment horizontal="center" vertical="center" wrapText="1"/>
    </xf>
    <xf numFmtId="169" fontId="7" fillId="0" borderId="7" xfId="2" applyFont="1" applyBorder="1" applyAlignment="1">
      <alignment horizontal="center" vertical="center" wrapText="1"/>
    </xf>
    <xf numFmtId="169" fontId="7" fillId="0" borderId="15" xfId="2" applyFont="1" applyBorder="1" applyAlignment="1">
      <alignment horizontal="center" vertical="center" wrapText="1"/>
    </xf>
    <xf numFmtId="169" fontId="7" fillId="0" borderId="16" xfId="2" applyFont="1" applyBorder="1" applyAlignment="1">
      <alignment horizontal="center" vertical="center" wrapText="1"/>
    </xf>
    <xf numFmtId="169" fontId="7" fillId="0" borderId="33" xfId="2" applyFont="1" applyBorder="1" applyAlignment="1">
      <alignment horizontal="center" vertical="center" wrapText="1"/>
    </xf>
    <xf numFmtId="169" fontId="7" fillId="0" borderId="35" xfId="2" applyFont="1" applyBorder="1" applyAlignment="1">
      <alignment horizontal="center" vertical="center" wrapText="1"/>
    </xf>
    <xf numFmtId="169" fontId="7" fillId="0" borderId="33" xfId="2" applyFont="1" applyBorder="1" applyAlignment="1">
      <alignment vertical="center" wrapText="1"/>
    </xf>
    <xf numFmtId="169" fontId="7" fillId="0" borderId="35" xfId="2" applyFont="1" applyBorder="1" applyAlignment="1">
      <alignment vertical="center" wrapText="1"/>
    </xf>
    <xf numFmtId="169" fontId="7" fillId="5" borderId="8" xfId="2" applyFont="1" applyFill="1" applyBorder="1" applyAlignment="1">
      <alignment horizontal="center" vertical="center" wrapText="1" shrinkToFit="1"/>
    </xf>
    <xf numFmtId="169" fontId="7" fillId="5" borderId="14" xfId="2" applyFont="1" applyFill="1" applyBorder="1" applyAlignment="1">
      <alignment horizontal="center" vertical="center" wrapText="1" shrinkToFit="1"/>
    </xf>
    <xf numFmtId="169" fontId="7" fillId="5" borderId="17" xfId="2" applyFont="1" applyFill="1" applyBorder="1" applyAlignment="1">
      <alignment horizontal="center" vertical="center" wrapText="1" shrinkToFit="1"/>
    </xf>
    <xf numFmtId="169" fontId="7" fillId="0" borderId="6" xfId="2" applyFont="1" applyBorder="1" applyAlignment="1">
      <alignment horizontal="justify" vertical="center" wrapText="1"/>
    </xf>
    <xf numFmtId="169" fontId="7" fillId="0" borderId="7" xfId="2" applyFont="1" applyBorder="1" applyAlignment="1">
      <alignment horizontal="justify" vertical="center" wrapText="1"/>
    </xf>
    <xf numFmtId="169" fontId="7" fillId="0" borderId="15" xfId="2" applyFont="1" applyBorder="1" applyAlignment="1">
      <alignment horizontal="justify" vertical="center" wrapText="1"/>
    </xf>
    <xf numFmtId="169" fontId="7" fillId="0" borderId="16" xfId="2" applyFont="1" applyBorder="1" applyAlignment="1">
      <alignment horizontal="justify" vertical="center" wrapText="1"/>
    </xf>
    <xf numFmtId="169" fontId="7" fillId="0" borderId="6" xfId="2" applyFont="1" applyBorder="1" applyAlignment="1">
      <alignment horizontal="left" vertical="center" wrapText="1"/>
    </xf>
    <xf numFmtId="169" fontId="7" fillId="0" borderId="7" xfId="2" applyFont="1" applyBorder="1" applyAlignment="1">
      <alignment horizontal="left" vertical="center" wrapText="1"/>
    </xf>
    <xf numFmtId="169" fontId="7" fillId="0" borderId="15" xfId="2" applyFont="1" applyBorder="1" applyAlignment="1">
      <alignment horizontal="left" vertical="center" wrapText="1"/>
    </xf>
    <xf numFmtId="169" fontId="7" fillId="0" borderId="16" xfId="2" applyFont="1" applyBorder="1" applyAlignment="1">
      <alignment horizontal="left" vertical="center" wrapText="1"/>
    </xf>
    <xf numFmtId="169" fontId="7" fillId="0" borderId="12" xfId="2" applyFont="1" applyBorder="1" applyAlignment="1">
      <alignment horizontal="left" vertical="center" wrapText="1"/>
    </xf>
    <xf numFmtId="169" fontId="7" fillId="0" borderId="13" xfId="2" applyFont="1" applyBorder="1" applyAlignment="1">
      <alignment horizontal="left" vertical="center" wrapText="1"/>
    </xf>
    <xf numFmtId="3" fontId="7" fillId="0" borderId="8" xfId="2" applyNumberFormat="1" applyFont="1" applyFill="1" applyBorder="1" applyAlignment="1">
      <alignment horizontal="center"/>
    </xf>
    <xf numFmtId="3" fontId="7" fillId="0" borderId="14" xfId="2" applyNumberFormat="1" applyFont="1" applyFill="1" applyBorder="1" applyAlignment="1">
      <alignment horizontal="center"/>
    </xf>
    <xf numFmtId="3" fontId="7" fillId="0" borderId="38" xfId="2" applyNumberFormat="1" applyFont="1" applyFill="1" applyBorder="1" applyAlignment="1">
      <alignment horizontal="center"/>
    </xf>
    <xf numFmtId="169" fontId="7" fillId="5" borderId="38" xfId="2" applyFont="1" applyFill="1" applyBorder="1" applyAlignment="1">
      <alignment horizontal="justify" vertical="center" wrapText="1"/>
    </xf>
    <xf numFmtId="169" fontId="7" fillId="5" borderId="33" xfId="2" applyFont="1" applyFill="1" applyBorder="1" applyAlignment="1">
      <alignment horizontal="justify" vertical="center" wrapText="1"/>
    </xf>
    <xf numFmtId="3" fontId="7" fillId="5" borderId="35" xfId="2" applyNumberFormat="1" applyFont="1" applyFill="1" applyBorder="1" applyAlignment="1">
      <alignment horizontal="center" vertical="center"/>
    </xf>
    <xf numFmtId="3" fontId="7" fillId="5" borderId="38" xfId="2" applyNumberFormat="1" applyFont="1" applyFill="1" applyBorder="1" applyAlignment="1">
      <alignment horizontal="center" vertical="center"/>
    </xf>
    <xf numFmtId="42" fontId="7" fillId="5" borderId="38" xfId="2" applyNumberFormat="1" applyFont="1" applyFill="1" applyBorder="1" applyAlignment="1">
      <alignment horizontal="center" vertical="center"/>
    </xf>
    <xf numFmtId="169" fontId="7" fillId="5" borderId="38" xfId="2" applyFont="1" applyFill="1" applyBorder="1" applyAlignment="1">
      <alignment horizontal="center" vertical="center"/>
    </xf>
    <xf numFmtId="49" fontId="7" fillId="0" borderId="38" xfId="2" applyNumberFormat="1" applyFont="1" applyFill="1" applyBorder="1" applyAlignment="1">
      <alignment horizontal="center" vertical="center"/>
    </xf>
    <xf numFmtId="169" fontId="7" fillId="5" borderId="40" xfId="2" applyFont="1" applyFill="1" applyBorder="1" applyAlignment="1">
      <alignment horizontal="justify" vertical="center" wrapText="1"/>
    </xf>
    <xf numFmtId="10" fontId="7" fillId="5" borderId="38" xfId="2" applyNumberFormat="1" applyFont="1" applyFill="1" applyBorder="1" applyAlignment="1">
      <alignment horizontal="center" vertical="center"/>
    </xf>
    <xf numFmtId="3" fontId="7" fillId="0" borderId="8" xfId="2" applyNumberFormat="1" applyFont="1" applyBorder="1" applyAlignment="1">
      <alignment horizontal="center"/>
    </xf>
    <xf numFmtId="3" fontId="7" fillId="0" borderId="14" xfId="2" applyNumberFormat="1" applyFont="1" applyBorder="1" applyAlignment="1">
      <alignment horizontal="center"/>
    </xf>
    <xf numFmtId="3" fontId="7" fillId="0" borderId="38" xfId="2" applyNumberFormat="1" applyFont="1" applyBorder="1" applyAlignment="1">
      <alignment horizontal="center"/>
    </xf>
    <xf numFmtId="1" fontId="7" fillId="0" borderId="1" xfId="2" applyNumberFormat="1" applyFont="1" applyBorder="1" applyAlignment="1">
      <alignment horizontal="center" vertical="center"/>
    </xf>
    <xf numFmtId="169" fontId="7" fillId="0" borderId="1" xfId="2" applyFont="1" applyBorder="1" applyAlignment="1">
      <alignment horizontal="left" vertical="center" wrapText="1"/>
    </xf>
    <xf numFmtId="169" fontId="7" fillId="0" borderId="8" xfId="2" applyFont="1" applyBorder="1" applyAlignment="1">
      <alignment horizontal="center"/>
    </xf>
    <xf numFmtId="169" fontId="7" fillId="0" borderId="14" xfId="2" applyFont="1" applyBorder="1" applyAlignment="1">
      <alignment horizontal="center"/>
    </xf>
    <xf numFmtId="169" fontId="7" fillId="0" borderId="17" xfId="2" applyFont="1" applyBorder="1" applyAlignment="1">
      <alignment horizontal="center"/>
    </xf>
    <xf numFmtId="169" fontId="7" fillId="0" borderId="8" xfId="2" applyFont="1" applyFill="1" applyBorder="1" applyAlignment="1">
      <alignment horizontal="center"/>
    </xf>
    <xf numFmtId="169" fontId="7" fillId="0" borderId="14" xfId="2" applyFont="1" applyFill="1" applyBorder="1" applyAlignment="1">
      <alignment horizontal="center"/>
    </xf>
    <xf numFmtId="169" fontId="7" fillId="0" borderId="17" xfId="2" applyFont="1" applyFill="1" applyBorder="1" applyAlignment="1">
      <alignment horizontal="center"/>
    </xf>
    <xf numFmtId="9" fontId="7" fillId="5" borderId="14" xfId="2" applyNumberFormat="1" applyFont="1" applyFill="1" applyBorder="1" applyAlignment="1">
      <alignment horizontal="center" vertical="center"/>
    </xf>
    <xf numFmtId="0" fontId="7" fillId="5" borderId="8" xfId="2" applyNumberFormat="1" applyFont="1" applyFill="1" applyBorder="1" applyAlignment="1">
      <alignment horizontal="center" vertical="center" wrapText="1"/>
    </xf>
    <xf numFmtId="0" fontId="7" fillId="5" borderId="14" xfId="2" applyNumberFormat="1" applyFont="1" applyFill="1" applyBorder="1" applyAlignment="1">
      <alignment horizontal="center" vertical="center" wrapText="1"/>
    </xf>
    <xf numFmtId="0" fontId="7" fillId="5" borderId="17" xfId="2" applyNumberFormat="1" applyFont="1" applyFill="1" applyBorder="1" applyAlignment="1">
      <alignment horizontal="center" vertical="center" wrapText="1"/>
    </xf>
    <xf numFmtId="169" fontId="7" fillId="0" borderId="7" xfId="2" applyFont="1" applyBorder="1" applyAlignment="1">
      <alignment horizontal="center"/>
    </xf>
    <xf numFmtId="169" fontId="7" fillId="0" borderId="16" xfId="2" applyFont="1" applyBorder="1" applyAlignment="1">
      <alignment horizontal="center"/>
    </xf>
    <xf numFmtId="169" fontId="7" fillId="0" borderId="13" xfId="2" applyFont="1" applyBorder="1" applyAlignment="1">
      <alignment horizontal="center"/>
    </xf>
    <xf numFmtId="49" fontId="7" fillId="0" borderId="8" xfId="2"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16"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13"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14" xfId="0" applyFont="1" applyFill="1" applyBorder="1" applyAlignment="1">
      <alignment horizontal="center" vertical="center" wrapText="1"/>
    </xf>
    <xf numFmtId="170" fontId="6" fillId="13" borderId="6" xfId="0" applyNumberFormat="1" applyFont="1" applyFill="1" applyBorder="1" applyAlignment="1">
      <alignment horizontal="center" vertical="center" wrapText="1"/>
    </xf>
    <xf numFmtId="170" fontId="6" fillId="13" borderId="12" xfId="0" applyNumberFormat="1" applyFont="1" applyFill="1" applyBorder="1" applyAlignment="1">
      <alignment horizontal="center" vertical="center" wrapText="1"/>
    </xf>
    <xf numFmtId="170" fontId="6" fillId="13" borderId="8" xfId="0" applyNumberFormat="1" applyFont="1" applyFill="1" applyBorder="1" applyAlignment="1">
      <alignment horizontal="center" vertical="center" wrapText="1"/>
    </xf>
    <xf numFmtId="170" fontId="6" fillId="13" borderId="17"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13" borderId="15" xfId="0" applyFont="1" applyFill="1" applyBorder="1" applyAlignment="1">
      <alignment horizontal="center" vertical="center" wrapText="1"/>
    </xf>
    <xf numFmtId="43" fontId="6" fillId="13" borderId="1" xfId="0" applyNumberFormat="1" applyFont="1" applyFill="1" applyBorder="1" applyAlignment="1">
      <alignment horizontal="center" vertical="center" wrapText="1"/>
    </xf>
    <xf numFmtId="174" fontId="7" fillId="5" borderId="8" xfId="9" applyNumberFormat="1" applyFont="1" applyFill="1" applyBorder="1" applyAlignment="1">
      <alignment horizontal="center" vertical="center" wrapText="1"/>
    </xf>
    <xf numFmtId="174" fontId="7" fillId="5" borderId="14" xfId="9" applyNumberFormat="1" applyFont="1" applyFill="1" applyBorder="1" applyAlignment="1">
      <alignment horizontal="center" vertical="center" wrapText="1"/>
    </xf>
    <xf numFmtId="174" fontId="7" fillId="5" borderId="15" xfId="9" applyNumberFormat="1" applyFont="1" applyFill="1" applyBorder="1" applyAlignment="1">
      <alignment horizontal="center" vertical="center" wrapText="1"/>
    </xf>
    <xf numFmtId="43" fontId="7" fillId="5" borderId="6" xfId="0" applyNumberFormat="1" applyFont="1" applyFill="1" applyBorder="1" applyAlignment="1">
      <alignment horizontal="center" vertical="center" wrapText="1"/>
    </xf>
    <xf numFmtId="43" fontId="7" fillId="5" borderId="12" xfId="0" applyNumberFormat="1" applyFont="1" applyFill="1" applyBorder="1" applyAlignment="1">
      <alignment horizontal="center" vertical="center" wrapText="1"/>
    </xf>
    <xf numFmtId="174" fontId="7" fillId="5" borderId="6" xfId="9"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174" fontId="7" fillId="5" borderId="12" xfId="9" applyNumberFormat="1" applyFont="1" applyFill="1" applyBorder="1" applyAlignment="1">
      <alignment horizontal="center" vertical="center" wrapText="1"/>
    </xf>
    <xf numFmtId="174" fontId="7" fillId="5" borderId="17" xfId="9" applyNumberFormat="1" applyFont="1" applyFill="1" applyBorder="1" applyAlignment="1">
      <alignment horizontal="center" vertical="center" wrapText="1"/>
    </xf>
    <xf numFmtId="0" fontId="7" fillId="5" borderId="6" xfId="0" applyFont="1" applyFill="1" applyBorder="1" applyAlignment="1">
      <alignment horizontal="justify" vertical="center" wrapText="1"/>
    </xf>
    <xf numFmtId="0" fontId="7" fillId="5" borderId="15"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11" borderId="1" xfId="0" applyFont="1" applyFill="1" applyBorder="1" applyAlignment="1">
      <alignment horizontal="justify" vertical="center" wrapText="1"/>
    </xf>
    <xf numFmtId="43" fontId="7" fillId="5" borderId="9" xfId="0" applyNumberFormat="1" applyFont="1" applyFill="1" applyBorder="1" applyAlignment="1">
      <alignment horizontal="center" vertical="center" wrapText="1"/>
    </xf>
    <xf numFmtId="43" fontId="7" fillId="5" borderId="0" xfId="0" applyNumberFormat="1" applyFont="1" applyFill="1" applyBorder="1" applyAlignment="1">
      <alignment horizontal="center" vertical="center" wrapText="1"/>
    </xf>
    <xf numFmtId="43" fontId="7" fillId="5" borderId="2" xfId="0" applyNumberFormat="1" applyFont="1" applyFill="1" applyBorder="1" applyAlignment="1">
      <alignment horizontal="center" vertical="center" wrapText="1"/>
    </xf>
    <xf numFmtId="0" fontId="6" fillId="5" borderId="0" xfId="0" applyFont="1" applyFill="1" applyBorder="1" applyAlignment="1">
      <alignment horizontal="center" vertical="justify" wrapText="1"/>
    </xf>
    <xf numFmtId="0" fontId="6" fillId="5" borderId="16" xfId="0" applyFont="1" applyFill="1" applyBorder="1" applyAlignment="1">
      <alignment horizontal="center" vertical="justify" wrapText="1"/>
    </xf>
    <xf numFmtId="0" fontId="6" fillId="5" borderId="2" xfId="0" applyFont="1" applyFill="1" applyBorder="1" applyAlignment="1">
      <alignment horizontal="center" vertical="justify" wrapText="1"/>
    </xf>
    <xf numFmtId="0" fontId="6" fillId="5" borderId="13" xfId="0" applyFont="1" applyFill="1" applyBorder="1" applyAlignment="1">
      <alignment horizontal="center" vertical="justify" wrapText="1"/>
    </xf>
    <xf numFmtId="1" fontId="4" fillId="0" borderId="9" xfId="0" applyNumberFormat="1" applyFont="1" applyFill="1" applyBorder="1" applyAlignment="1">
      <alignment horizontal="justify" vertical="center"/>
    </xf>
    <xf numFmtId="1" fontId="4" fillId="0" borderId="0"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5" borderId="6" xfId="0" applyFont="1" applyFill="1" applyBorder="1" applyAlignment="1">
      <alignment horizontal="justify" vertical="center"/>
    </xf>
    <xf numFmtId="0" fontId="4" fillId="5" borderId="9" xfId="0" applyFont="1" applyFill="1" applyBorder="1" applyAlignment="1">
      <alignment horizontal="justify" vertical="center"/>
    </xf>
    <xf numFmtId="0" fontId="4" fillId="5" borderId="7" xfId="0" applyFont="1" applyFill="1" applyBorder="1" applyAlignment="1">
      <alignment horizontal="justify" vertical="center"/>
    </xf>
    <xf numFmtId="0" fontId="4" fillId="5" borderId="12" xfId="0" applyFont="1" applyFill="1" applyBorder="1" applyAlignment="1">
      <alignment horizontal="justify" vertical="center"/>
    </xf>
    <xf numFmtId="0" fontId="4" fillId="5" borderId="2" xfId="0" applyFont="1" applyFill="1" applyBorder="1" applyAlignment="1">
      <alignment horizontal="justify" vertical="center"/>
    </xf>
    <xf numFmtId="0" fontId="4" fillId="5" borderId="13" xfId="0" applyFont="1" applyFill="1" applyBorder="1" applyAlignment="1">
      <alignment horizontal="justify" vertical="center"/>
    </xf>
    <xf numFmtId="0" fontId="4" fillId="9" borderId="4" xfId="0" applyFont="1" applyFill="1" applyBorder="1" applyAlignment="1">
      <alignment horizontal="justify" vertical="center"/>
    </xf>
    <xf numFmtId="176" fontId="3" fillId="5" borderId="8" xfId="0" applyNumberFormat="1" applyFont="1" applyFill="1" applyBorder="1" applyAlignment="1">
      <alignment horizontal="center" vertical="center"/>
    </xf>
    <xf numFmtId="176" fontId="3" fillId="5" borderId="14" xfId="0" applyNumberFormat="1" applyFont="1" applyFill="1" applyBorder="1" applyAlignment="1">
      <alignment horizontal="center" vertical="center"/>
    </xf>
    <xf numFmtId="176" fontId="3" fillId="5" borderId="17" xfId="0" applyNumberFormat="1" applyFont="1" applyFill="1" applyBorder="1" applyAlignment="1">
      <alignment horizontal="center" vertical="center"/>
    </xf>
    <xf numFmtId="0" fontId="3" fillId="5" borderId="8" xfId="0" applyNumberFormat="1" applyFont="1" applyFill="1" applyBorder="1" applyAlignment="1">
      <alignment horizontal="center" vertical="center"/>
    </xf>
    <xf numFmtId="0" fontId="3" fillId="5" borderId="14" xfId="0" applyNumberFormat="1" applyFont="1" applyFill="1" applyBorder="1" applyAlignment="1">
      <alignment horizontal="center" vertical="center"/>
    </xf>
    <xf numFmtId="0" fontId="3" fillId="5" borderId="17" xfId="0" applyNumberFormat="1" applyFont="1" applyFill="1" applyBorder="1" applyAlignment="1">
      <alignment horizontal="center" vertical="center"/>
    </xf>
    <xf numFmtId="0" fontId="3" fillId="5" borderId="8" xfId="0" applyFont="1" applyFill="1" applyBorder="1" applyAlignment="1">
      <alignment horizontal="justify" vertical="center"/>
    </xf>
    <xf numFmtId="0" fontId="3" fillId="5" borderId="14" xfId="0" applyFont="1" applyFill="1" applyBorder="1" applyAlignment="1">
      <alignment horizontal="justify" vertical="center"/>
    </xf>
    <xf numFmtId="0" fontId="3" fillId="5" borderId="17" xfId="0" applyFont="1" applyFill="1" applyBorder="1" applyAlignment="1">
      <alignment horizontal="justify" vertical="center"/>
    </xf>
    <xf numFmtId="0" fontId="4" fillId="9" borderId="4" xfId="0" applyFont="1" applyFill="1" applyBorder="1" applyAlignment="1">
      <alignment horizontal="left" vertical="center"/>
    </xf>
    <xf numFmtId="0" fontId="4" fillId="5" borderId="0" xfId="0" applyFont="1" applyFill="1" applyBorder="1" applyAlignment="1">
      <alignment horizontal="justify" vertical="center"/>
    </xf>
    <xf numFmtId="0" fontId="4" fillId="5" borderId="16" xfId="0" applyFont="1" applyFill="1" applyBorder="1" applyAlignment="1">
      <alignment horizontal="justify" vertical="center"/>
    </xf>
    <xf numFmtId="0" fontId="3" fillId="5" borderId="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6" xfId="0" applyFont="1" applyFill="1" applyBorder="1" applyAlignment="1">
      <alignment horizontal="justify"/>
    </xf>
    <xf numFmtId="0" fontId="3" fillId="5" borderId="9" xfId="0" applyFont="1" applyFill="1" applyBorder="1" applyAlignment="1">
      <alignment horizontal="justify"/>
    </xf>
    <xf numFmtId="0" fontId="3" fillId="5" borderId="7" xfId="0" applyFont="1" applyFill="1" applyBorder="1" applyAlignment="1">
      <alignment horizontal="justify"/>
    </xf>
    <xf numFmtId="0" fontId="3" fillId="5" borderId="15" xfId="0" applyFont="1" applyFill="1" applyBorder="1" applyAlignment="1">
      <alignment horizontal="justify"/>
    </xf>
    <xf numFmtId="0" fontId="3" fillId="5" borderId="0" xfId="0" applyFont="1" applyFill="1" applyBorder="1" applyAlignment="1">
      <alignment horizontal="justify"/>
    </xf>
    <xf numFmtId="0" fontId="3" fillId="5" borderId="16" xfId="0" applyFont="1" applyFill="1" applyBorder="1" applyAlignment="1">
      <alignment horizontal="justify"/>
    </xf>
    <xf numFmtId="0" fontId="3" fillId="5" borderId="12" xfId="0" applyFont="1" applyFill="1" applyBorder="1" applyAlignment="1">
      <alignment horizontal="justify"/>
    </xf>
    <xf numFmtId="0" fontId="3" fillId="5" borderId="2" xfId="0" applyFont="1" applyFill="1" applyBorder="1" applyAlignment="1">
      <alignment horizontal="justify"/>
    </xf>
    <xf numFmtId="0" fontId="3" fillId="5" borderId="13" xfId="0" applyFont="1" applyFill="1" applyBorder="1" applyAlignment="1">
      <alignment horizontal="justify"/>
    </xf>
    <xf numFmtId="165" fontId="3" fillId="5" borderId="8" xfId="20" applyFont="1" applyFill="1" applyBorder="1" applyAlignment="1">
      <alignment horizontal="center" vertical="center"/>
    </xf>
    <xf numFmtId="165" fontId="3" fillId="5" borderId="17" xfId="20" applyFont="1" applyFill="1" applyBorder="1" applyAlignment="1">
      <alignment horizontal="center" vertical="center"/>
    </xf>
    <xf numFmtId="14" fontId="3" fillId="5" borderId="8" xfId="0" applyNumberFormat="1" applyFont="1" applyFill="1" applyBorder="1" applyAlignment="1">
      <alignment horizontal="center" vertical="center"/>
    </xf>
    <xf numFmtId="14" fontId="3" fillId="5" borderId="17" xfId="0" applyNumberFormat="1" applyFont="1" applyFill="1" applyBorder="1" applyAlignment="1">
      <alignment horizontal="center" vertical="center"/>
    </xf>
    <xf numFmtId="180" fontId="3" fillId="5" borderId="8" xfId="0" applyNumberFormat="1" applyFont="1" applyFill="1" applyBorder="1" applyAlignment="1">
      <alignment horizontal="center" vertical="center"/>
    </xf>
    <xf numFmtId="180" fontId="3" fillId="5" borderId="17" xfId="0" applyNumberFormat="1"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7"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justify" vertical="center"/>
    </xf>
    <xf numFmtId="165" fontId="3" fillId="0" borderId="8" xfId="20" applyFont="1" applyFill="1" applyBorder="1" applyAlignment="1">
      <alignment horizontal="center" vertical="center"/>
    </xf>
    <xf numFmtId="165" fontId="3" fillId="0" borderId="17" xfId="20" applyFont="1" applyFill="1" applyBorder="1" applyAlignment="1">
      <alignment horizontal="center" vertical="center"/>
    </xf>
    <xf numFmtId="0" fontId="4" fillId="5" borderId="15" xfId="0" applyFont="1" applyFill="1" applyBorder="1" applyAlignment="1">
      <alignment horizontal="justify" vertical="center"/>
    </xf>
    <xf numFmtId="0" fontId="3" fillId="5" borderId="6" xfId="0" applyFont="1" applyFill="1" applyBorder="1" applyAlignment="1">
      <alignment horizontal="center"/>
    </xf>
    <xf numFmtId="0" fontId="3" fillId="5" borderId="9" xfId="0" applyFont="1" applyFill="1" applyBorder="1" applyAlignment="1">
      <alignment horizontal="center"/>
    </xf>
    <xf numFmtId="0" fontId="3" fillId="5" borderId="7" xfId="0" applyFont="1" applyFill="1" applyBorder="1" applyAlignment="1">
      <alignment horizontal="center"/>
    </xf>
    <xf numFmtId="0" fontId="3" fillId="5" borderId="15" xfId="0" applyFont="1" applyFill="1" applyBorder="1" applyAlignment="1">
      <alignment horizontal="center"/>
    </xf>
    <xf numFmtId="0" fontId="3" fillId="5" borderId="0" xfId="0" applyFont="1" applyFill="1" applyBorder="1" applyAlignment="1">
      <alignment horizontal="center"/>
    </xf>
    <xf numFmtId="0" fontId="3" fillId="5" borderId="16" xfId="0" applyFont="1" applyFill="1" applyBorder="1" applyAlignment="1">
      <alignment horizontal="center"/>
    </xf>
    <xf numFmtId="0" fontId="3" fillId="5" borderId="12" xfId="0" applyFont="1" applyFill="1" applyBorder="1" applyAlignment="1">
      <alignment horizontal="center"/>
    </xf>
    <xf numFmtId="0" fontId="3" fillId="5" borderId="2" xfId="0" applyFont="1" applyFill="1" applyBorder="1" applyAlignment="1">
      <alignment horizontal="center"/>
    </xf>
    <xf numFmtId="0" fontId="3" fillId="5" borderId="13" xfId="0" applyFont="1" applyFill="1" applyBorder="1" applyAlignment="1">
      <alignment horizontal="center"/>
    </xf>
    <xf numFmtId="0" fontId="4" fillId="9" borderId="9" xfId="0" applyFont="1" applyFill="1" applyBorder="1" applyAlignment="1">
      <alignment horizontal="left" vertical="center"/>
    </xf>
    <xf numFmtId="0" fontId="3" fillId="0" borderId="8" xfId="0" applyFont="1" applyBorder="1" applyAlignment="1">
      <alignment horizontal="justify" vertical="center"/>
    </xf>
    <xf numFmtId="0" fontId="3" fillId="0" borderId="17" xfId="0" applyFont="1" applyBorder="1" applyAlignment="1">
      <alignment horizontal="justify" vertical="center"/>
    </xf>
    <xf numFmtId="194" fontId="3" fillId="5" borderId="8" xfId="20" applyNumberFormat="1" applyFont="1" applyFill="1" applyBorder="1" applyAlignment="1">
      <alignment horizontal="center" vertical="center"/>
    </xf>
    <xf numFmtId="194" fontId="3" fillId="5" borderId="14" xfId="20" applyNumberFormat="1" applyFont="1" applyFill="1" applyBorder="1" applyAlignment="1">
      <alignment horizontal="center" vertical="center"/>
    </xf>
    <xf numFmtId="194" fontId="3" fillId="5" borderId="17" xfId="2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0" fontId="4" fillId="10" borderId="12" xfId="0" applyFont="1" applyFill="1" applyBorder="1" applyAlignment="1">
      <alignment horizontal="left" vertical="center"/>
    </xf>
    <xf numFmtId="0" fontId="4" fillId="10" borderId="2" xfId="0" applyFont="1" applyFill="1" applyBorder="1" applyAlignment="1">
      <alignment horizontal="left"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3" xfId="0" applyFont="1" applyFill="1" applyBorder="1" applyAlignment="1">
      <alignment horizontal="center" vertical="center"/>
    </xf>
    <xf numFmtId="2" fontId="3" fillId="5" borderId="8" xfId="0" applyNumberFormat="1" applyFont="1" applyFill="1" applyBorder="1" applyAlignment="1">
      <alignment horizontal="center" vertical="center"/>
    </xf>
    <xf numFmtId="2" fontId="3" fillId="5" borderId="14" xfId="0" applyNumberFormat="1" applyFont="1" applyFill="1" applyBorder="1" applyAlignment="1">
      <alignment horizontal="center" vertical="center"/>
    </xf>
    <xf numFmtId="2" fontId="3" fillId="5" borderId="17" xfId="0" applyNumberFormat="1" applyFont="1" applyFill="1" applyBorder="1" applyAlignment="1">
      <alignment horizontal="center" vertical="center"/>
    </xf>
    <xf numFmtId="1" fontId="3" fillId="5" borderId="14" xfId="0" applyNumberFormat="1"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8" xfId="0" applyFont="1" applyFill="1" applyBorder="1" applyAlignment="1">
      <alignment horizontal="justify" vertical="center"/>
    </xf>
    <xf numFmtId="0" fontId="3" fillId="0" borderId="17" xfId="0" applyFont="1" applyFill="1" applyBorder="1" applyAlignment="1">
      <alignment horizontal="justify" vertical="center"/>
    </xf>
    <xf numFmtId="1" fontId="3" fillId="0" borderId="8"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4" xfId="0" applyFont="1" applyFill="1" applyBorder="1" applyAlignment="1">
      <alignment horizontal="justify" vertical="center"/>
    </xf>
    <xf numFmtId="165" fontId="3" fillId="0" borderId="1" xfId="20" applyFont="1" applyFill="1" applyBorder="1" applyAlignment="1">
      <alignment horizontal="center" vertical="center"/>
    </xf>
    <xf numFmtId="0" fontId="3" fillId="0" borderId="14" xfId="0" applyFont="1" applyFill="1" applyBorder="1" applyAlignment="1">
      <alignment horizontal="center" vertical="center"/>
    </xf>
    <xf numFmtId="180" fontId="3" fillId="0" borderId="8"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5" borderId="14" xfId="0" applyNumberFormat="1" applyFont="1" applyFill="1" applyBorder="1" applyAlignment="1">
      <alignment horizontal="center" vertical="center" wrapText="1"/>
    </xf>
    <xf numFmtId="0" fontId="3" fillId="0" borderId="6" xfId="0" applyFont="1" applyFill="1" applyBorder="1" applyAlignment="1">
      <alignment horizontal="justify"/>
    </xf>
    <xf numFmtId="0" fontId="3" fillId="0" borderId="9" xfId="0" applyFont="1" applyFill="1" applyBorder="1" applyAlignment="1">
      <alignment horizontal="justify"/>
    </xf>
    <xf numFmtId="0" fontId="3" fillId="0" borderId="7" xfId="0" applyFont="1" applyFill="1" applyBorder="1" applyAlignment="1">
      <alignment horizontal="justify"/>
    </xf>
    <xf numFmtId="0" fontId="3" fillId="0" borderId="15" xfId="0" applyFont="1" applyFill="1" applyBorder="1" applyAlignment="1">
      <alignment horizontal="justify"/>
    </xf>
    <xf numFmtId="0" fontId="3" fillId="0" borderId="0" xfId="0" applyFont="1" applyFill="1" applyBorder="1" applyAlignment="1">
      <alignment horizontal="justify"/>
    </xf>
    <xf numFmtId="0" fontId="3" fillId="0" borderId="16" xfId="0" applyFont="1" applyFill="1" applyBorder="1" applyAlignment="1">
      <alignment horizontal="justify"/>
    </xf>
    <xf numFmtId="0" fontId="3" fillId="0" borderId="12" xfId="0" applyFont="1" applyFill="1" applyBorder="1" applyAlignment="1">
      <alignment horizontal="justify"/>
    </xf>
    <xf numFmtId="0" fontId="3" fillId="0" borderId="2" xfId="0" applyFont="1" applyFill="1" applyBorder="1" applyAlignment="1">
      <alignment horizontal="justify"/>
    </xf>
    <xf numFmtId="0" fontId="3" fillId="0" borderId="13" xfId="0" applyFont="1" applyFill="1" applyBorder="1" applyAlignment="1">
      <alignment horizontal="justify"/>
    </xf>
    <xf numFmtId="0" fontId="4" fillId="0" borderId="6" xfId="0" applyFont="1" applyFill="1" applyBorder="1" applyAlignment="1">
      <alignment horizontal="justify" vertical="center"/>
    </xf>
    <xf numFmtId="0" fontId="4" fillId="0" borderId="9"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15"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13" xfId="0" applyFont="1" applyFill="1" applyBorder="1" applyAlignment="1">
      <alignment horizontal="justify" vertical="center"/>
    </xf>
    <xf numFmtId="14" fontId="3" fillId="5" borderId="8" xfId="0" applyNumberFormat="1" applyFont="1" applyFill="1" applyBorder="1" applyAlignment="1">
      <alignment horizontal="center" vertical="center" wrapText="1"/>
    </xf>
    <xf numFmtId="0" fontId="3" fillId="5" borderId="17" xfId="0" applyNumberFormat="1" applyFont="1" applyFill="1" applyBorder="1" applyAlignment="1">
      <alignment horizontal="center" vertical="center" wrapText="1"/>
    </xf>
    <xf numFmtId="0" fontId="3" fillId="0" borderId="8" xfId="0" applyFont="1" applyFill="1" applyBorder="1" applyAlignment="1">
      <alignment horizontal="justify" wrapText="1"/>
    </xf>
    <xf numFmtId="0" fontId="3" fillId="0" borderId="17" xfId="0" applyFont="1" applyFill="1" applyBorder="1" applyAlignment="1">
      <alignment horizontal="justify"/>
    </xf>
    <xf numFmtId="14" fontId="3" fillId="0" borderId="8"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5" borderId="8" xfId="0" applyFont="1" applyFill="1" applyBorder="1" applyAlignment="1">
      <alignment horizontal="justify" vertical="center" wrapText="1"/>
    </xf>
    <xf numFmtId="176" fontId="3" fillId="5" borderId="8" xfId="0" applyNumberFormat="1" applyFont="1" applyFill="1" applyBorder="1" applyAlignment="1">
      <alignment horizontal="center" vertical="center" wrapText="1"/>
    </xf>
    <xf numFmtId="176" fontId="3" fillId="5" borderId="17" xfId="0" applyNumberFormat="1" applyFont="1" applyFill="1" applyBorder="1" applyAlignment="1">
      <alignment horizontal="center" vertical="center" wrapText="1"/>
    </xf>
    <xf numFmtId="0" fontId="3" fillId="5" borderId="8" xfId="0" applyNumberFormat="1" applyFont="1" applyFill="1" applyBorder="1" applyAlignment="1">
      <alignment horizontal="right" vertical="center"/>
    </xf>
    <xf numFmtId="0" fontId="3" fillId="5" borderId="14" xfId="0" applyNumberFormat="1" applyFont="1" applyFill="1" applyBorder="1" applyAlignment="1">
      <alignment horizontal="right" vertical="center"/>
    </xf>
    <xf numFmtId="0" fontId="3" fillId="5" borderId="17" xfId="0" applyNumberFormat="1" applyFont="1" applyFill="1" applyBorder="1" applyAlignment="1">
      <alignment horizontal="right" vertical="center"/>
    </xf>
    <xf numFmtId="176" fontId="3" fillId="5" borderId="8" xfId="0" applyNumberFormat="1" applyFont="1" applyFill="1" applyBorder="1" applyAlignment="1">
      <alignment horizontal="right" vertical="center"/>
    </xf>
    <xf numFmtId="176" fontId="3" fillId="5" borderId="14" xfId="0" applyNumberFormat="1" applyFont="1" applyFill="1" applyBorder="1" applyAlignment="1">
      <alignment horizontal="right" vertical="center"/>
    </xf>
    <xf numFmtId="176" fontId="3" fillId="5" borderId="17" xfId="0" applyNumberFormat="1" applyFont="1" applyFill="1" applyBorder="1" applyAlignment="1">
      <alignment horizontal="right" vertical="center"/>
    </xf>
    <xf numFmtId="1" fontId="4" fillId="5" borderId="3" xfId="0" applyNumberFormat="1" applyFont="1" applyFill="1" applyBorder="1" applyAlignment="1">
      <alignment horizontal="justify" vertical="center"/>
    </xf>
    <xf numFmtId="1" fontId="4" fillId="5" borderId="4" xfId="0" applyNumberFormat="1" applyFont="1" applyFill="1" applyBorder="1" applyAlignment="1">
      <alignment horizontal="justify" vertical="center"/>
    </xf>
    <xf numFmtId="1" fontId="4" fillId="5" borderId="5" xfId="0" applyNumberFormat="1" applyFont="1" applyFill="1" applyBorder="1" applyAlignment="1">
      <alignment horizontal="justify" vertical="center"/>
    </xf>
    <xf numFmtId="0" fontId="4" fillId="9" borderId="3" xfId="0" applyFont="1" applyFill="1" applyBorder="1" applyAlignment="1">
      <alignment horizontal="left" vertical="center"/>
    </xf>
    <xf numFmtId="1" fontId="3" fillId="5" borderId="6" xfId="0" applyNumberFormat="1" applyFont="1" applyFill="1" applyBorder="1" applyAlignment="1">
      <alignment horizontal="justify" vertical="center"/>
    </xf>
    <xf numFmtId="1" fontId="3" fillId="5" borderId="9" xfId="0" applyNumberFormat="1" applyFont="1" applyFill="1" applyBorder="1" applyAlignment="1">
      <alignment horizontal="justify" vertical="center"/>
    </xf>
    <xf numFmtId="1" fontId="3" fillId="5" borderId="7" xfId="0" applyNumberFormat="1" applyFont="1" applyFill="1" applyBorder="1" applyAlignment="1">
      <alignment horizontal="justify"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77" fontId="3" fillId="5" borderId="8" xfId="0" applyNumberFormat="1" applyFont="1" applyFill="1" applyBorder="1" applyAlignment="1">
      <alignment horizontal="center" vertical="center"/>
    </xf>
    <xf numFmtId="177" fontId="3" fillId="5" borderId="14" xfId="0" applyNumberFormat="1" applyFont="1" applyFill="1" applyBorder="1" applyAlignment="1">
      <alignment horizontal="center" vertical="center"/>
    </xf>
    <xf numFmtId="177" fontId="3" fillId="5" borderId="17" xfId="0" applyNumberFormat="1" applyFont="1" applyFill="1" applyBorder="1" applyAlignment="1">
      <alignment horizontal="center" vertical="center"/>
    </xf>
    <xf numFmtId="1" fontId="3" fillId="5" borderId="8" xfId="0" applyNumberFormat="1" applyFont="1" applyFill="1" applyBorder="1" applyAlignment="1">
      <alignment horizontal="center" vertical="center" textRotation="180"/>
    </xf>
    <xf numFmtId="1" fontId="3" fillId="5" borderId="14" xfId="0" applyNumberFormat="1" applyFont="1" applyFill="1" applyBorder="1" applyAlignment="1">
      <alignment horizontal="center" vertical="center" textRotation="180"/>
    </xf>
    <xf numFmtId="1" fontId="3" fillId="5" borderId="17" xfId="0" applyNumberFormat="1" applyFont="1" applyFill="1" applyBorder="1" applyAlignment="1">
      <alignment horizontal="center" vertical="center" textRotation="180"/>
    </xf>
    <xf numFmtId="0" fontId="3" fillId="5" borderId="14" xfId="0" applyFont="1" applyFill="1" applyBorder="1" applyAlignment="1">
      <alignment horizontal="justify" vertical="center" wrapText="1"/>
    </xf>
    <xf numFmtId="0" fontId="3" fillId="5" borderId="17" xfId="0" applyFont="1" applyFill="1" applyBorder="1" applyAlignment="1">
      <alignment horizontal="justify" vertical="center" wrapText="1"/>
    </xf>
    <xf numFmtId="176" fontId="3" fillId="5" borderId="8" xfId="0" applyNumberFormat="1" applyFont="1" applyFill="1" applyBorder="1" applyAlignment="1">
      <alignment horizontal="justify" vertical="center"/>
    </xf>
    <xf numFmtId="165" fontId="3" fillId="0" borderId="14" xfId="20" applyFont="1" applyFill="1" applyBorder="1" applyAlignment="1">
      <alignment horizontal="center" vertical="center"/>
    </xf>
    <xf numFmtId="180" fontId="3" fillId="5" borderId="14" xfId="0" applyNumberFormat="1" applyFont="1" applyFill="1" applyBorder="1" applyAlignment="1">
      <alignment horizontal="center" vertical="center"/>
    </xf>
    <xf numFmtId="1" fontId="3" fillId="5" borderId="8"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1" fontId="3" fillId="5" borderId="17"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1" fontId="3" fillId="5" borderId="15" xfId="0" applyNumberFormat="1" applyFont="1" applyFill="1" applyBorder="1" applyAlignment="1">
      <alignment horizontal="justify" vertical="center"/>
    </xf>
    <xf numFmtId="1" fontId="3" fillId="5" borderId="0" xfId="0" applyNumberFormat="1" applyFont="1" applyFill="1" applyBorder="1" applyAlignment="1">
      <alignment horizontal="justify" vertical="center"/>
    </xf>
    <xf numFmtId="1" fontId="3" fillId="5" borderId="16" xfId="0" applyNumberFormat="1" applyFont="1" applyFill="1" applyBorder="1" applyAlignment="1">
      <alignment horizontal="justify" vertical="center"/>
    </xf>
    <xf numFmtId="1" fontId="3" fillId="5" borderId="12" xfId="0" applyNumberFormat="1" applyFont="1" applyFill="1" applyBorder="1" applyAlignment="1">
      <alignment horizontal="justify" vertical="center"/>
    </xf>
    <xf numFmtId="1" fontId="3" fillId="5" borderId="2" xfId="0" applyNumberFormat="1" applyFont="1" applyFill="1" applyBorder="1" applyAlignment="1">
      <alignment horizontal="justify" vertical="center"/>
    </xf>
    <xf numFmtId="1" fontId="3" fillId="5" borderId="13" xfId="0" applyNumberFormat="1" applyFont="1" applyFill="1" applyBorder="1" applyAlignment="1">
      <alignment horizontal="justify" vertical="center"/>
    </xf>
    <xf numFmtId="0" fontId="3" fillId="5" borderId="6" xfId="0" applyFont="1" applyFill="1" applyBorder="1" applyAlignment="1">
      <alignment horizontal="justify" vertical="center"/>
    </xf>
    <xf numFmtId="0" fontId="3" fillId="5" borderId="9" xfId="0" applyFont="1" applyFill="1" applyBorder="1" applyAlignment="1">
      <alignment horizontal="justify" vertical="center"/>
    </xf>
    <xf numFmtId="0" fontId="3" fillId="5" borderId="7" xfId="0" applyFont="1" applyFill="1" applyBorder="1" applyAlignment="1">
      <alignment horizontal="justify" vertical="center"/>
    </xf>
    <xf numFmtId="0" fontId="3" fillId="5" borderId="15" xfId="0" applyFont="1" applyFill="1" applyBorder="1" applyAlignment="1">
      <alignment horizontal="justify" vertical="center"/>
    </xf>
    <xf numFmtId="0" fontId="3" fillId="5" borderId="0" xfId="0" applyFont="1" applyFill="1" applyBorder="1" applyAlignment="1">
      <alignment horizontal="justify" vertical="center"/>
    </xf>
    <xf numFmtId="0" fontId="3" fillId="5" borderId="16" xfId="0" applyFont="1" applyFill="1" applyBorder="1" applyAlignment="1">
      <alignment horizontal="justify" vertical="center"/>
    </xf>
    <xf numFmtId="0" fontId="3" fillId="5" borderId="12" xfId="0" applyFont="1" applyFill="1" applyBorder="1" applyAlignment="1">
      <alignment horizontal="justify" vertical="center"/>
    </xf>
    <xf numFmtId="0" fontId="3" fillId="5" borderId="2" xfId="0" applyFont="1" applyFill="1" applyBorder="1" applyAlignment="1">
      <alignment horizontal="justify" vertical="center"/>
    </xf>
    <xf numFmtId="0" fontId="3" fillId="5" borderId="13" xfId="0" applyFont="1" applyFill="1" applyBorder="1" applyAlignment="1">
      <alignment horizontal="justify" vertical="center"/>
    </xf>
    <xf numFmtId="165" fontId="3" fillId="5" borderId="14" xfId="20" applyFont="1" applyFill="1" applyBorder="1" applyAlignment="1">
      <alignment horizontal="center" vertical="center"/>
    </xf>
    <xf numFmtId="3" fontId="3" fillId="5" borderId="1" xfId="0" applyNumberFormat="1" applyFont="1" applyFill="1" applyBorder="1" applyAlignment="1">
      <alignment horizontal="justify" vertical="center"/>
    </xf>
    <xf numFmtId="1" fontId="4" fillId="5" borderId="8" xfId="0" applyNumberFormat="1" applyFont="1" applyFill="1" applyBorder="1" applyAlignment="1">
      <alignment horizontal="center" vertical="center" textRotation="180"/>
    </xf>
    <xf numFmtId="1" fontId="4" fillId="5" borderId="14" xfId="0" applyNumberFormat="1" applyFont="1" applyFill="1" applyBorder="1" applyAlignment="1">
      <alignment horizontal="center" vertical="center" textRotation="180"/>
    </xf>
    <xf numFmtId="1" fontId="3" fillId="5" borderId="8" xfId="0" applyNumberFormat="1" applyFont="1" applyFill="1" applyBorder="1" applyAlignment="1">
      <alignment vertical="center"/>
    </xf>
    <xf numFmtId="1" fontId="3" fillId="5" borderId="14" xfId="0" applyNumberFormat="1" applyFont="1" applyFill="1" applyBorder="1" applyAlignment="1">
      <alignment vertical="center"/>
    </xf>
    <xf numFmtId="1" fontId="3" fillId="5" borderId="17" xfId="0" applyNumberFormat="1" applyFont="1" applyFill="1" applyBorder="1" applyAlignment="1">
      <alignment vertical="center"/>
    </xf>
    <xf numFmtId="14" fontId="4" fillId="5" borderId="1" xfId="0" applyNumberFormat="1" applyFont="1" applyFill="1" applyBorder="1" applyAlignment="1">
      <alignment horizontal="center" vertical="center" textRotation="91" wrapText="1"/>
    </xf>
    <xf numFmtId="0" fontId="4" fillId="5" borderId="1" xfId="0" applyNumberFormat="1" applyFont="1" applyFill="1" applyBorder="1" applyAlignment="1">
      <alignment horizontal="center" vertical="center" textRotation="91"/>
    </xf>
    <xf numFmtId="14" fontId="4" fillId="5" borderId="8" xfId="0" applyNumberFormat="1" applyFont="1" applyFill="1" applyBorder="1" applyAlignment="1">
      <alignment horizontal="center" vertical="center" textRotation="91"/>
    </xf>
    <xf numFmtId="0" fontId="4" fillId="5" borderId="14" xfId="0" applyNumberFormat="1" applyFont="1" applyFill="1" applyBorder="1" applyAlignment="1">
      <alignment horizontal="center" vertical="center" textRotation="91"/>
    </xf>
    <xf numFmtId="0" fontId="4" fillId="5" borderId="17" xfId="0" applyNumberFormat="1" applyFont="1" applyFill="1" applyBorder="1" applyAlignment="1">
      <alignment horizontal="center" vertical="center" textRotation="91"/>
    </xf>
    <xf numFmtId="14" fontId="4" fillId="5" borderId="8" xfId="0" applyNumberFormat="1" applyFont="1" applyFill="1" applyBorder="1" applyAlignment="1">
      <alignment horizontal="center" vertical="center" textRotation="91" wrapText="1"/>
    </xf>
    <xf numFmtId="0" fontId="4" fillId="5" borderId="14" xfId="0" applyNumberFormat="1" applyFont="1" applyFill="1" applyBorder="1" applyAlignment="1">
      <alignment horizontal="center" vertical="center" textRotation="91" wrapText="1"/>
    </xf>
    <xf numFmtId="0" fontId="4" fillId="5" borderId="17" xfId="0" applyNumberFormat="1" applyFont="1" applyFill="1" applyBorder="1" applyAlignment="1">
      <alignment horizontal="center" vertical="center" textRotation="91" wrapText="1"/>
    </xf>
    <xf numFmtId="0" fontId="3" fillId="0" borderId="8"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3" fillId="0" borderId="17" xfId="0" applyNumberFormat="1" applyFont="1" applyFill="1" applyBorder="1" applyAlignment="1">
      <alignment horizontal="justify" vertical="center" wrapText="1"/>
    </xf>
    <xf numFmtId="0" fontId="3" fillId="5" borderId="8" xfId="0" applyNumberFormat="1" applyFont="1" applyFill="1" applyBorder="1" applyAlignment="1">
      <alignment horizontal="justify" vertical="center" wrapText="1"/>
    </xf>
    <xf numFmtId="0" fontId="3" fillId="5" borderId="14" xfId="0" applyNumberFormat="1" applyFont="1" applyFill="1" applyBorder="1" applyAlignment="1">
      <alignment horizontal="justify" vertical="center"/>
    </xf>
    <xf numFmtId="0" fontId="3" fillId="5" borderId="17" xfId="0" applyNumberFormat="1" applyFont="1" applyFill="1" applyBorder="1" applyAlignment="1">
      <alignment horizontal="justify" vertical="center"/>
    </xf>
    <xf numFmtId="0" fontId="4" fillId="3" borderId="8" xfId="0" applyFont="1" applyFill="1" applyBorder="1" applyAlignment="1">
      <alignment horizontal="center" vertical="center" textRotation="180"/>
    </xf>
    <xf numFmtId="0" fontId="4" fillId="3" borderId="17" xfId="0" applyFont="1" applyFill="1" applyBorder="1" applyAlignment="1">
      <alignment horizontal="center" vertical="center" textRotation="180"/>
    </xf>
    <xf numFmtId="0" fontId="3" fillId="0" borderId="14" xfId="0" applyFont="1" applyFill="1" applyBorder="1" applyAlignment="1">
      <alignment horizontal="justify" vertical="center" wrapText="1"/>
    </xf>
    <xf numFmtId="180" fontId="3" fillId="5" borderId="1"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4" fillId="3" borderId="17" xfId="0" applyFont="1" applyFill="1" applyBorder="1" applyAlignment="1">
      <alignment horizontal="justify"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0" borderId="8" xfId="0" applyNumberFormat="1" applyFont="1" applyFill="1" applyBorder="1" applyAlignment="1">
      <alignment horizontal="justify" vertical="center"/>
    </xf>
    <xf numFmtId="0" fontId="3" fillId="0" borderId="14" xfId="0" applyNumberFormat="1" applyFont="1" applyFill="1" applyBorder="1" applyAlignment="1">
      <alignment horizontal="justify" vertical="center"/>
    </xf>
    <xf numFmtId="0" fontId="3" fillId="0" borderId="17" xfId="0" applyNumberFormat="1" applyFont="1" applyFill="1" applyBorder="1" applyAlignment="1">
      <alignment horizontal="justify" vertical="center"/>
    </xf>
    <xf numFmtId="3" fontId="4" fillId="3" borderId="8" xfId="0" applyNumberFormat="1" applyFont="1" applyFill="1" applyBorder="1" applyAlignment="1">
      <alignment horizontal="center" vertical="center" wrapText="1"/>
    </xf>
    <xf numFmtId="3" fontId="4" fillId="3" borderId="14"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2" xfId="0"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 fontId="4" fillId="3" borderId="14"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80" fontId="4" fillId="3" borderId="8" xfId="0" applyNumberFormat="1" applyFont="1" applyFill="1" applyBorder="1" applyAlignment="1">
      <alignment horizontal="center" vertical="center" wrapText="1"/>
    </xf>
    <xf numFmtId="180" fontId="4" fillId="3" borderId="14" xfId="0" applyNumberFormat="1" applyFont="1" applyFill="1" applyBorder="1" applyAlignment="1">
      <alignment horizontal="center" vertical="center" wrapText="1"/>
    </xf>
    <xf numFmtId="180" fontId="4" fillId="3" borderId="17"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176" fontId="4" fillId="3" borderId="14" xfId="0" applyNumberFormat="1" applyFont="1" applyFill="1" applyBorder="1" applyAlignment="1">
      <alignment horizontal="center" vertical="center" wrapText="1"/>
    </xf>
    <xf numFmtId="176" fontId="4" fillId="3" borderId="17"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177" fontId="4" fillId="13" borderId="6" xfId="0" applyNumberFormat="1" applyFont="1" applyFill="1" applyBorder="1" applyAlignment="1">
      <alignment horizontal="center" vertical="center" wrapText="1"/>
    </xf>
    <xf numFmtId="177" fontId="4" fillId="13" borderId="15" xfId="0" applyNumberFormat="1" applyFont="1" applyFill="1" applyBorder="1" applyAlignment="1">
      <alignment horizontal="center" vertical="center" wrapText="1"/>
    </xf>
    <xf numFmtId="177" fontId="4" fillId="13" borderId="12" xfId="0" applyNumberFormat="1" applyFont="1" applyFill="1" applyBorder="1" applyAlignment="1">
      <alignment horizontal="center" vertical="center" wrapText="1"/>
    </xf>
    <xf numFmtId="177" fontId="4" fillId="13" borderId="7" xfId="0" applyNumberFormat="1" applyFont="1" applyFill="1" applyBorder="1" applyAlignment="1">
      <alignment horizontal="center" vertical="center" wrapText="1"/>
    </xf>
    <xf numFmtId="177" fontId="4" fillId="13" borderId="16" xfId="0" applyNumberFormat="1" applyFont="1" applyFill="1" applyBorder="1" applyAlignment="1">
      <alignment horizontal="center" vertical="center" wrapText="1"/>
    </xf>
    <xf numFmtId="177" fontId="4" fillId="13" borderId="13" xfId="0" applyNumberFormat="1"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3" fontId="3" fillId="5" borderId="14" xfId="0" applyNumberFormat="1" applyFont="1" applyFill="1" applyBorder="1" applyAlignment="1">
      <alignment horizontal="center" vertical="center" wrapText="1"/>
    </xf>
    <xf numFmtId="3" fontId="3" fillId="5" borderId="1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 fontId="4" fillId="3" borderId="7" xfId="0" applyNumberFormat="1" applyFont="1" applyFill="1" applyBorder="1" applyAlignment="1">
      <alignment horizontal="center" vertical="center" wrapText="1"/>
    </xf>
    <xf numFmtId="1" fontId="4" fillId="3" borderId="16" xfId="0" applyNumberFormat="1" applyFont="1" applyFill="1" applyBorder="1" applyAlignment="1">
      <alignment horizontal="center" vertical="center" wrapText="1"/>
    </xf>
    <xf numFmtId="1" fontId="4" fillId="3" borderId="13" xfId="0" applyNumberFormat="1" applyFont="1" applyFill="1" applyBorder="1" applyAlignment="1">
      <alignment horizontal="center" vertical="center" wrapText="1"/>
    </xf>
    <xf numFmtId="0" fontId="4" fillId="3" borderId="8" xfId="0" applyFont="1" applyFill="1" applyBorder="1" applyAlignment="1">
      <alignment horizontal="justify" vertical="center" textRotation="180"/>
    </xf>
    <xf numFmtId="0" fontId="4" fillId="3" borderId="17" xfId="0" applyFont="1" applyFill="1" applyBorder="1" applyAlignment="1">
      <alignment horizontal="justify" vertical="center" textRotation="180"/>
    </xf>
    <xf numFmtId="176" fontId="3"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176" fontId="3" fillId="5" borderId="7" xfId="0" applyNumberFormat="1" applyFont="1" applyFill="1" applyBorder="1" applyAlignment="1">
      <alignment horizontal="justify" vertical="center"/>
    </xf>
    <xf numFmtId="176" fontId="3" fillId="5" borderId="16" xfId="0" applyNumberFormat="1" applyFont="1" applyFill="1" applyBorder="1" applyAlignment="1">
      <alignment horizontal="justify" vertical="center"/>
    </xf>
    <xf numFmtId="176" fontId="3" fillId="5" borderId="13" xfId="0" applyNumberFormat="1" applyFont="1" applyFill="1" applyBorder="1" applyAlignment="1">
      <alignment horizontal="justify" vertical="center"/>
    </xf>
    <xf numFmtId="165" fontId="3" fillId="5" borderId="1" xfId="20" applyFont="1" applyFill="1" applyBorder="1" applyAlignment="1">
      <alignment horizontal="center" vertical="center"/>
    </xf>
    <xf numFmtId="1" fontId="3" fillId="5" borderId="1" xfId="0" applyNumberFormat="1"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176" fontId="6" fillId="4" borderId="8" xfId="0" applyNumberFormat="1" applyFont="1" applyFill="1" applyBorder="1" applyAlignment="1">
      <alignment horizontal="center" vertical="center" wrapText="1"/>
    </xf>
    <xf numFmtId="176" fontId="6" fillId="4" borderId="14" xfId="0" applyNumberFormat="1" applyFont="1" applyFill="1" applyBorder="1" applyAlignment="1">
      <alignment horizontal="center"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1" fontId="7" fillId="5" borderId="17" xfId="3" applyNumberFormat="1" applyFont="1" applyFill="1" applyBorder="1" applyAlignment="1">
      <alignment horizontal="center" vertical="center" wrapText="1"/>
    </xf>
    <xf numFmtId="1" fontId="7" fillId="5" borderId="1" xfId="3" applyNumberFormat="1" applyFont="1" applyFill="1" applyBorder="1" applyAlignment="1">
      <alignment horizontal="center" vertical="center" wrapText="1"/>
    </xf>
    <xf numFmtId="0" fontId="7" fillId="0" borderId="14" xfId="0" applyFont="1" applyBorder="1" applyAlignment="1">
      <alignment horizontal="center"/>
    </xf>
    <xf numFmtId="0" fontId="7" fillId="0" borderId="17" xfId="0" applyFont="1" applyBorder="1" applyAlignment="1">
      <alignment horizontal="center"/>
    </xf>
    <xf numFmtId="186" fontId="7" fillId="5" borderId="8" xfId="0" applyNumberFormat="1" applyFont="1" applyFill="1" applyBorder="1" applyAlignment="1">
      <alignment horizontal="center" vertical="center" wrapText="1"/>
    </xf>
    <xf numFmtId="186" fontId="7" fillId="5" borderId="14" xfId="0" applyNumberFormat="1" applyFont="1" applyFill="1" applyBorder="1" applyAlignment="1">
      <alignment horizontal="center" vertical="center" wrapText="1"/>
    </xf>
    <xf numFmtId="186" fontId="7" fillId="5" borderId="17" xfId="0" applyNumberFormat="1" applyFont="1" applyFill="1" applyBorder="1" applyAlignment="1">
      <alignment horizontal="center" vertical="center" wrapText="1"/>
    </xf>
    <xf numFmtId="181" fontId="7" fillId="5" borderId="8" xfId="5" applyNumberFormat="1" applyFont="1" applyFill="1" applyBorder="1" applyAlignment="1">
      <alignment horizontal="center" vertical="center"/>
    </xf>
    <xf numFmtId="181" fontId="7" fillId="5" borderId="14" xfId="5" applyNumberFormat="1" applyFont="1" applyFill="1" applyBorder="1" applyAlignment="1">
      <alignment horizontal="center" vertical="center"/>
    </xf>
    <xf numFmtId="181" fontId="7" fillId="5" borderId="17" xfId="5" applyNumberFormat="1" applyFont="1" applyFill="1" applyBorder="1" applyAlignment="1">
      <alignment horizontal="center" vertical="center"/>
    </xf>
    <xf numFmtId="176" fontId="7" fillId="5" borderId="1" xfId="0" applyNumberFormat="1" applyFont="1" applyFill="1" applyBorder="1" applyAlignment="1">
      <alignment horizontal="center" vertical="center"/>
    </xf>
    <xf numFmtId="185" fontId="7" fillId="5" borderId="14" xfId="0" applyNumberFormat="1" applyFont="1" applyFill="1" applyBorder="1" applyAlignment="1">
      <alignment horizontal="center" vertical="center" wrapText="1"/>
    </xf>
    <xf numFmtId="185" fontId="7" fillId="5" borderId="17" xfId="0" applyNumberFormat="1" applyFont="1" applyFill="1" applyBorder="1" applyAlignment="1">
      <alignment horizontal="center" vertical="center" wrapText="1"/>
    </xf>
    <xf numFmtId="14" fontId="7" fillId="0" borderId="17" xfId="0" applyNumberFormat="1" applyFont="1" applyFill="1" applyBorder="1" applyAlignment="1">
      <alignment horizontal="center" vertical="center"/>
    </xf>
    <xf numFmtId="188" fontId="7" fillId="0" borderId="14" xfId="0" applyNumberFormat="1" applyFont="1" applyBorder="1" applyAlignment="1">
      <alignment horizontal="center" vertical="center"/>
    </xf>
    <xf numFmtId="188" fontId="7" fillId="0" borderId="17" xfId="0" applyNumberFormat="1" applyFont="1" applyBorder="1" applyAlignment="1">
      <alignment horizontal="center" vertical="center"/>
    </xf>
    <xf numFmtId="176" fontId="7" fillId="5" borderId="8" xfId="13" applyNumberFormat="1" applyFont="1" applyFill="1" applyBorder="1" applyAlignment="1">
      <alignment horizontal="center" vertical="center" wrapText="1"/>
    </xf>
    <xf numFmtId="176" fontId="7" fillId="5" borderId="17" xfId="13"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1" fontId="8" fillId="5" borderId="8" xfId="0" applyNumberFormat="1" applyFont="1" applyFill="1" applyBorder="1" applyAlignment="1">
      <alignment horizontal="center" vertical="center"/>
    </xf>
    <xf numFmtId="1" fontId="8" fillId="5" borderId="17" xfId="0" applyNumberFormat="1" applyFont="1" applyFill="1" applyBorder="1" applyAlignment="1">
      <alignment horizontal="center" vertical="center"/>
    </xf>
    <xf numFmtId="0" fontId="6" fillId="0" borderId="1" xfId="0" applyFont="1" applyBorder="1" applyAlignment="1">
      <alignment horizontal="justify" vertical="center" wrapText="1"/>
    </xf>
    <xf numFmtId="185" fontId="7" fillId="5" borderId="8" xfId="0" applyNumberFormat="1" applyFont="1" applyFill="1" applyBorder="1" applyAlignment="1">
      <alignment horizontal="center" vertical="center" wrapText="1"/>
    </xf>
    <xf numFmtId="14" fontId="7" fillId="0" borderId="17"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xf>
    <xf numFmtId="0" fontId="6" fillId="0" borderId="24" xfId="0" applyFont="1" applyBorder="1" applyAlignment="1">
      <alignment horizontal="justify" vertical="center" wrapText="1"/>
    </xf>
    <xf numFmtId="0" fontId="7" fillId="0" borderId="8" xfId="0" applyFont="1" applyBorder="1" applyAlignment="1">
      <alignment horizontal="center"/>
    </xf>
    <xf numFmtId="188" fontId="7" fillId="5" borderId="14" xfId="0" applyNumberFormat="1" applyFont="1" applyFill="1" applyBorder="1" applyAlignment="1">
      <alignment horizontal="center" vertical="center"/>
    </xf>
    <xf numFmtId="188" fontId="7" fillId="5" borderId="17" xfId="0" applyNumberFormat="1" applyFont="1" applyFill="1" applyBorder="1" applyAlignment="1">
      <alignment horizontal="center" vertical="center"/>
    </xf>
    <xf numFmtId="43" fontId="7" fillId="5" borderId="8" xfId="4" applyFont="1" applyFill="1" applyBorder="1" applyAlignment="1">
      <alignment horizontal="center" vertical="center" wrapText="1"/>
    </xf>
    <xf numFmtId="43" fontId="7" fillId="5" borderId="14" xfId="4" applyFont="1" applyFill="1" applyBorder="1" applyAlignment="1">
      <alignment horizontal="center" vertical="center" wrapText="1"/>
    </xf>
    <xf numFmtId="0" fontId="7" fillId="5" borderId="8"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14" fontId="7" fillId="0" borderId="8" xfId="0" applyNumberFormat="1" applyFont="1" applyBorder="1" applyAlignment="1">
      <alignment horizontal="center" vertical="center"/>
    </xf>
    <xf numFmtId="14" fontId="7" fillId="0" borderId="14" xfId="0" applyNumberFormat="1" applyFont="1" applyBorder="1" applyAlignment="1">
      <alignment horizontal="center" vertical="center"/>
    </xf>
    <xf numFmtId="14" fontId="7" fillId="0" borderId="6" xfId="0" applyNumberFormat="1" applyFont="1" applyBorder="1" applyAlignment="1">
      <alignment horizontal="center" vertical="center"/>
    </xf>
    <xf numFmtId="14" fontId="7" fillId="0" borderId="15" xfId="0" applyNumberFormat="1" applyFont="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186" fontId="7" fillId="5" borderId="8" xfId="13" applyNumberFormat="1" applyFont="1" applyFill="1" applyBorder="1" applyAlignment="1">
      <alignment horizontal="center" vertical="center"/>
    </xf>
    <xf numFmtId="186" fontId="7" fillId="5" borderId="14" xfId="13" applyNumberFormat="1" applyFont="1" applyFill="1" applyBorder="1" applyAlignment="1">
      <alignment horizontal="center" vertical="center"/>
    </xf>
    <xf numFmtId="49" fontId="7" fillId="5" borderId="8" xfId="0" applyNumberFormat="1" applyFont="1" applyFill="1" applyBorder="1" applyAlignment="1">
      <alignment horizontal="justify" vertical="center" wrapText="1"/>
    </xf>
    <xf numFmtId="49" fontId="7" fillId="5" borderId="17" xfId="0" applyNumberFormat="1" applyFont="1" applyFill="1" applyBorder="1" applyAlignment="1">
      <alignment horizontal="justify" vertical="center" wrapText="1"/>
    </xf>
    <xf numFmtId="189" fontId="8" fillId="5" borderId="8" xfId="0" applyNumberFormat="1" applyFont="1" applyFill="1" applyBorder="1" applyAlignment="1">
      <alignment horizontal="center" vertical="center"/>
    </xf>
    <xf numFmtId="189" fontId="8" fillId="5" borderId="17" xfId="0" applyNumberFormat="1" applyFont="1" applyFill="1" applyBorder="1" applyAlignment="1">
      <alignment horizontal="center" vertical="center"/>
    </xf>
    <xf numFmtId="0" fontId="6" fillId="0" borderId="8" xfId="0" applyFont="1" applyBorder="1" applyAlignment="1">
      <alignment horizontal="justify" vertical="center" wrapText="1"/>
    </xf>
    <xf numFmtId="0" fontId="7" fillId="2" borderId="8" xfId="0" applyFont="1" applyFill="1" applyBorder="1" applyAlignment="1">
      <alignment horizontal="justify" vertical="center" wrapText="1"/>
    </xf>
    <xf numFmtId="0" fontId="7" fillId="2" borderId="17" xfId="0" applyFont="1" applyFill="1" applyBorder="1" applyAlignment="1">
      <alignment horizontal="justify" vertical="center" wrapText="1"/>
    </xf>
    <xf numFmtId="1" fontId="7" fillId="5" borderId="1" xfId="14" applyNumberFormat="1" applyFont="1" applyFill="1" applyBorder="1" applyAlignment="1">
      <alignment horizontal="center" vertical="center" wrapText="1"/>
    </xf>
    <xf numFmtId="175" fontId="7" fillId="0" borderId="14" xfId="0" applyNumberFormat="1" applyFont="1" applyBorder="1" applyAlignment="1">
      <alignment horizontal="center" vertical="center"/>
    </xf>
    <xf numFmtId="175" fontId="7" fillId="0" borderId="17" xfId="0" applyNumberFormat="1" applyFont="1" applyBorder="1" applyAlignment="1">
      <alignment horizontal="center" vertical="center"/>
    </xf>
    <xf numFmtId="0" fontId="7" fillId="5" borderId="17" xfId="0" applyFont="1" applyFill="1" applyBorder="1" applyAlignment="1">
      <alignment horizontal="center"/>
    </xf>
    <xf numFmtId="0" fontId="7" fillId="5" borderId="1" xfId="15" applyNumberFormat="1" applyFont="1" applyFill="1" applyBorder="1" applyAlignment="1">
      <alignment horizontal="justify" vertical="center" wrapText="1"/>
    </xf>
    <xf numFmtId="0" fontId="7" fillId="5" borderId="8" xfId="15" applyNumberFormat="1" applyFont="1" applyFill="1" applyBorder="1" applyAlignment="1">
      <alignment horizontal="justify" vertical="center" wrapText="1"/>
    </xf>
    <xf numFmtId="0" fontId="7" fillId="5" borderId="14" xfId="15" applyNumberFormat="1" applyFont="1" applyFill="1" applyBorder="1" applyAlignment="1">
      <alignment horizontal="justify" vertical="center" wrapText="1"/>
    </xf>
    <xf numFmtId="0" fontId="7" fillId="5" borderId="17" xfId="15" applyNumberFormat="1" applyFont="1" applyFill="1" applyBorder="1" applyAlignment="1">
      <alignment horizontal="justify" vertical="center" wrapText="1"/>
    </xf>
    <xf numFmtId="14" fontId="7" fillId="0" borderId="8"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14" fontId="7" fillId="0" borderId="17"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7" fillId="5" borderId="8" xfId="0" applyNumberFormat="1" applyFont="1" applyFill="1" applyBorder="1" applyAlignment="1">
      <alignment horizontal="center" vertical="center"/>
    </xf>
    <xf numFmtId="3" fontId="7" fillId="5" borderId="14" xfId="0" applyNumberFormat="1" applyFont="1" applyFill="1" applyBorder="1" applyAlignment="1">
      <alignment horizontal="center" vertical="center"/>
    </xf>
    <xf numFmtId="3" fontId="7" fillId="5" borderId="17" xfId="0" applyNumberFormat="1" applyFont="1" applyFill="1" applyBorder="1" applyAlignment="1">
      <alignment horizontal="center" vertical="center"/>
    </xf>
    <xf numFmtId="0" fontId="6" fillId="0" borderId="26"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14" fillId="5" borderId="8"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NumberFormat="1"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10" fontId="7" fillId="0" borderId="1" xfId="5" applyNumberFormat="1" applyFont="1" applyFill="1" applyBorder="1" applyAlignment="1">
      <alignment horizontal="center" vertical="center"/>
    </xf>
    <xf numFmtId="0" fontId="14" fillId="5" borderId="8" xfId="0" applyFont="1" applyFill="1" applyBorder="1" applyAlignment="1">
      <alignment horizontal="center" vertical="center"/>
    </xf>
    <xf numFmtId="0" fontId="14" fillId="5" borderId="14" xfId="0" applyFont="1" applyFill="1" applyBorder="1" applyAlignment="1">
      <alignment horizontal="center" vertical="center"/>
    </xf>
    <xf numFmtId="2" fontId="12" fillId="14" borderId="17" xfId="0" applyNumberFormat="1" applyFont="1" applyFill="1" applyBorder="1" applyAlignment="1">
      <alignment horizontal="center" vertical="center" wrapText="1"/>
    </xf>
    <xf numFmtId="2" fontId="12" fillId="14" borderId="1"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2" fontId="12" fillId="14" borderId="14" xfId="0" applyNumberFormat="1" applyFont="1" applyFill="1" applyBorder="1" applyAlignment="1">
      <alignment horizontal="center" vertical="center" wrapText="1"/>
    </xf>
    <xf numFmtId="2" fontId="7" fillId="0" borderId="14" xfId="0" applyNumberFormat="1" applyFont="1" applyBorder="1" applyAlignment="1">
      <alignment horizontal="center" vertical="center"/>
    </xf>
    <xf numFmtId="2" fontId="7" fillId="0" borderId="17" xfId="0" applyNumberFormat="1" applyFont="1" applyBorder="1" applyAlignment="1">
      <alignment horizontal="center" vertical="center"/>
    </xf>
    <xf numFmtId="3" fontId="7" fillId="0" borderId="14"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2" fontId="7" fillId="0" borderId="15"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2" fontId="7" fillId="0" borderId="6" xfId="0" applyNumberFormat="1" applyFont="1" applyBorder="1" applyAlignment="1">
      <alignment horizontal="center" vertical="center"/>
    </xf>
    <xf numFmtId="2" fontId="12" fillId="14" borderId="14" xfId="0" applyNumberFormat="1" applyFont="1" applyFill="1" applyBorder="1" applyAlignment="1">
      <alignment horizontal="center" vertical="center"/>
    </xf>
    <xf numFmtId="2" fontId="12" fillId="14" borderId="17" xfId="0" applyNumberFormat="1" applyFont="1" applyFill="1" applyBorder="1" applyAlignment="1">
      <alignment horizontal="center" vertical="center"/>
    </xf>
    <xf numFmtId="0" fontId="9" fillId="0" borderId="0" xfId="16" applyFont="1" applyBorder="1" applyAlignment="1">
      <alignment horizontal="center" vertical="center" wrapText="1"/>
    </xf>
    <xf numFmtId="0" fontId="9" fillId="0" borderId="16" xfId="16" applyFont="1" applyBorder="1" applyAlignment="1">
      <alignment horizontal="center" vertical="center" wrapText="1"/>
    </xf>
    <xf numFmtId="0" fontId="9" fillId="0" borderId="0" xfId="0" applyFont="1" applyFill="1" applyBorder="1" applyAlignment="1">
      <alignment horizontal="center"/>
    </xf>
    <xf numFmtId="0" fontId="10" fillId="5" borderId="1" xfId="16" applyFont="1" applyFill="1" applyBorder="1" applyAlignment="1">
      <alignment horizontal="left" vertical="center" wrapText="1"/>
    </xf>
    <xf numFmtId="0" fontId="10" fillId="0" borderId="9" xfId="16" applyFont="1" applyBorder="1" applyAlignment="1">
      <alignment horizontal="center"/>
    </xf>
    <xf numFmtId="44" fontId="1" fillId="0" borderId="0" xfId="7" applyFont="1" applyFill="1" applyBorder="1" applyAlignment="1">
      <alignment horizontal="center" vertical="center"/>
    </xf>
    <xf numFmtId="170" fontId="10" fillId="5" borderId="8" xfId="16" applyNumberFormat="1" applyFont="1" applyFill="1" applyBorder="1" applyAlignment="1">
      <alignment horizontal="center" vertical="center" wrapText="1"/>
    </xf>
    <xf numFmtId="170" fontId="10" fillId="5" borderId="14" xfId="16" applyNumberFormat="1" applyFont="1" applyFill="1" applyBorder="1" applyAlignment="1">
      <alignment horizontal="center" vertical="center" wrapText="1"/>
    </xf>
    <xf numFmtId="170" fontId="10" fillId="5" borderId="17" xfId="16" applyNumberFormat="1" applyFont="1" applyFill="1" applyBorder="1" applyAlignment="1">
      <alignment horizontal="center" vertical="center" wrapText="1"/>
    </xf>
    <xf numFmtId="3" fontId="10" fillId="5" borderId="8" xfId="16" applyNumberFormat="1" applyFont="1" applyFill="1" applyBorder="1" applyAlignment="1">
      <alignment horizontal="justify" vertical="center" wrapText="1"/>
    </xf>
    <xf numFmtId="3" fontId="10" fillId="5" borderId="14" xfId="16" applyNumberFormat="1" applyFont="1" applyFill="1" applyBorder="1" applyAlignment="1">
      <alignment horizontal="justify" vertical="center" wrapText="1"/>
    </xf>
    <xf numFmtId="3" fontId="10" fillId="5" borderId="17" xfId="16" applyNumberFormat="1" applyFont="1" applyFill="1" applyBorder="1" applyAlignment="1">
      <alignment horizontal="justify" vertical="center" wrapText="1"/>
    </xf>
    <xf numFmtId="0" fontId="10" fillId="5" borderId="8" xfId="16" applyFont="1" applyFill="1" applyBorder="1" applyAlignment="1">
      <alignment horizontal="center" vertical="center" wrapText="1"/>
    </xf>
    <xf numFmtId="0" fontId="10" fillId="5" borderId="14" xfId="16" applyFont="1" applyFill="1" applyBorder="1" applyAlignment="1">
      <alignment horizontal="center" vertical="center" wrapText="1"/>
    </xf>
    <xf numFmtId="0" fontId="10" fillId="5" borderId="17" xfId="16" applyFont="1" applyFill="1" applyBorder="1" applyAlignment="1">
      <alignment horizontal="center" vertical="center" wrapText="1"/>
    </xf>
    <xf numFmtId="0" fontId="10" fillId="5" borderId="8" xfId="16" applyFont="1" applyFill="1" applyBorder="1" applyAlignment="1">
      <alignment horizontal="justify" vertical="center" wrapText="1"/>
    </xf>
    <xf numFmtId="0" fontId="10" fillId="5" borderId="14" xfId="16" applyFont="1" applyFill="1" applyBorder="1" applyAlignment="1">
      <alignment horizontal="justify" vertical="center" wrapText="1"/>
    </xf>
    <xf numFmtId="0" fontId="10" fillId="5" borderId="17" xfId="16" applyFont="1" applyFill="1" applyBorder="1" applyAlignment="1">
      <alignment horizontal="justify" vertical="center" wrapText="1"/>
    </xf>
    <xf numFmtId="9" fontId="10" fillId="5" borderId="8" xfId="5" applyFont="1" applyFill="1" applyBorder="1" applyAlignment="1">
      <alignment horizontal="center" vertical="center" wrapText="1"/>
    </xf>
    <xf numFmtId="9" fontId="10" fillId="5" borderId="14" xfId="5" applyFont="1" applyFill="1" applyBorder="1" applyAlignment="1">
      <alignment horizontal="center" vertical="center" wrapText="1"/>
    </xf>
    <xf numFmtId="9" fontId="10" fillId="5" borderId="17" xfId="5" applyFont="1" applyFill="1" applyBorder="1" applyAlignment="1">
      <alignment horizontal="center" vertical="center" wrapText="1"/>
    </xf>
    <xf numFmtId="0" fontId="10" fillId="0" borderId="8" xfId="6" applyNumberFormat="1" applyFont="1" applyFill="1" applyBorder="1" applyAlignment="1">
      <alignment horizontal="center" vertical="center" wrapText="1"/>
    </xf>
    <xf numFmtId="0" fontId="10" fillId="0" borderId="14" xfId="6" applyNumberFormat="1" applyFont="1" applyFill="1" applyBorder="1" applyAlignment="1">
      <alignment horizontal="center" vertical="center" wrapText="1"/>
    </xf>
    <xf numFmtId="0" fontId="10" fillId="0" borderId="17" xfId="6" applyNumberFormat="1" applyFont="1" applyFill="1" applyBorder="1" applyAlignment="1">
      <alignment horizontal="center" vertical="center" wrapText="1"/>
    </xf>
    <xf numFmtId="3" fontId="10" fillId="5" borderId="1" xfId="16" applyNumberFormat="1" applyFont="1" applyFill="1" applyBorder="1" applyAlignment="1">
      <alignment horizontal="justify" vertical="center" wrapText="1"/>
    </xf>
    <xf numFmtId="42" fontId="10" fillId="5" borderId="8" xfId="8" applyFont="1" applyFill="1" applyBorder="1" applyAlignment="1">
      <alignment horizontal="center" vertical="center" wrapText="1"/>
    </xf>
    <xf numFmtId="42" fontId="10" fillId="5" borderId="14" xfId="8" applyFont="1" applyFill="1" applyBorder="1" applyAlignment="1">
      <alignment horizontal="center" vertical="center" wrapText="1"/>
    </xf>
    <xf numFmtId="42" fontId="10" fillId="5" borderId="17" xfId="8" applyFont="1" applyFill="1" applyBorder="1" applyAlignment="1">
      <alignment horizontal="center" vertical="center" wrapText="1"/>
    </xf>
    <xf numFmtId="0" fontId="10" fillId="5" borderId="8" xfId="16" applyFont="1" applyFill="1" applyBorder="1" applyAlignment="1">
      <alignment horizontal="left" vertical="center" wrapText="1"/>
    </xf>
    <xf numFmtId="0" fontId="10" fillId="5" borderId="14" xfId="16" applyFont="1" applyFill="1" applyBorder="1" applyAlignment="1">
      <alignment horizontal="left" vertical="center" wrapText="1"/>
    </xf>
    <xf numFmtId="0" fontId="10" fillId="5" borderId="17" xfId="16" applyFont="1" applyFill="1" applyBorder="1" applyAlignment="1">
      <alignment horizontal="left" vertical="center" wrapText="1"/>
    </xf>
    <xf numFmtId="1" fontId="10" fillId="5" borderId="8" xfId="16" applyNumberFormat="1" applyFont="1" applyFill="1" applyBorder="1" applyAlignment="1">
      <alignment horizontal="center" vertical="center"/>
    </xf>
    <xf numFmtId="1" fontId="10" fillId="5" borderId="14" xfId="16" applyNumberFormat="1" applyFont="1" applyFill="1" applyBorder="1" applyAlignment="1">
      <alignment horizontal="center" vertical="center"/>
    </xf>
    <xf numFmtId="1" fontId="10" fillId="5" borderId="17" xfId="16" applyNumberFormat="1" applyFont="1" applyFill="1" applyBorder="1" applyAlignment="1">
      <alignment horizontal="center" vertical="center"/>
    </xf>
    <xf numFmtId="14" fontId="10" fillId="0" borderId="1" xfId="6"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0" fillId="0" borderId="8" xfId="16" applyFont="1" applyFill="1" applyBorder="1" applyAlignment="1">
      <alignment horizontal="justify" vertical="center" wrapText="1"/>
    </xf>
    <xf numFmtId="0" fontId="10" fillId="0" borderId="14" xfId="16" applyFont="1" applyFill="1" applyBorder="1" applyAlignment="1">
      <alignment horizontal="justify" vertical="center" wrapText="1"/>
    </xf>
    <xf numFmtId="0" fontId="10" fillId="0" borderId="1" xfId="16" applyFont="1" applyFill="1" applyBorder="1" applyAlignment="1">
      <alignment horizontal="justify" vertical="center" wrapText="1"/>
    </xf>
    <xf numFmtId="0" fontId="10" fillId="0" borderId="8" xfId="16" applyFont="1" applyFill="1" applyBorder="1" applyAlignment="1">
      <alignment horizontal="center" vertical="center" wrapText="1"/>
    </xf>
    <xf numFmtId="0" fontId="10" fillId="0" borderId="14" xfId="16" applyFont="1" applyFill="1" applyBorder="1" applyAlignment="1">
      <alignment horizontal="center" vertical="center" wrapText="1"/>
    </xf>
    <xf numFmtId="0" fontId="10" fillId="0" borderId="17" xfId="16" applyFont="1" applyFill="1" applyBorder="1" applyAlignment="1">
      <alignment horizontal="center" vertical="center" wrapText="1"/>
    </xf>
    <xf numFmtId="1" fontId="10" fillId="5" borderId="1" xfId="16" applyNumberFormat="1" applyFont="1" applyFill="1" applyBorder="1" applyAlignment="1">
      <alignment horizontal="center" vertical="center" wrapText="1"/>
    </xf>
    <xf numFmtId="0" fontId="10" fillId="5" borderId="9" xfId="16" applyFont="1" applyFill="1" applyBorder="1" applyAlignment="1">
      <alignment horizontal="center" vertical="center" wrapText="1"/>
    </xf>
    <xf numFmtId="0" fontId="10" fillId="5" borderId="0" xfId="16" applyFont="1" applyFill="1" applyBorder="1" applyAlignment="1">
      <alignment horizontal="center" vertical="center" wrapText="1"/>
    </xf>
    <xf numFmtId="0" fontId="10" fillId="0" borderId="17" xfId="16" applyFont="1" applyFill="1" applyBorder="1" applyAlignment="1">
      <alignment horizontal="justify" vertical="center" wrapText="1"/>
    </xf>
    <xf numFmtId="9" fontId="10" fillId="0" borderId="1" xfId="5" applyFont="1" applyFill="1" applyBorder="1" applyAlignment="1">
      <alignment horizontal="center" vertical="center" wrapText="1"/>
    </xf>
    <xf numFmtId="42" fontId="10" fillId="0" borderId="1" xfId="8" applyFont="1" applyFill="1" applyBorder="1" applyAlignment="1">
      <alignment horizontal="center" vertical="center" wrapText="1"/>
    </xf>
    <xf numFmtId="1" fontId="10" fillId="5" borderId="8" xfId="16" applyNumberFormat="1" applyFont="1" applyFill="1" applyBorder="1" applyAlignment="1">
      <alignment horizontal="center" vertical="center" wrapText="1"/>
    </xf>
    <xf numFmtId="1" fontId="10" fillId="5" borderId="14" xfId="16" applyNumberFormat="1" applyFont="1" applyFill="1" applyBorder="1" applyAlignment="1">
      <alignment horizontal="center" vertical="center" wrapText="1"/>
    </xf>
    <xf numFmtId="1" fontId="10" fillId="5" borderId="17" xfId="16" applyNumberFormat="1" applyFont="1" applyFill="1" applyBorder="1" applyAlignment="1">
      <alignment horizontal="center" vertical="center" wrapText="1"/>
    </xf>
    <xf numFmtId="170" fontId="10" fillId="5" borderId="1" xfId="16" applyNumberFormat="1" applyFont="1" applyFill="1" applyBorder="1" applyAlignment="1">
      <alignment horizontal="center" vertical="center" wrapText="1"/>
    </xf>
    <xf numFmtId="1" fontId="10" fillId="5" borderId="8" xfId="16" quotePrefix="1" applyNumberFormat="1" applyFont="1" applyFill="1" applyBorder="1" applyAlignment="1">
      <alignment horizontal="center" vertical="center" wrapText="1"/>
    </xf>
    <xf numFmtId="1" fontId="10" fillId="5" borderId="14" xfId="16" quotePrefix="1" applyNumberFormat="1" applyFont="1" applyFill="1" applyBorder="1" applyAlignment="1">
      <alignment horizontal="center" vertical="center" wrapText="1"/>
    </xf>
    <xf numFmtId="1" fontId="10" fillId="5" borderId="17" xfId="16" quotePrefix="1" applyNumberFormat="1" applyFont="1" applyFill="1" applyBorder="1" applyAlignment="1">
      <alignment horizontal="center" vertical="center" wrapText="1"/>
    </xf>
    <xf numFmtId="175" fontId="9" fillId="12" borderId="3" xfId="6" applyNumberFormat="1" applyFont="1" applyFill="1" applyBorder="1" applyAlignment="1">
      <alignment horizontal="center" vertical="center" textRotation="180" wrapText="1"/>
    </xf>
    <xf numFmtId="175" fontId="9" fillId="12" borderId="4" xfId="6" applyNumberFormat="1" applyFont="1" applyFill="1" applyBorder="1" applyAlignment="1">
      <alignment horizontal="center" vertical="center" textRotation="180" wrapText="1"/>
    </xf>
    <xf numFmtId="175" fontId="9" fillId="12" borderId="5" xfId="6" applyNumberFormat="1" applyFont="1" applyFill="1" applyBorder="1" applyAlignment="1">
      <alignment horizontal="center" vertical="center" textRotation="180" wrapText="1"/>
    </xf>
    <xf numFmtId="0" fontId="10" fillId="5" borderId="1" xfId="16" quotePrefix="1" applyFont="1" applyFill="1" applyBorder="1" applyAlignment="1">
      <alignment horizontal="left" vertical="center" wrapText="1"/>
    </xf>
    <xf numFmtId="164" fontId="10" fillId="0" borderId="8" xfId="18" applyFont="1" applyFill="1" applyBorder="1" applyAlignment="1">
      <alignment horizontal="center" vertical="center" wrapText="1"/>
    </xf>
    <xf numFmtId="164" fontId="10" fillId="0" borderId="17" xfId="18" applyFont="1" applyFill="1" applyBorder="1" applyAlignment="1">
      <alignment horizontal="center" vertical="center" wrapText="1"/>
    </xf>
    <xf numFmtId="0" fontId="10" fillId="5" borderId="1" xfId="16" applyFont="1" applyFill="1" applyBorder="1" applyAlignment="1">
      <alignment horizontal="center" vertical="center" wrapText="1"/>
    </xf>
    <xf numFmtId="0" fontId="10" fillId="5" borderId="1" xfId="16" applyFont="1" applyFill="1" applyBorder="1" applyAlignment="1">
      <alignment horizontal="justify" vertical="center" wrapText="1"/>
    </xf>
    <xf numFmtId="10" fontId="10" fillId="5" borderId="8" xfId="5" applyNumberFormat="1" applyFont="1" applyFill="1" applyBorder="1" applyAlignment="1">
      <alignment horizontal="center" vertical="center" wrapText="1"/>
    </xf>
    <xf numFmtId="10" fontId="10" fillId="5" borderId="17" xfId="5" applyNumberFormat="1" applyFont="1" applyFill="1" applyBorder="1" applyAlignment="1">
      <alignment horizontal="center" vertical="center" wrapText="1"/>
    </xf>
    <xf numFmtId="0" fontId="10" fillId="5" borderId="8" xfId="6" applyNumberFormat="1" applyFont="1" applyFill="1" applyBorder="1" applyAlignment="1">
      <alignment horizontal="center" vertical="center" wrapText="1"/>
    </xf>
    <xf numFmtId="0" fontId="10" fillId="5" borderId="14" xfId="6" applyNumberFormat="1" applyFont="1" applyFill="1" applyBorder="1" applyAlignment="1">
      <alignment horizontal="center" vertical="center" wrapText="1"/>
    </xf>
    <xf numFmtId="0" fontId="10" fillId="5" borderId="17" xfId="6" applyNumberFormat="1" applyFont="1" applyFill="1" applyBorder="1" applyAlignment="1">
      <alignment horizontal="center" vertical="center" wrapText="1"/>
    </xf>
    <xf numFmtId="0" fontId="10" fillId="0" borderId="8" xfId="16" applyFont="1" applyFill="1" applyBorder="1" applyAlignment="1">
      <alignment horizontal="center" vertical="center"/>
    </xf>
    <xf numFmtId="0" fontId="10" fillId="0" borderId="17" xfId="16" applyFont="1" applyFill="1" applyBorder="1" applyAlignment="1">
      <alignment horizontal="center" vertical="center"/>
    </xf>
    <xf numFmtId="0" fontId="10" fillId="5" borderId="8" xfId="16" applyFont="1" applyFill="1" applyBorder="1" applyAlignment="1">
      <alignment horizontal="center" vertical="center"/>
    </xf>
    <xf numFmtId="0" fontId="10" fillId="5" borderId="14" xfId="16" applyFont="1" applyFill="1" applyBorder="1" applyAlignment="1">
      <alignment horizontal="center" vertical="center"/>
    </xf>
    <xf numFmtId="42" fontId="10" fillId="5" borderId="8" xfId="8" applyNumberFormat="1" applyFont="1" applyFill="1" applyBorder="1" applyAlignment="1">
      <alignment horizontal="center" vertical="center" wrapText="1"/>
    </xf>
    <xf numFmtId="42" fontId="10" fillId="5" borderId="14" xfId="8" applyNumberFormat="1" applyFont="1" applyFill="1" applyBorder="1" applyAlignment="1">
      <alignment horizontal="center" vertical="center" wrapText="1"/>
    </xf>
    <xf numFmtId="37" fontId="10" fillId="5" borderId="8" xfId="8" applyNumberFormat="1" applyFont="1" applyFill="1" applyBorder="1" applyAlignment="1">
      <alignment horizontal="center" vertical="center" wrapText="1"/>
    </xf>
    <xf numFmtId="37" fontId="10" fillId="5" borderId="14" xfId="8" applyNumberFormat="1" applyFont="1" applyFill="1" applyBorder="1" applyAlignment="1">
      <alignment horizontal="center" vertical="center" wrapText="1"/>
    </xf>
    <xf numFmtId="0" fontId="9" fillId="0" borderId="9" xfId="16" applyFont="1" applyFill="1" applyBorder="1" applyAlignment="1">
      <alignment horizontal="center" vertical="center" wrapText="1"/>
    </xf>
    <xf numFmtId="0" fontId="9" fillId="0" borderId="7" xfId="16" applyFont="1" applyFill="1" applyBorder="1" applyAlignment="1">
      <alignment horizontal="center" vertical="center" wrapText="1"/>
    </xf>
    <xf numFmtId="0" fontId="9" fillId="0" borderId="0" xfId="16" applyFont="1" applyFill="1" applyBorder="1" applyAlignment="1">
      <alignment horizontal="center" vertical="center" wrapText="1"/>
    </xf>
    <xf numFmtId="0" fontId="9" fillId="0" borderId="16" xfId="16" applyFont="1" applyFill="1" applyBorder="1" applyAlignment="1">
      <alignment horizontal="center" vertical="center" wrapText="1"/>
    </xf>
    <xf numFmtId="0" fontId="9" fillId="0" borderId="2" xfId="16" applyFont="1" applyFill="1" applyBorder="1" applyAlignment="1">
      <alignment horizontal="center" vertical="center" wrapText="1"/>
    </xf>
    <xf numFmtId="0" fontId="9" fillId="0" borderId="13" xfId="16" applyFont="1" applyFill="1" applyBorder="1" applyAlignment="1">
      <alignment horizontal="center" vertical="center" wrapText="1"/>
    </xf>
    <xf numFmtId="42" fontId="10" fillId="5" borderId="1" xfId="8" applyNumberFormat="1" applyFont="1" applyFill="1" applyBorder="1" applyAlignment="1">
      <alignment horizontal="center" vertical="center" wrapText="1"/>
    </xf>
    <xf numFmtId="164" fontId="10" fillId="0" borderId="1" xfId="18" applyFont="1" applyFill="1" applyBorder="1" applyAlignment="1">
      <alignment horizontal="center" vertical="center" wrapText="1"/>
    </xf>
    <xf numFmtId="0" fontId="10" fillId="0" borderId="8" xfId="6" applyNumberFormat="1" applyFont="1" applyFill="1" applyBorder="1" applyAlignment="1">
      <alignment horizontal="center" vertical="center" textRotation="91" wrapText="1"/>
    </xf>
    <xf numFmtId="0" fontId="10" fillId="0" borderId="14" xfId="6" applyNumberFormat="1" applyFont="1" applyFill="1" applyBorder="1" applyAlignment="1">
      <alignment horizontal="center" vertical="center" textRotation="91" wrapText="1"/>
    </xf>
    <xf numFmtId="0" fontId="10" fillId="0" borderId="17" xfId="6" applyNumberFormat="1" applyFont="1" applyFill="1" applyBorder="1" applyAlignment="1">
      <alignment horizontal="center" vertical="center" textRotation="91" wrapText="1"/>
    </xf>
    <xf numFmtId="49" fontId="10" fillId="0" borderId="8" xfId="19" applyNumberFormat="1" applyFont="1" applyFill="1" applyBorder="1" applyAlignment="1">
      <alignment horizontal="justify" vertical="center" wrapText="1"/>
    </xf>
    <xf numFmtId="49" fontId="10" fillId="0" borderId="17" xfId="19" applyNumberFormat="1" applyFont="1" applyFill="1" applyBorder="1" applyAlignment="1">
      <alignment horizontal="justify" vertical="center" wrapText="1"/>
    </xf>
    <xf numFmtId="190" fontId="10" fillId="5" borderId="8" xfId="16" applyNumberFormat="1" applyFont="1" applyFill="1" applyBorder="1" applyAlignment="1">
      <alignment horizontal="center" vertical="center" wrapText="1"/>
    </xf>
    <xf numFmtId="190" fontId="10" fillId="5" borderId="14" xfId="16" applyNumberFormat="1" applyFont="1" applyFill="1" applyBorder="1" applyAlignment="1">
      <alignment horizontal="center" vertical="center" wrapText="1"/>
    </xf>
    <xf numFmtId="190" fontId="10" fillId="5" borderId="17" xfId="16" applyNumberFormat="1" applyFont="1" applyFill="1" applyBorder="1" applyAlignment="1">
      <alignment horizontal="center" vertical="center" wrapText="1"/>
    </xf>
    <xf numFmtId="175" fontId="10" fillId="0" borderId="8" xfId="6" applyNumberFormat="1" applyFont="1" applyFill="1" applyBorder="1" applyAlignment="1">
      <alignment horizontal="center" vertical="center" wrapText="1"/>
    </xf>
    <xf numFmtId="175" fontId="10" fillId="0" borderId="14" xfId="6" applyNumberFormat="1" applyFont="1" applyFill="1" applyBorder="1" applyAlignment="1">
      <alignment horizontal="center" vertical="center" wrapText="1"/>
    </xf>
    <xf numFmtId="175" fontId="10" fillId="0" borderId="17" xfId="6" applyNumberFormat="1" applyFont="1" applyFill="1" applyBorder="1" applyAlignment="1">
      <alignment horizontal="center" vertical="center" wrapText="1"/>
    </xf>
    <xf numFmtId="49" fontId="10" fillId="0" borderId="0" xfId="19" applyNumberFormat="1" applyFont="1" applyFill="1" applyBorder="1" applyAlignment="1">
      <alignment horizontal="center" vertical="center" wrapText="1"/>
    </xf>
    <xf numFmtId="1" fontId="10" fillId="5" borderId="8" xfId="16" applyNumberFormat="1" applyFont="1" applyFill="1" applyBorder="1" applyAlignment="1">
      <alignment horizontal="justify" vertical="center" wrapText="1"/>
    </xf>
    <xf numFmtId="1" fontId="10" fillId="5" borderId="14" xfId="16" applyNumberFormat="1" applyFont="1" applyFill="1" applyBorder="1" applyAlignment="1">
      <alignment horizontal="justify" vertical="center" wrapText="1"/>
    </xf>
    <xf numFmtId="1" fontId="10" fillId="5" borderId="17" xfId="16" applyNumberFormat="1" applyFont="1" applyFill="1" applyBorder="1" applyAlignment="1">
      <alignment horizontal="justify" vertical="center" wrapText="1"/>
    </xf>
    <xf numFmtId="37" fontId="10" fillId="0" borderId="8" xfId="6" applyNumberFormat="1" applyFont="1" applyFill="1" applyBorder="1" applyAlignment="1">
      <alignment horizontal="center" vertical="center" wrapText="1"/>
    </xf>
    <xf numFmtId="37" fontId="10" fillId="0" borderId="14" xfId="6" applyNumberFormat="1" applyFont="1" applyFill="1" applyBorder="1" applyAlignment="1">
      <alignment horizontal="center" vertical="center" wrapText="1"/>
    </xf>
    <xf numFmtId="37" fontId="10" fillId="0" borderId="17" xfId="6" applyNumberFormat="1" applyFont="1" applyFill="1" applyBorder="1" applyAlignment="1">
      <alignment horizontal="center" vertical="center" wrapText="1"/>
    </xf>
    <xf numFmtId="170" fontId="10" fillId="0" borderId="8" xfId="16" applyNumberFormat="1" applyFont="1" applyFill="1" applyBorder="1" applyAlignment="1">
      <alignment horizontal="center" vertical="center" wrapText="1"/>
    </xf>
    <xf numFmtId="170" fontId="10" fillId="0" borderId="14" xfId="16" applyNumberFormat="1" applyFont="1" applyFill="1" applyBorder="1" applyAlignment="1">
      <alignment horizontal="center" vertical="center" wrapText="1"/>
    </xf>
    <xf numFmtId="3" fontId="10" fillId="0" borderId="8" xfId="16" applyNumberFormat="1" applyFont="1" applyFill="1" applyBorder="1" applyAlignment="1">
      <alignment horizontal="justify" vertical="center" wrapText="1"/>
    </xf>
    <xf numFmtId="3" fontId="10" fillId="0" borderId="14" xfId="16" applyNumberFormat="1" applyFont="1" applyFill="1" applyBorder="1" applyAlignment="1">
      <alignment horizontal="justify" vertical="center" wrapText="1"/>
    </xf>
    <xf numFmtId="170" fontId="10" fillId="0" borderId="1" xfId="16" applyNumberFormat="1" applyFont="1" applyFill="1" applyBorder="1" applyAlignment="1">
      <alignment horizontal="center" vertical="center" wrapText="1"/>
    </xf>
    <xf numFmtId="3" fontId="10" fillId="0" borderId="1" xfId="16" applyNumberFormat="1" applyFont="1" applyFill="1" applyBorder="1" applyAlignment="1">
      <alignment horizontal="justify" vertical="center" wrapText="1"/>
    </xf>
    <xf numFmtId="175" fontId="10" fillId="0" borderId="8" xfId="6" applyNumberFormat="1" applyFont="1" applyFill="1" applyBorder="1" applyAlignment="1">
      <alignment vertical="center" wrapText="1"/>
    </xf>
    <xf numFmtId="175" fontId="10" fillId="0" borderId="14" xfId="6" applyNumberFormat="1" applyFont="1" applyFill="1" applyBorder="1" applyAlignment="1">
      <alignment vertical="center" wrapText="1"/>
    </xf>
    <xf numFmtId="175" fontId="10" fillId="0" borderId="17" xfId="6" applyNumberFormat="1" applyFont="1" applyFill="1" applyBorder="1" applyAlignment="1">
      <alignment vertical="center" wrapText="1"/>
    </xf>
    <xf numFmtId="9" fontId="10" fillId="0" borderId="8" xfId="5" applyFont="1" applyFill="1" applyBorder="1" applyAlignment="1">
      <alignment horizontal="center" vertical="center" wrapText="1"/>
    </xf>
    <xf numFmtId="9" fontId="10" fillId="0" borderId="14" xfId="5" applyFont="1" applyFill="1" applyBorder="1" applyAlignment="1">
      <alignment horizontal="center" vertical="center" wrapText="1"/>
    </xf>
    <xf numFmtId="9" fontId="10" fillId="0" borderId="17" xfId="5" applyFont="1" applyFill="1" applyBorder="1" applyAlignment="1">
      <alignment horizontal="center" vertical="center" wrapText="1"/>
    </xf>
    <xf numFmtId="42" fontId="10" fillId="0" borderId="8" xfId="8" applyFont="1" applyFill="1" applyBorder="1" applyAlignment="1">
      <alignment horizontal="center" vertical="center" wrapText="1"/>
    </xf>
    <xf numFmtId="42" fontId="10" fillId="0" borderId="14" xfId="8" applyFont="1" applyFill="1" applyBorder="1" applyAlignment="1">
      <alignment horizontal="center" vertical="center" wrapText="1"/>
    </xf>
    <xf numFmtId="42" fontId="10" fillId="0" borderId="17" xfId="8" applyFont="1" applyFill="1" applyBorder="1" applyAlignment="1">
      <alignment horizontal="center" vertical="center" wrapText="1"/>
    </xf>
    <xf numFmtId="0" fontId="10" fillId="0" borderId="1" xfId="16" applyFont="1" applyFill="1" applyBorder="1" applyAlignment="1">
      <alignment horizontal="center" vertical="center"/>
    </xf>
    <xf numFmtId="0" fontId="1" fillId="0" borderId="1" xfId="0" applyFont="1" applyFill="1" applyBorder="1" applyAlignment="1">
      <alignment horizontal="center" vertical="center"/>
    </xf>
    <xf numFmtId="9" fontId="10" fillId="5" borderId="8" xfId="5" applyNumberFormat="1" applyFont="1" applyFill="1" applyBorder="1" applyAlignment="1">
      <alignment horizontal="center" vertical="center" wrapText="1"/>
    </xf>
    <xf numFmtId="9" fontId="10" fillId="5" borderId="17" xfId="5" applyNumberFormat="1" applyFont="1" applyFill="1" applyBorder="1" applyAlignment="1">
      <alignment horizontal="center" vertical="center" wrapText="1"/>
    </xf>
    <xf numFmtId="0" fontId="10" fillId="0" borderId="6" xfId="16" applyFont="1" applyFill="1" applyBorder="1" applyAlignment="1">
      <alignment horizontal="center" vertical="center"/>
    </xf>
    <xf numFmtId="0" fontId="10" fillId="0" borderId="15" xfId="16" applyFont="1" applyFill="1" applyBorder="1" applyAlignment="1">
      <alignment horizontal="center" vertical="center"/>
    </xf>
    <xf numFmtId="0" fontId="10" fillId="0" borderId="12" xfId="16" applyFont="1" applyFill="1" applyBorder="1" applyAlignment="1">
      <alignment horizontal="center" vertical="center"/>
    </xf>
    <xf numFmtId="0" fontId="9" fillId="3" borderId="8" xfId="16" applyFont="1" applyFill="1" applyBorder="1" applyAlignment="1">
      <alignment horizontal="center" vertical="center" wrapText="1"/>
    </xf>
    <xf numFmtId="0" fontId="9" fillId="3" borderId="14" xfId="16" applyFont="1" applyFill="1" applyBorder="1" applyAlignment="1">
      <alignment horizontal="center" vertical="center" wrapText="1"/>
    </xf>
    <xf numFmtId="0" fontId="9" fillId="3" borderId="17" xfId="16" applyFont="1" applyFill="1" applyBorder="1" applyAlignment="1">
      <alignment horizontal="center" vertical="center" wrapText="1"/>
    </xf>
    <xf numFmtId="175" fontId="9" fillId="4" borderId="8" xfId="6" applyNumberFormat="1" applyFont="1" applyFill="1" applyBorder="1" applyAlignment="1">
      <alignment horizontal="center" vertical="center" textRotation="180" wrapText="1"/>
    </xf>
    <xf numFmtId="175" fontId="9" fillId="4" borderId="14" xfId="6" applyNumberFormat="1" applyFont="1" applyFill="1" applyBorder="1" applyAlignment="1">
      <alignment horizontal="center" vertical="center" textRotation="180" wrapText="1"/>
    </xf>
    <xf numFmtId="175" fontId="9" fillId="4" borderId="17" xfId="6" applyNumberFormat="1" applyFont="1" applyFill="1" applyBorder="1" applyAlignment="1">
      <alignment horizontal="center" vertical="center" textRotation="180" wrapText="1"/>
    </xf>
    <xf numFmtId="3" fontId="9" fillId="3" borderId="1" xfId="16" applyNumberFormat="1" applyFont="1" applyFill="1" applyBorder="1" applyAlignment="1">
      <alignment horizontal="center" vertical="center" wrapText="1"/>
    </xf>
    <xf numFmtId="0" fontId="9" fillId="3" borderId="1" xfId="16" applyFont="1" applyFill="1" applyBorder="1" applyAlignment="1">
      <alignment horizontal="center" vertical="center" wrapText="1"/>
    </xf>
    <xf numFmtId="175" fontId="9" fillId="4" borderId="3" xfId="6" applyNumberFormat="1" applyFont="1" applyFill="1" applyBorder="1" applyAlignment="1">
      <alignment horizontal="center" vertical="center"/>
    </xf>
    <xf numFmtId="175" fontId="9" fillId="4" borderId="4" xfId="6" applyNumberFormat="1" applyFont="1" applyFill="1" applyBorder="1" applyAlignment="1">
      <alignment horizontal="center" vertical="center"/>
    </xf>
    <xf numFmtId="0" fontId="10" fillId="0" borderId="6" xfId="16" applyFont="1" applyFill="1" applyBorder="1" applyAlignment="1">
      <alignment horizontal="center"/>
    </xf>
    <xf numFmtId="0" fontId="10" fillId="0" borderId="9" xfId="16" applyFont="1" applyFill="1" applyBorder="1" applyAlignment="1">
      <alignment horizontal="center"/>
    </xf>
    <xf numFmtId="0" fontId="10" fillId="0" borderId="7" xfId="16" applyFont="1" applyFill="1" applyBorder="1" applyAlignment="1">
      <alignment horizontal="center"/>
    </xf>
    <xf numFmtId="164" fontId="10" fillId="5" borderId="8" xfId="16" applyNumberFormat="1" applyFont="1" applyFill="1" applyBorder="1" applyAlignment="1">
      <alignment horizontal="center" vertical="center" wrapText="1"/>
    </xf>
    <xf numFmtId="164" fontId="10" fillId="5" borderId="14" xfId="16" applyNumberFormat="1" applyFont="1" applyFill="1" applyBorder="1" applyAlignment="1">
      <alignment horizontal="center" vertical="center" wrapText="1"/>
    </xf>
    <xf numFmtId="164" fontId="10" fillId="5" borderId="17" xfId="16" applyNumberFormat="1" applyFont="1" applyFill="1" applyBorder="1" applyAlignment="1">
      <alignment horizontal="center" vertical="center" wrapText="1"/>
    </xf>
    <xf numFmtId="0" fontId="9" fillId="3" borderId="7" xfId="16" applyFont="1" applyFill="1" applyBorder="1" applyAlignment="1">
      <alignment horizontal="center" vertical="center" wrapText="1"/>
    </xf>
    <xf numFmtId="0" fontId="9" fillId="3" borderId="16" xfId="16" applyFont="1" applyFill="1" applyBorder="1" applyAlignment="1">
      <alignment horizontal="center" vertical="center" wrapText="1"/>
    </xf>
    <xf numFmtId="0" fontId="9" fillId="3" borderId="13" xfId="16" applyFont="1" applyFill="1" applyBorder="1" applyAlignment="1">
      <alignment horizontal="center" vertical="center" wrapText="1"/>
    </xf>
    <xf numFmtId="0" fontId="9" fillId="3" borderId="6" xfId="16" applyFont="1" applyFill="1" applyBorder="1" applyAlignment="1">
      <alignment horizontal="center" vertical="center" wrapText="1"/>
    </xf>
    <xf numFmtId="0" fontId="9" fillId="3" borderId="15" xfId="16" applyFont="1" applyFill="1" applyBorder="1" applyAlignment="1">
      <alignment horizontal="center" vertical="center" wrapText="1"/>
    </xf>
    <xf numFmtId="0" fontId="9" fillId="3" borderId="12" xfId="16" applyFont="1" applyFill="1" applyBorder="1" applyAlignment="1">
      <alignment horizontal="center" vertical="center" wrapText="1"/>
    </xf>
    <xf numFmtId="0" fontId="9" fillId="3" borderId="6" xfId="16" applyFont="1" applyFill="1" applyBorder="1" applyAlignment="1">
      <alignment horizontal="justify" vertical="center" wrapText="1"/>
    </xf>
    <xf numFmtId="0" fontId="9" fillId="3" borderId="15" xfId="16" applyFont="1" applyFill="1" applyBorder="1" applyAlignment="1">
      <alignment horizontal="justify" vertical="center" wrapText="1"/>
    </xf>
    <xf numFmtId="0" fontId="9" fillId="3" borderId="12" xfId="16" applyFont="1" applyFill="1" applyBorder="1" applyAlignment="1">
      <alignment horizontal="justify" vertical="center" wrapText="1"/>
    </xf>
    <xf numFmtId="170" fontId="9" fillId="3" borderId="8" xfId="16" applyNumberFormat="1" applyFont="1" applyFill="1" applyBorder="1" applyAlignment="1">
      <alignment horizontal="center" vertical="center" wrapText="1"/>
    </xf>
    <xf numFmtId="170" fontId="9" fillId="3" borderId="14" xfId="16" applyNumberFormat="1" applyFont="1" applyFill="1" applyBorder="1" applyAlignment="1">
      <alignment horizontal="center" vertical="center" wrapText="1"/>
    </xf>
    <xf numFmtId="170" fontId="9" fillId="3" borderId="17" xfId="16" applyNumberFormat="1" applyFont="1" applyFill="1" applyBorder="1" applyAlignment="1">
      <alignment horizontal="center" vertical="center" wrapText="1"/>
    </xf>
    <xf numFmtId="0" fontId="9" fillId="0" borderId="9" xfId="16" applyFont="1" applyBorder="1" applyAlignment="1">
      <alignment horizontal="center" vertical="center"/>
    </xf>
    <xf numFmtId="0" fontId="9" fillId="0" borderId="2" xfId="16" applyFont="1" applyBorder="1" applyAlignment="1">
      <alignment horizontal="center" vertical="center"/>
    </xf>
    <xf numFmtId="0" fontId="9" fillId="0" borderId="6" xfId="16" applyFont="1" applyBorder="1" applyAlignment="1">
      <alignment horizontal="center" vertical="center"/>
    </xf>
    <xf numFmtId="0" fontId="9" fillId="0" borderId="7" xfId="16" applyFont="1" applyBorder="1" applyAlignment="1">
      <alignment horizontal="center" vertical="center"/>
    </xf>
    <xf numFmtId="0" fontId="9" fillId="0" borderId="12" xfId="16" applyFont="1" applyBorder="1" applyAlignment="1">
      <alignment horizontal="center" vertical="center"/>
    </xf>
    <xf numFmtId="0" fontId="9" fillId="0" borderId="13" xfId="16" applyFont="1" applyBorder="1" applyAlignment="1">
      <alignment horizontal="center" vertical="center"/>
    </xf>
    <xf numFmtId="175" fontId="9" fillId="0" borderId="6" xfId="6" applyNumberFormat="1" applyFont="1" applyFill="1" applyBorder="1" applyAlignment="1">
      <alignment horizontal="center" vertical="center"/>
    </xf>
    <xf numFmtId="175" fontId="9" fillId="0" borderId="9" xfId="6" applyNumberFormat="1" applyFont="1" applyFill="1" applyBorder="1" applyAlignment="1">
      <alignment horizontal="center" vertical="center"/>
    </xf>
    <xf numFmtId="175" fontId="9" fillId="0" borderId="7" xfId="6" applyNumberFormat="1" applyFont="1" applyFill="1" applyBorder="1" applyAlignment="1">
      <alignment horizontal="center" vertical="center"/>
    </xf>
    <xf numFmtId="175" fontId="9" fillId="0" borderId="12" xfId="6" applyNumberFormat="1" applyFont="1" applyFill="1" applyBorder="1" applyAlignment="1">
      <alignment horizontal="center" vertical="center"/>
    </xf>
    <xf numFmtId="175" fontId="9" fillId="0" borderId="2" xfId="6" applyNumberFormat="1" applyFont="1" applyFill="1" applyBorder="1" applyAlignment="1">
      <alignment horizontal="center" vertical="center"/>
    </xf>
    <xf numFmtId="175" fontId="9" fillId="0" borderId="13" xfId="6"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9" xfId="0" applyFont="1" applyBorder="1" applyAlignment="1"/>
    <xf numFmtId="0" fontId="10" fillId="0" borderId="7" xfId="0" applyFont="1" applyBorder="1" applyAlignment="1"/>
    <xf numFmtId="0" fontId="10" fillId="0" borderId="1" xfId="0" applyFont="1" applyBorder="1" applyAlignment="1">
      <alignment horizont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3" fontId="10" fillId="0" borderId="1" xfId="0" applyNumberFormat="1"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10" fillId="0" borderId="9" xfId="0"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center"/>
    </xf>
    <xf numFmtId="0" fontId="10" fillId="0" borderId="16" xfId="0" applyFont="1" applyFill="1" applyBorder="1" applyAlignment="1">
      <alignment horizontal="center"/>
    </xf>
    <xf numFmtId="0" fontId="9" fillId="1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10" fillId="0" borderId="1" xfId="0" applyFont="1" applyFill="1" applyBorder="1" applyAlignment="1">
      <alignment horizontal="justify" vertical="center" wrapText="1" readingOrder="2"/>
    </xf>
    <xf numFmtId="0" fontId="10" fillId="0" borderId="8" xfId="0" applyFont="1" applyFill="1" applyBorder="1" applyAlignment="1">
      <alignment horizontal="justify" vertical="center" wrapText="1" readingOrder="2"/>
    </xf>
    <xf numFmtId="0" fontId="10" fillId="0" borderId="14" xfId="0" applyFont="1" applyFill="1" applyBorder="1" applyAlignment="1">
      <alignment horizontal="justify" vertical="center" wrapText="1" readingOrder="2"/>
    </xf>
    <xf numFmtId="0" fontId="10" fillId="0" borderId="17" xfId="0" applyFont="1" applyFill="1" applyBorder="1" applyAlignment="1">
      <alignment horizontal="justify" vertical="center" wrapText="1" readingOrder="2"/>
    </xf>
    <xf numFmtId="0" fontId="10" fillId="0" borderId="8" xfId="0" applyFont="1" applyFill="1" applyBorder="1" applyAlignment="1">
      <alignment horizontal="justify" vertical="justify" wrapText="1"/>
    </xf>
    <xf numFmtId="0" fontId="10" fillId="0" borderId="14" xfId="0" applyFont="1" applyFill="1" applyBorder="1" applyAlignment="1">
      <alignment horizontal="justify" vertical="justify" wrapText="1"/>
    </xf>
    <xf numFmtId="0" fontId="10" fillId="0" borderId="17" xfId="0" applyFont="1" applyFill="1" applyBorder="1" applyAlignment="1">
      <alignment horizontal="justify" vertical="justify" wrapText="1"/>
    </xf>
    <xf numFmtId="175" fontId="10" fillId="0" borderId="1" xfId="4" applyNumberFormat="1" applyFont="1" applyFill="1" applyBorder="1" applyAlignment="1">
      <alignment horizontal="center" vertical="center"/>
    </xf>
    <xf numFmtId="0" fontId="9" fillId="5"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1" xfId="0" applyFont="1" applyFill="1" applyBorder="1" applyAlignment="1">
      <alignment horizontal="justify" vertical="center" wrapText="1" readingOrder="1"/>
    </xf>
    <xf numFmtId="0" fontId="10" fillId="5" borderId="5" xfId="0"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 xfId="0" applyFont="1" applyFill="1" applyBorder="1" applyAlignment="1">
      <alignment wrapText="1"/>
    </xf>
    <xf numFmtId="9" fontId="10" fillId="0" borderId="8" xfId="0" applyNumberFormat="1" applyFont="1" applyFill="1" applyBorder="1" applyAlignment="1">
      <alignment horizontal="center" vertical="center" wrapText="1"/>
    </xf>
    <xf numFmtId="9" fontId="10" fillId="0" borderId="17"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0" fontId="10" fillId="0" borderId="8" xfId="0" applyFont="1" applyFill="1" applyBorder="1" applyAlignment="1">
      <alignment horizontal="justify" vertical="center" wrapText="1" readingOrder="1"/>
    </xf>
    <xf numFmtId="0" fontId="10" fillId="0" borderId="14" xfId="0" applyFont="1" applyFill="1" applyBorder="1" applyAlignment="1">
      <alignment horizontal="justify" vertical="center" wrapText="1" readingOrder="1"/>
    </xf>
    <xf numFmtId="0" fontId="10" fillId="0" borderId="17" xfId="0" applyFont="1" applyFill="1" applyBorder="1" applyAlignment="1">
      <alignment horizontal="justify" vertical="center" wrapText="1" readingOrder="1"/>
    </xf>
    <xf numFmtId="15" fontId="10" fillId="0" borderId="8" xfId="0" applyNumberFormat="1" applyFont="1" applyFill="1" applyBorder="1" applyAlignment="1">
      <alignment horizontal="center" vertical="center" wrapText="1"/>
    </xf>
    <xf numFmtId="15" fontId="10" fillId="0" borderId="17" xfId="0" applyNumberFormat="1" applyFont="1" applyFill="1" applyBorder="1" applyAlignment="1">
      <alignment horizontal="center" vertical="center" wrapText="1"/>
    </xf>
    <xf numFmtId="177" fontId="10" fillId="0" borderId="8" xfId="0" applyNumberFormat="1" applyFont="1" applyFill="1" applyBorder="1" applyAlignment="1">
      <alignment horizontal="center" vertical="center" wrapText="1"/>
    </xf>
    <xf numFmtId="177" fontId="10" fillId="0" borderId="17"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10" borderId="4" xfId="0" applyFont="1" applyFill="1" applyBorder="1" applyAlignment="1">
      <alignment horizontal="center" vertical="center"/>
    </xf>
    <xf numFmtId="0" fontId="10" fillId="9" borderId="4" xfId="0" applyFont="1" applyFill="1" applyBorder="1" applyAlignment="1">
      <alignment horizontal="center" vertical="center"/>
    </xf>
    <xf numFmtId="177" fontId="10" fillId="0" borderId="14" xfId="0" applyNumberFormat="1" applyFont="1" applyFill="1" applyBorder="1" applyAlignment="1">
      <alignment horizontal="center" vertical="center" wrapText="1"/>
    </xf>
    <xf numFmtId="0" fontId="10" fillId="0" borderId="5"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3" xfId="0" applyFont="1" applyFill="1" applyBorder="1" applyAlignment="1">
      <alignment horizontal="justify" vertical="center" wrapText="1"/>
    </xf>
    <xf numFmtId="177" fontId="10" fillId="0" borderId="1"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6" fillId="0" borderId="37" xfId="0" applyFont="1" applyBorder="1" applyAlignment="1">
      <alignment horizontal="right"/>
    </xf>
    <xf numFmtId="0" fontId="6" fillId="0" borderId="38" xfId="0" applyFont="1" applyBorder="1" applyAlignment="1">
      <alignment horizontal="right"/>
    </xf>
    <xf numFmtId="0" fontId="6" fillId="0" borderId="31" xfId="0" applyFont="1" applyBorder="1" applyAlignment="1">
      <alignment horizontal="right"/>
    </xf>
    <xf numFmtId="0" fontId="6" fillId="0" borderId="39" xfId="0" applyFont="1" applyBorder="1" applyAlignment="1">
      <alignment horizontal="right"/>
    </xf>
    <xf numFmtId="3" fontId="7" fillId="5" borderId="1" xfId="0" applyNumberFormat="1" applyFont="1" applyFill="1" applyBorder="1" applyAlignment="1">
      <alignment horizontal="center" vertical="center" wrapText="1"/>
    </xf>
    <xf numFmtId="174" fontId="7" fillId="5" borderId="5"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170" fontId="7" fillId="5" borderId="8" xfId="0" applyNumberFormat="1" applyFont="1" applyFill="1" applyBorder="1" applyAlignment="1">
      <alignment horizontal="center" vertical="center" wrapText="1"/>
    </xf>
    <xf numFmtId="170" fontId="7" fillId="5" borderId="17"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7"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170" fontId="6" fillId="3" borderId="1" xfId="2" applyNumberFormat="1" applyFont="1" applyFill="1" applyBorder="1" applyAlignment="1">
      <alignment horizontal="center" vertical="center" wrapText="1"/>
    </xf>
    <xf numFmtId="169" fontId="6" fillId="3" borderId="10" xfId="2" applyFont="1" applyFill="1" applyBorder="1" applyAlignment="1">
      <alignment horizontal="center" vertical="center"/>
    </xf>
    <xf numFmtId="169" fontId="6" fillId="3" borderId="11" xfId="2" applyFont="1" applyFill="1" applyBorder="1" applyAlignment="1">
      <alignment horizontal="center" vertical="center"/>
    </xf>
    <xf numFmtId="180" fontId="6" fillId="3" borderId="6" xfId="0" applyNumberFormat="1" applyFont="1" applyFill="1" applyBorder="1" applyAlignment="1">
      <alignment horizontal="center" vertical="center" wrapText="1"/>
    </xf>
    <xf numFmtId="180" fontId="6" fillId="3" borderId="15" xfId="0" applyNumberFormat="1" applyFont="1" applyFill="1" applyBorder="1" applyAlignment="1">
      <alignment horizontal="center" vertical="center" wrapText="1"/>
    </xf>
    <xf numFmtId="176" fontId="6" fillId="3" borderId="6" xfId="0" applyNumberFormat="1" applyFont="1" applyFill="1" applyBorder="1" applyAlignment="1">
      <alignment horizontal="center" vertical="center" wrapText="1"/>
    </xf>
    <xf numFmtId="176" fontId="6" fillId="3" borderId="15" xfId="0" applyNumberFormat="1" applyFont="1" applyFill="1" applyBorder="1" applyAlignment="1">
      <alignment horizontal="center" vertical="center" wrapText="1"/>
    </xf>
    <xf numFmtId="176" fontId="6" fillId="3" borderId="36" xfId="2" applyNumberFormat="1" applyFont="1" applyFill="1" applyBorder="1" applyAlignment="1">
      <alignment horizontal="center" vertical="center" wrapText="1"/>
    </xf>
    <xf numFmtId="176" fontId="6" fillId="3" borderId="12" xfId="2" applyNumberFormat="1" applyFont="1" applyFill="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169" fontId="6" fillId="3" borderId="36" xfId="2" applyFont="1" applyFill="1" applyBorder="1" applyAlignment="1">
      <alignment horizontal="center" vertical="center" wrapText="1"/>
    </xf>
    <xf numFmtId="0" fontId="17" fillId="0" borderId="0" xfId="22" applyFont="1" applyBorder="1" applyAlignment="1">
      <alignment horizontal="center" vertical="center" wrapText="1"/>
    </xf>
    <xf numFmtId="0" fontId="17" fillId="0" borderId="16" xfId="22" applyFont="1" applyBorder="1" applyAlignment="1">
      <alignment horizontal="center" vertical="center" wrapText="1"/>
    </xf>
    <xf numFmtId="0" fontId="9" fillId="0" borderId="1" xfId="0" applyFont="1" applyBorder="1"/>
    <xf numFmtId="0" fontId="9" fillId="0" borderId="1" xfId="0" applyFont="1" applyBorder="1" applyAlignment="1">
      <alignment horizontal="left" vertical="center"/>
    </xf>
    <xf numFmtId="0" fontId="18" fillId="0" borderId="0" xfId="22" applyFont="1"/>
    <xf numFmtId="0" fontId="9" fillId="0" borderId="1" xfId="0" applyFont="1" applyBorder="1" applyAlignment="1">
      <alignment horizontal="left"/>
    </xf>
    <xf numFmtId="49" fontId="9" fillId="0" borderId="1" xfId="0" applyNumberFormat="1" applyFont="1" applyBorder="1" applyAlignment="1">
      <alignment horizontal="left" vertical="center"/>
    </xf>
    <xf numFmtId="15" fontId="9" fillId="0" borderId="1" xfId="0" applyNumberFormat="1" applyFont="1" applyBorder="1" applyAlignment="1">
      <alignment horizontal="left" vertical="center"/>
    </xf>
    <xf numFmtId="0" fontId="17" fillId="0" borderId="2" xfId="22" applyFont="1" applyBorder="1" applyAlignment="1">
      <alignment horizontal="center" vertical="center" wrapText="1"/>
    </xf>
    <xf numFmtId="0" fontId="17" fillId="0" borderId="13" xfId="22" applyFont="1" applyBorder="1" applyAlignment="1">
      <alignment horizontal="center" vertical="center" wrapText="1"/>
    </xf>
    <xf numFmtId="0" fontId="9" fillId="0" borderId="1" xfId="0" applyFont="1" applyBorder="1" applyAlignment="1">
      <alignment vertical="center"/>
    </xf>
    <xf numFmtId="3" fontId="19" fillId="2" borderId="1" xfId="0" applyNumberFormat="1" applyFont="1" applyFill="1" applyBorder="1" applyAlignment="1">
      <alignment horizontal="left" vertical="center" wrapText="1"/>
    </xf>
    <xf numFmtId="0" fontId="17" fillId="0" borderId="9" xfId="22" applyFont="1" applyBorder="1" applyAlignment="1">
      <alignment horizontal="center" vertical="center"/>
    </xf>
    <xf numFmtId="0" fontId="17" fillId="0" borderId="6" xfId="22" applyFont="1" applyFill="1" applyBorder="1" applyAlignment="1">
      <alignment horizontal="center" vertical="center"/>
    </xf>
    <xf numFmtId="0" fontId="17" fillId="0" borderId="9" xfId="22" applyFont="1" applyFill="1" applyBorder="1" applyAlignment="1">
      <alignment horizontal="center" vertical="center"/>
    </xf>
    <xf numFmtId="0" fontId="18" fillId="0" borderId="9" xfId="22" applyFont="1" applyFill="1" applyBorder="1"/>
    <xf numFmtId="0" fontId="17" fillId="0" borderId="0" xfId="22" applyFont="1" applyBorder="1" applyAlignment="1">
      <alignment horizontal="center" vertical="center"/>
    </xf>
    <xf numFmtId="0" fontId="17" fillId="0" borderId="15" xfId="22" applyFont="1" applyFill="1" applyBorder="1" applyAlignment="1">
      <alignment horizontal="center" vertical="center"/>
    </xf>
    <xf numFmtId="0" fontId="17" fillId="0" borderId="0" xfId="22" applyFont="1" applyFill="1" applyBorder="1" applyAlignment="1">
      <alignment horizontal="center" vertical="center"/>
    </xf>
    <xf numFmtId="0" fontId="17" fillId="0" borderId="2" xfId="22" applyFont="1" applyBorder="1" applyAlignment="1">
      <alignment horizontal="center" vertical="center"/>
    </xf>
    <xf numFmtId="0" fontId="18" fillId="0" borderId="0" xfId="22" applyFont="1" applyFill="1" applyBorder="1"/>
    <xf numFmtId="0" fontId="17" fillId="0" borderId="12" xfId="22" applyFont="1" applyFill="1" applyBorder="1" applyAlignment="1">
      <alignment horizontal="center" vertical="center"/>
    </xf>
    <xf numFmtId="0" fontId="17" fillId="0" borderId="2" xfId="22" applyFont="1" applyFill="1" applyBorder="1" applyAlignment="1">
      <alignment horizontal="center" vertical="center"/>
    </xf>
    <xf numFmtId="0" fontId="6" fillId="3" borderId="3" xfId="22" applyFont="1" applyFill="1" applyBorder="1" applyAlignment="1">
      <alignment horizontal="center" vertical="center"/>
    </xf>
    <xf numFmtId="0" fontId="6" fillId="3" borderId="4" xfId="22" applyFont="1" applyFill="1" applyBorder="1" applyAlignment="1">
      <alignment horizontal="center" vertical="center"/>
    </xf>
    <xf numFmtId="0" fontId="6" fillId="3" borderId="5" xfId="22" applyFont="1" applyFill="1" applyBorder="1" applyAlignment="1">
      <alignment horizontal="center" vertical="center"/>
    </xf>
    <xf numFmtId="0" fontId="7" fillId="13" borderId="1" xfId="22" applyFont="1" applyFill="1" applyBorder="1" applyAlignment="1">
      <alignment horizontal="center" wrapText="1"/>
    </xf>
    <xf numFmtId="0" fontId="7" fillId="0" borderId="0" xfId="22" applyFont="1"/>
    <xf numFmtId="0" fontId="6" fillId="13" borderId="8" xfId="22" applyFont="1" applyFill="1" applyBorder="1" applyAlignment="1">
      <alignment horizontal="center" vertical="center"/>
    </xf>
    <xf numFmtId="0" fontId="6" fillId="13" borderId="8" xfId="22" applyFont="1" applyFill="1" applyBorder="1" applyAlignment="1">
      <alignment horizontal="center" vertical="center" wrapText="1"/>
    </xf>
    <xf numFmtId="0" fontId="6" fillId="13" borderId="3" xfId="22" applyNumberFormat="1" applyFont="1" applyFill="1" applyBorder="1" applyAlignment="1">
      <alignment horizontal="center" vertical="center" wrapText="1"/>
    </xf>
    <xf numFmtId="3" fontId="6" fillId="13" borderId="8" xfId="22" applyNumberFormat="1" applyFont="1" applyFill="1" applyBorder="1" applyAlignment="1">
      <alignment horizontal="center" vertical="center" wrapText="1"/>
    </xf>
    <xf numFmtId="0" fontId="6" fillId="3" borderId="3" xfId="22" applyFont="1" applyFill="1" applyBorder="1" applyAlignment="1">
      <alignment horizontal="center" vertical="center" textRotation="180"/>
    </xf>
    <xf numFmtId="49" fontId="6" fillId="3" borderId="3" xfId="22" applyNumberFormat="1" applyFont="1" applyFill="1" applyBorder="1" applyAlignment="1">
      <alignment horizontal="center" vertical="center" textRotation="180"/>
    </xf>
    <xf numFmtId="0" fontId="6" fillId="3" borderId="3" xfId="22" applyFont="1" applyFill="1" applyBorder="1" applyAlignment="1">
      <alignment horizontal="center" vertical="center" textRotation="180" wrapText="1"/>
    </xf>
    <xf numFmtId="14" fontId="6" fillId="13" borderId="3" xfId="22" applyNumberFormat="1" applyFont="1" applyFill="1" applyBorder="1" applyAlignment="1">
      <alignment horizontal="center" vertical="center" wrapText="1"/>
    </xf>
    <xf numFmtId="0" fontId="6" fillId="0" borderId="0" xfId="22" applyFont="1" applyFill="1" applyAlignment="1"/>
    <xf numFmtId="0" fontId="4" fillId="6" borderId="8" xfId="22" applyFont="1" applyFill="1" applyBorder="1" applyAlignment="1">
      <alignment horizontal="center" vertical="center" wrapText="1"/>
    </xf>
    <xf numFmtId="0" fontId="4" fillId="6" borderId="3" xfId="22" applyFont="1" applyFill="1" applyBorder="1" applyAlignment="1">
      <alignment horizontal="left" vertical="center" wrapText="1"/>
    </xf>
    <xf numFmtId="0" fontId="4" fillId="6" borderId="4" xfId="22" applyFont="1" applyFill="1" applyBorder="1" applyAlignment="1">
      <alignment horizontal="left" vertical="center" wrapText="1"/>
    </xf>
    <xf numFmtId="0" fontId="4" fillId="6" borderId="4" xfId="22" applyFont="1" applyFill="1" applyBorder="1" applyAlignment="1">
      <alignment vertical="center" wrapText="1"/>
    </xf>
    <xf numFmtId="14" fontId="4" fillId="6" borderId="4" xfId="22" applyNumberFormat="1" applyFont="1" applyFill="1" applyBorder="1" applyAlignment="1">
      <alignment vertical="center" wrapText="1"/>
    </xf>
    <xf numFmtId="0" fontId="4" fillId="6" borderId="5" xfId="22" applyFont="1" applyFill="1" applyBorder="1" applyAlignment="1">
      <alignment vertical="center" wrapText="1"/>
    </xf>
    <xf numFmtId="0" fontId="3" fillId="0" borderId="0" xfId="22" applyFont="1" applyFill="1"/>
    <xf numFmtId="0" fontId="3" fillId="0" borderId="0" xfId="22" applyFont="1"/>
    <xf numFmtId="0" fontId="4" fillId="5" borderId="8" xfId="22" applyFont="1" applyFill="1" applyBorder="1" applyAlignment="1">
      <alignment horizontal="center" vertical="center" wrapText="1"/>
    </xf>
    <xf numFmtId="0" fontId="4" fillId="5" borderId="8" xfId="22" applyFont="1" applyFill="1" applyBorder="1" applyAlignment="1">
      <alignment vertical="center" wrapText="1"/>
    </xf>
    <xf numFmtId="0" fontId="4" fillId="7" borderId="7" xfId="22" applyFont="1" applyFill="1" applyBorder="1" applyAlignment="1">
      <alignment horizontal="center" vertical="center" wrapText="1"/>
    </xf>
    <xf numFmtId="0" fontId="4" fillId="7" borderId="3" xfId="22" applyFont="1" applyFill="1" applyBorder="1" applyAlignment="1">
      <alignment horizontal="left" vertical="center" wrapText="1"/>
    </xf>
    <xf numFmtId="0" fontId="4" fillId="7" borderId="4" xfId="22" applyFont="1" applyFill="1" applyBorder="1" applyAlignment="1">
      <alignment horizontal="left" vertical="center" wrapText="1"/>
    </xf>
    <xf numFmtId="0" fontId="4" fillId="7" borderId="5" xfId="22" applyFont="1" applyFill="1" applyBorder="1" applyAlignment="1">
      <alignment horizontal="left" vertical="center" wrapText="1"/>
    </xf>
    <xf numFmtId="0" fontId="4" fillId="5" borderId="14" xfId="22" applyFont="1" applyFill="1" applyBorder="1" applyAlignment="1">
      <alignment horizontal="center" vertical="center" wrapText="1"/>
    </xf>
    <xf numFmtId="0" fontId="4" fillId="5" borderId="14" xfId="22" applyFont="1" applyFill="1" applyBorder="1" applyAlignment="1">
      <alignment vertical="center" wrapText="1"/>
    </xf>
    <xf numFmtId="0" fontId="4" fillId="9" borderId="1" xfId="22" applyFont="1" applyFill="1" applyBorder="1" applyAlignment="1">
      <alignment horizontal="center" vertical="center" wrapText="1"/>
    </xf>
    <xf numFmtId="0" fontId="4" fillId="9" borderId="1" xfId="22" applyFont="1" applyFill="1" applyBorder="1" applyAlignment="1">
      <alignment horizontal="left" vertical="center" wrapText="1"/>
    </xf>
    <xf numFmtId="49" fontId="3" fillId="5" borderId="14" xfId="22" applyNumberFormat="1" applyFont="1" applyFill="1" applyBorder="1" applyAlignment="1">
      <alignment vertical="center" wrapText="1"/>
    </xf>
    <xf numFmtId="0" fontId="3" fillId="5" borderId="14" xfId="22" applyFont="1" applyFill="1" applyBorder="1" applyAlignment="1">
      <alignment vertical="center" wrapText="1"/>
    </xf>
    <xf numFmtId="49" fontId="7" fillId="5" borderId="8" xfId="22" applyNumberFormat="1" applyFont="1" applyFill="1" applyBorder="1" applyAlignment="1">
      <alignment vertical="center" wrapText="1"/>
    </xf>
    <xf numFmtId="0" fontId="7" fillId="5" borderId="8" xfId="22" applyFont="1" applyFill="1" applyBorder="1" applyAlignment="1">
      <alignment vertical="center" wrapText="1"/>
    </xf>
    <xf numFmtId="0" fontId="7" fillId="0" borderId="1" xfId="23" applyNumberFormat="1" applyFont="1" applyFill="1" applyBorder="1" applyAlignment="1">
      <alignment horizontal="center" vertical="center" wrapText="1"/>
    </xf>
    <xf numFmtId="0" fontId="7" fillId="0" borderId="1" xfId="22" applyFont="1" applyFill="1" applyBorder="1" applyAlignment="1">
      <alignment horizontal="justify" vertical="center" wrapText="1"/>
    </xf>
    <xf numFmtId="0" fontId="7" fillId="0" borderId="1" xfId="22" applyFont="1" applyFill="1" applyBorder="1" applyAlignment="1">
      <alignment horizontal="center" vertical="center" wrapText="1"/>
    </xf>
    <xf numFmtId="0" fontId="7" fillId="0" borderId="1" xfId="22" applyFont="1" applyFill="1" applyBorder="1" applyAlignment="1">
      <alignment horizontal="center" vertical="center"/>
    </xf>
    <xf numFmtId="9" fontId="7" fillId="0" borderId="1" xfId="24" applyFont="1" applyFill="1" applyBorder="1" applyAlignment="1">
      <alignment horizontal="center" vertical="center" wrapText="1"/>
    </xf>
    <xf numFmtId="195" fontId="7" fillId="0" borderId="1" xfId="22" applyNumberFormat="1" applyFont="1" applyFill="1" applyBorder="1" applyAlignment="1">
      <alignment horizontal="center" vertical="center" wrapText="1"/>
    </xf>
    <xf numFmtId="196" fontId="7"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14" fontId="7" fillId="0" borderId="1" xfId="22" applyNumberFormat="1" applyFont="1" applyFill="1" applyBorder="1" applyAlignment="1">
      <alignment horizontal="center" vertical="center" wrapText="1"/>
    </xf>
    <xf numFmtId="0" fontId="3" fillId="0" borderId="0" xfId="22" applyFont="1" applyFill="1" applyBorder="1"/>
    <xf numFmtId="0" fontId="6" fillId="9" borderId="1" xfId="22" applyFont="1" applyFill="1" applyBorder="1" applyAlignment="1">
      <alignment horizontal="center" vertical="center" wrapText="1"/>
    </xf>
    <xf numFmtId="0" fontId="6" fillId="9" borderId="1" xfId="22" applyFont="1" applyFill="1" applyBorder="1" applyAlignment="1">
      <alignment horizontal="left" vertical="center" wrapText="1"/>
    </xf>
    <xf numFmtId="0" fontId="6" fillId="9" borderId="1" xfId="22" applyFont="1" applyFill="1" applyBorder="1" applyAlignment="1">
      <alignment horizontal="left" vertical="center" wrapText="1"/>
    </xf>
    <xf numFmtId="197" fontId="6" fillId="9" borderId="1" xfId="22" applyNumberFormat="1" applyFont="1" applyFill="1" applyBorder="1" applyAlignment="1">
      <alignment horizontal="left" vertical="center" wrapText="1"/>
    </xf>
    <xf numFmtId="14" fontId="6" fillId="9" borderId="1" xfId="22" applyNumberFormat="1" applyFont="1" applyFill="1" applyBorder="1" applyAlignment="1">
      <alignment horizontal="left" vertical="center" wrapText="1"/>
    </xf>
    <xf numFmtId="49" fontId="3" fillId="5" borderId="14" xfId="22" applyNumberFormat="1" applyFont="1" applyFill="1" applyBorder="1" applyAlignment="1">
      <alignment horizontal="center" vertical="center" wrapText="1"/>
    </xf>
    <xf numFmtId="49" fontId="7" fillId="5" borderId="8" xfId="22" applyNumberFormat="1" applyFont="1" applyFill="1" applyBorder="1" applyAlignment="1">
      <alignment horizontal="center" vertical="center"/>
    </xf>
    <xf numFmtId="0" fontId="7" fillId="5" borderId="8"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7" fillId="0" borderId="8" xfId="22" applyFont="1" applyFill="1" applyBorder="1" applyAlignment="1">
      <alignment horizontal="justify" vertical="center" wrapText="1"/>
    </xf>
    <xf numFmtId="0" fontId="7" fillId="0" borderId="1" xfId="22" applyFont="1" applyFill="1" applyBorder="1" applyAlignment="1">
      <alignment horizontal="center" vertical="center"/>
    </xf>
    <xf numFmtId="9" fontId="7" fillId="0" borderId="8" xfId="24" applyFont="1" applyFill="1" applyBorder="1" applyAlignment="1">
      <alignment horizontal="center" vertical="center" wrapText="1"/>
    </xf>
    <xf numFmtId="195" fontId="7" fillId="0" borderId="8" xfId="22" applyNumberFormat="1" applyFont="1" applyFill="1" applyBorder="1" applyAlignment="1">
      <alignment horizontal="center" vertical="center" wrapText="1"/>
    </xf>
    <xf numFmtId="0" fontId="7" fillId="0" borderId="8" xfId="22" applyNumberFormat="1" applyFont="1" applyFill="1" applyBorder="1" applyAlignment="1">
      <alignment horizontal="center" vertical="center" wrapText="1"/>
    </xf>
    <xf numFmtId="14" fontId="7" fillId="0" borderId="8" xfId="22" applyNumberFormat="1" applyFont="1" applyFill="1" applyBorder="1" applyAlignment="1">
      <alignment horizontal="center" vertical="center" wrapText="1"/>
    </xf>
    <xf numFmtId="49" fontId="7" fillId="5" borderId="14" xfId="22" applyNumberFormat="1" applyFont="1" applyFill="1" applyBorder="1" applyAlignment="1">
      <alignment horizontal="center" vertical="center"/>
    </xf>
    <xf numFmtId="0" fontId="7" fillId="5" borderId="14" xfId="22" applyFont="1" applyFill="1" applyBorder="1" applyAlignment="1">
      <alignment horizontal="center" vertical="center" wrapText="1"/>
    </xf>
    <xf numFmtId="0" fontId="7" fillId="0" borderId="17" xfId="22" applyFont="1" applyFill="1" applyBorder="1" applyAlignment="1">
      <alignment horizontal="center" vertical="center" wrapText="1"/>
    </xf>
    <xf numFmtId="0" fontId="7" fillId="0" borderId="17" xfId="22" applyFont="1" applyFill="1" applyBorder="1" applyAlignment="1">
      <alignment horizontal="justify" vertical="center" wrapText="1"/>
    </xf>
    <xf numFmtId="0" fontId="7" fillId="0" borderId="14" xfId="22" applyFont="1" applyFill="1" applyBorder="1" applyAlignment="1">
      <alignment horizontal="justify" vertical="center" wrapText="1"/>
    </xf>
    <xf numFmtId="9" fontId="7" fillId="0" borderId="17" xfId="24" applyFont="1" applyFill="1" applyBorder="1" applyAlignment="1">
      <alignment horizontal="center" vertical="center" wrapText="1"/>
    </xf>
    <xf numFmtId="195" fontId="7" fillId="0" borderId="17" xfId="22" applyNumberFormat="1" applyFont="1" applyFill="1" applyBorder="1" applyAlignment="1">
      <alignment horizontal="center" vertical="center" wrapText="1"/>
    </xf>
    <xf numFmtId="0" fontId="7" fillId="0" borderId="14" xfId="22" applyNumberFormat="1" applyFont="1" applyFill="1" applyBorder="1" applyAlignment="1">
      <alignment horizontal="center" vertical="center" wrapText="1"/>
    </xf>
    <xf numFmtId="14" fontId="7" fillId="0" borderId="14" xfId="22" applyNumberFormat="1" applyFont="1" applyFill="1" applyBorder="1" applyAlignment="1">
      <alignment horizontal="center" vertical="center" wrapText="1"/>
    </xf>
    <xf numFmtId="0" fontId="3" fillId="5" borderId="14" xfId="22" applyFont="1" applyFill="1" applyBorder="1" applyAlignment="1">
      <alignment horizontal="center" vertical="center" wrapText="1"/>
    </xf>
    <xf numFmtId="0" fontId="3" fillId="5" borderId="14" xfId="22" applyFont="1" applyFill="1" applyBorder="1" applyAlignment="1">
      <alignment horizontal="justify" vertical="center" wrapText="1"/>
    </xf>
    <xf numFmtId="181" fontId="7" fillId="0" borderId="8" xfId="24" applyNumberFormat="1" applyFont="1" applyFill="1" applyBorder="1" applyAlignment="1">
      <alignment horizontal="center" vertical="center" wrapText="1"/>
    </xf>
    <xf numFmtId="196" fontId="7" fillId="0" borderId="8" xfId="22" applyNumberFormat="1" applyFont="1" applyFill="1" applyBorder="1" applyAlignment="1">
      <alignment horizontal="center" vertical="center" wrapText="1"/>
    </xf>
    <xf numFmtId="0" fontId="7" fillId="0" borderId="14" xfId="22" applyFont="1" applyFill="1" applyBorder="1" applyAlignment="1">
      <alignment horizontal="center" vertical="center" wrapText="1"/>
    </xf>
    <xf numFmtId="181" fontId="7" fillId="0" borderId="17" xfId="24" applyNumberFormat="1" applyFont="1" applyFill="1" applyBorder="1" applyAlignment="1">
      <alignment horizontal="center" vertical="center" wrapText="1"/>
    </xf>
    <xf numFmtId="196" fontId="7" fillId="0" borderId="17" xfId="22" applyNumberFormat="1" applyFont="1" applyFill="1" applyBorder="1" applyAlignment="1">
      <alignment horizontal="center" vertical="center" wrapText="1"/>
    </xf>
    <xf numFmtId="0" fontId="7" fillId="5" borderId="8" xfId="22" applyFont="1" applyFill="1" applyBorder="1" applyAlignment="1">
      <alignment horizontal="justify" vertical="center" wrapText="1"/>
    </xf>
    <xf numFmtId="0" fontId="7" fillId="5" borderId="14" xfId="22" applyFont="1" applyFill="1" applyBorder="1" applyAlignment="1">
      <alignment horizontal="justify" vertical="center" wrapText="1"/>
    </xf>
    <xf numFmtId="181" fontId="7" fillId="0" borderId="14" xfId="24" applyNumberFormat="1" applyFont="1" applyFill="1" applyBorder="1" applyAlignment="1">
      <alignment horizontal="center" vertical="center" wrapText="1"/>
    </xf>
    <xf numFmtId="195" fontId="7" fillId="0" borderId="14" xfId="22" applyNumberFormat="1" applyFont="1" applyFill="1" applyBorder="1" applyAlignment="1">
      <alignment horizontal="center" vertical="center" wrapText="1"/>
    </xf>
    <xf numFmtId="0" fontId="17" fillId="4" borderId="3" xfId="22" applyFont="1" applyFill="1" applyBorder="1" applyAlignment="1">
      <alignment horizontal="center" vertical="center"/>
    </xf>
    <xf numFmtId="0" fontId="17" fillId="4" borderId="4" xfId="22" applyFont="1" applyFill="1" applyBorder="1" applyAlignment="1">
      <alignment horizontal="center" vertical="center"/>
    </xf>
    <xf numFmtId="195" fontId="17" fillId="4" borderId="4" xfId="22" applyNumberFormat="1" applyFont="1" applyFill="1" applyBorder="1" applyAlignment="1">
      <alignment vertical="center" wrapText="1"/>
    </xf>
    <xf numFmtId="0" fontId="17" fillId="4" borderId="4" xfId="22" applyFont="1" applyFill="1" applyBorder="1" applyAlignment="1">
      <alignment vertical="center" wrapText="1"/>
    </xf>
    <xf numFmtId="0" fontId="17" fillId="4" borderId="4" xfId="22" applyFont="1" applyFill="1" applyBorder="1" applyAlignment="1">
      <alignment horizontal="justify" vertical="center" wrapText="1"/>
    </xf>
    <xf numFmtId="198" fontId="17" fillId="4" borderId="1" xfId="22" applyNumberFormat="1" applyFont="1" applyFill="1" applyBorder="1" applyAlignment="1">
      <alignment horizontal="center" vertical="center" wrapText="1"/>
    </xf>
    <xf numFmtId="196" fontId="17" fillId="4" borderId="4" xfId="22" applyNumberFormat="1" applyFont="1" applyFill="1" applyBorder="1" applyAlignment="1">
      <alignment horizontal="center" vertical="center" wrapText="1"/>
    </xf>
    <xf numFmtId="0" fontId="17" fillId="4" borderId="4" xfId="22" applyFont="1" applyFill="1" applyBorder="1" applyAlignment="1">
      <alignment vertical="center"/>
    </xf>
    <xf numFmtId="14" fontId="17" fillId="4" borderId="4" xfId="22" applyNumberFormat="1" applyFont="1" applyFill="1" applyBorder="1" applyAlignment="1">
      <alignment horizontal="right" vertical="center"/>
    </xf>
    <xf numFmtId="14" fontId="17" fillId="4" borderId="4" xfId="22" applyNumberFormat="1" applyFont="1" applyFill="1" applyBorder="1" applyAlignment="1">
      <alignment horizontal="center" vertical="center"/>
    </xf>
    <xf numFmtId="0" fontId="17" fillId="4" borderId="5" xfId="22" applyFont="1" applyFill="1" applyBorder="1" applyAlignment="1">
      <alignment horizontal="left" vertical="center"/>
    </xf>
    <xf numFmtId="0" fontId="18" fillId="0" borderId="0" xfId="22" applyFont="1" applyFill="1"/>
    <xf numFmtId="0" fontId="18" fillId="0" borderId="0" xfId="22" applyFont="1" applyFill="1" applyAlignment="1">
      <alignment horizontal="center"/>
    </xf>
    <xf numFmtId="0" fontId="18" fillId="0" borderId="0" xfId="22" applyFont="1" applyFill="1" applyAlignment="1"/>
    <xf numFmtId="0" fontId="18" fillId="0" borderId="0" xfId="22" applyFont="1" applyFill="1" applyAlignment="1">
      <alignment horizontal="center" vertical="center"/>
    </xf>
    <xf numFmtId="0" fontId="18" fillId="0" borderId="0" xfId="22" applyFont="1" applyFill="1" applyAlignment="1">
      <alignment horizontal="justify" vertical="center"/>
    </xf>
    <xf numFmtId="14" fontId="18" fillId="0" borderId="0" xfId="22" applyNumberFormat="1" applyFont="1" applyFill="1" applyAlignment="1">
      <alignment horizontal="right" vertical="center"/>
    </xf>
    <xf numFmtId="14" fontId="18" fillId="0" borderId="0" xfId="22" applyNumberFormat="1" applyFont="1" applyFill="1" applyAlignment="1">
      <alignment horizontal="center"/>
    </xf>
    <xf numFmtId="0" fontId="18" fillId="0" borderId="0" xfId="22" applyFont="1" applyAlignment="1">
      <alignment horizontal="center"/>
    </xf>
    <xf numFmtId="0" fontId="18" fillId="5" borderId="0" xfId="22" applyFont="1" applyFill="1"/>
    <xf numFmtId="0" fontId="18" fillId="5" borderId="0" xfId="22" applyFont="1" applyFill="1" applyAlignment="1"/>
    <xf numFmtId="0" fontId="18" fillId="5" borderId="0" xfId="22" applyFont="1" applyFill="1" applyAlignment="1">
      <alignment horizontal="center" vertical="center"/>
    </xf>
    <xf numFmtId="0" fontId="18" fillId="5" borderId="0" xfId="22" applyFont="1" applyFill="1" applyAlignment="1">
      <alignment horizontal="justify" vertical="center"/>
    </xf>
    <xf numFmtId="14" fontId="18" fillId="0" borderId="0" xfId="22" applyNumberFormat="1" applyFont="1" applyAlignment="1">
      <alignment horizontal="center"/>
    </xf>
  </cellXfs>
  <cellStyles count="25">
    <cellStyle name="Excel Built-in Normal" xfId="10"/>
    <cellStyle name="Excel Built-in Normal 2" xfId="19"/>
    <cellStyle name="Millares" xfId="6" builtinId="3"/>
    <cellStyle name="Millares [0]" xfId="1" builtinId="6"/>
    <cellStyle name="Millares [0] 2" xfId="20"/>
    <cellStyle name="Millares 2" xfId="4"/>
    <cellStyle name="Millares 2 4" xfId="17"/>
    <cellStyle name="Millares 3" xfId="9"/>
    <cellStyle name="Millares 3 2" xfId="23"/>
    <cellStyle name="Millares 4" xfId="11"/>
    <cellStyle name="Millares 5" xfId="21"/>
    <cellStyle name="Moneda" xfId="7" builtinId="4"/>
    <cellStyle name="Moneda [0]" xfId="8" builtinId="7"/>
    <cellStyle name="Moneda [0] 2" xfId="12"/>
    <cellStyle name="Moneda [0] 2 2" xfId="18"/>
    <cellStyle name="Moneda 3" xfId="13"/>
    <cellStyle name="Normal" xfId="0" builtinId="0"/>
    <cellStyle name="Normal 2" xfId="22"/>
    <cellStyle name="Normal 2 2" xfId="15"/>
    <cellStyle name="Normal 2 2 2" xfId="2"/>
    <cellStyle name="Normal 7" xfId="16"/>
    <cellStyle name="Porcentaje" xfId="5" builtinId="5"/>
    <cellStyle name="Porcentaje 2" xfId="3"/>
    <cellStyle name="Porcentaje 3" xfId="24"/>
    <cellStyle name="Porcentu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81644</xdr:rowOff>
    </xdr:from>
    <xdr:ext cx="993321" cy="925286"/>
    <xdr:pic>
      <xdr:nvPicPr>
        <xdr:cNvPr id="2" name="Imagen 1"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81644"/>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309268</xdr:colOff>
      <xdr:row>3</xdr:row>
      <xdr:rowOff>197640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264" y="0"/>
          <a:ext cx="967854" cy="114061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2</xdr:col>
      <xdr:colOff>242011</xdr:colOff>
      <xdr:row>5</xdr:row>
      <xdr:rowOff>116945</xdr:rowOff>
    </xdr:to>
    <xdr:pic>
      <xdr:nvPicPr>
        <xdr:cNvPr id="2" name="Imagen 4"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976302" cy="1414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27213</xdr:colOff>
      <xdr:row>0</xdr:row>
      <xdr:rowOff>95251</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95251"/>
          <a:ext cx="993321" cy="925286"/>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529442</xdr:colOff>
      <xdr:row>0</xdr:row>
      <xdr:rowOff>65562</xdr:rowOff>
    </xdr:from>
    <xdr:to>
      <xdr:col>1</xdr:col>
      <xdr:colOff>554182</xdr:colOff>
      <xdr:row>3</xdr:row>
      <xdr:rowOff>34636</xdr:rowOff>
    </xdr:to>
    <xdr:pic>
      <xdr:nvPicPr>
        <xdr:cNvPr id="2" name="Imagen 1" descr="C:\Users\AUXPLANEACION03\Desktop\Gobernacion_del_quindio.jp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442" y="65562"/>
          <a:ext cx="815315" cy="94062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857250</xdr:colOff>
      <xdr:row>0</xdr:row>
      <xdr:rowOff>1</xdr:rowOff>
    </xdr:from>
    <xdr:to>
      <xdr:col>2</xdr:col>
      <xdr:colOff>571500</xdr:colOff>
      <xdr:row>2</xdr:row>
      <xdr:rowOff>203099</xdr:rowOff>
    </xdr:to>
    <xdr:pic>
      <xdr:nvPicPr>
        <xdr:cNvPr id="2" name="Imagen 1" descr="C:\Users\AUXPLANEACION03\Desktop\Gobernacion_del_quindio.jp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9725" y="1"/>
          <a:ext cx="1057275" cy="850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3</xdr:row>
      <xdr:rowOff>96685</xdr:rowOff>
    </xdr:to>
    <xdr:pic>
      <xdr:nvPicPr>
        <xdr:cNvPr id="2" name="Imagen 1" descr="C:\Users\AUXPLANEACION03\Desktop\Gobernacion_del_quindio.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96685</xdr:rowOff>
    </xdr:to>
    <xdr:pic>
      <xdr:nvPicPr>
        <xdr:cNvPr id="3" name="Imagen 2"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693964</xdr:colOff>
      <xdr:row>0</xdr:row>
      <xdr:rowOff>0</xdr:rowOff>
    </xdr:from>
    <xdr:ext cx="950686" cy="1422400"/>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0"/>
          <a:ext cx="950686" cy="1422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27213</xdr:colOff>
      <xdr:row>0</xdr:row>
      <xdr:rowOff>34018</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34018"/>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153832</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89" y="334736"/>
          <a:ext cx="598714" cy="813929"/>
        </a:xfrm>
        <a:prstGeom prst="rect">
          <a:avLst/>
        </a:prstGeom>
        <a:noFill/>
        <a:ln>
          <a:noFill/>
        </a:ln>
      </xdr:spPr>
    </xdr:pic>
    <xdr:clientData/>
  </xdr:twoCellAnchor>
  <xdr:oneCellAnchor>
    <xdr:from>
      <xdr:col>0</xdr:col>
      <xdr:colOff>360588</xdr:colOff>
      <xdr:row>0</xdr:row>
      <xdr:rowOff>0</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88" y="0"/>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54428</xdr:colOff>
      <xdr:row>0</xdr:row>
      <xdr:rowOff>54428</xdr:rowOff>
    </xdr:from>
    <xdr:ext cx="857250" cy="884465"/>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4" y="54428"/>
          <a:ext cx="857250" cy="88446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503464</xdr:colOff>
      <xdr:row>0</xdr:row>
      <xdr:rowOff>95252</xdr:rowOff>
    </xdr:from>
    <xdr:to>
      <xdr:col>2</xdr:col>
      <xdr:colOff>517071</xdr:colOff>
      <xdr:row>5</xdr:row>
      <xdr:rowOff>40823</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464" y="95252"/>
          <a:ext cx="966107" cy="104094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6</xdr:row>
      <xdr:rowOff>32385</xdr:rowOff>
    </xdr:to>
    <xdr:pic>
      <xdr:nvPicPr>
        <xdr:cNvPr id="2" name="Imagen 1" descr="C:\Users\AUXPLANEACION03\Desktop\Gobernacion_del_quindi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64449"/>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oneCellAnchor>
    <xdr:from>
      <xdr:col>1</xdr:col>
      <xdr:colOff>54428</xdr:colOff>
      <xdr:row>0</xdr:row>
      <xdr:rowOff>54428</xdr:rowOff>
    </xdr:from>
    <xdr:ext cx="857250" cy="884465"/>
    <xdr:pic>
      <xdr:nvPicPr>
        <xdr:cNvPr id="4" name="Imagen 3"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853" y="54428"/>
          <a:ext cx="857250" cy="88446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1</xdr:col>
      <xdr:colOff>786947</xdr:colOff>
      <xdr:row>4</xdr:row>
      <xdr:rowOff>190501</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36" y="95251"/>
          <a:ext cx="747486" cy="10858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25581</xdr:rowOff>
    </xdr:to>
    <xdr:pic>
      <xdr:nvPicPr>
        <xdr:cNvPr id="2" name="Imagen 1" descr="C:\Users\AUXPLANEACION03\Desktop\Gobernacion_del_quindi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75335"/>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esktop/PRESUPUESTOS%20PROYECTOS%20PLANEACION%20mar%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13/Downloads/POAI%20PROMOTORA%20MARZO%20-2017,%20nor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03/Downloads/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6"/>
      <sheetName val="007"/>
      <sheetName val="009"/>
      <sheetName val="010"/>
      <sheetName val="011"/>
      <sheetName val="012"/>
      <sheetName val="013"/>
      <sheetName val="013 (a) "/>
      <sheetName val="014"/>
      <sheetName val="015"/>
    </sheetNames>
    <sheetDataSet>
      <sheetData sheetId="0"/>
      <sheetData sheetId="1"/>
      <sheetData sheetId="2"/>
      <sheetData sheetId="3"/>
      <sheetData sheetId="4"/>
      <sheetData sheetId="5"/>
      <sheetData sheetId="6"/>
      <sheetData sheetId="7">
        <row r="8">
          <cell r="F8">
            <v>3680000</v>
          </cell>
        </row>
        <row r="11">
          <cell r="F11">
            <v>11120000</v>
          </cell>
        </row>
        <row r="20">
          <cell r="F20">
            <v>11040000</v>
          </cell>
        </row>
        <row r="28">
          <cell r="F28">
            <v>8075000</v>
          </cell>
        </row>
        <row r="33">
          <cell r="F33">
            <v>335000</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oai incial promotora"/>
      <sheetName val=" poai marzo 31 ajustes "/>
      <sheetName val=" poai marzo 31+R.Bce "/>
    </sheetNames>
    <sheetDataSet>
      <sheetData sheetId="0"/>
      <sheetData sheetId="1"/>
      <sheetData sheetId="2">
        <row r="7">
          <cell r="AP7">
            <v>214850780</v>
          </cell>
        </row>
        <row r="9">
          <cell r="AP9">
            <v>683908832</v>
          </cell>
        </row>
        <row r="10">
          <cell r="AP10">
            <v>683908833</v>
          </cell>
        </row>
        <row r="11">
          <cell r="AP11">
            <v>314767887</v>
          </cell>
        </row>
        <row r="12">
          <cell r="AP12">
            <v>698908834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55" zoomScaleNormal="55" workbookViewId="0">
      <pane ySplit="11" topLeftCell="A24" activePane="bottomLeft" state="frozen"/>
      <selection pane="bottomLeft" activeCell="B30" sqref="B30:D32"/>
    </sheetView>
  </sheetViews>
  <sheetFormatPr baseColWidth="10" defaultColWidth="11.42578125" defaultRowHeight="14.25" x14ac:dyDescent="0.2"/>
  <cols>
    <col min="1" max="1" width="11" style="34" customWidth="1"/>
    <col min="2" max="2" width="22.5703125" style="34" customWidth="1"/>
    <col min="3" max="3" width="11.5703125" style="34" bestFit="1" customWidth="1"/>
    <col min="4" max="4" width="18.140625" style="34" customWidth="1"/>
    <col min="5" max="5" width="3.140625" style="34" customWidth="1"/>
    <col min="6" max="6" width="10.5703125" style="34" customWidth="1"/>
    <col min="7" max="7" width="18.7109375" style="34" customWidth="1"/>
    <col min="8" max="8" width="14.42578125" style="34" customWidth="1"/>
    <col min="9" max="9" width="19" style="34" customWidth="1"/>
    <col min="10" max="10" width="14.85546875" style="34" customWidth="1"/>
    <col min="11" max="11" width="12.5703125" style="560" customWidth="1"/>
    <col min="12" max="12" width="21.42578125" style="34" customWidth="1"/>
    <col min="13" max="13" width="11.7109375" style="560" customWidth="1"/>
    <col min="14" max="14" width="21.5703125" style="34" customWidth="1"/>
    <col min="15" max="15" width="13.28515625" style="561" customWidth="1"/>
    <col min="16" max="16" width="24" style="34" bestFit="1" customWidth="1"/>
    <col min="17" max="17" width="26.85546875" style="34" customWidth="1"/>
    <col min="18" max="18" width="27.42578125" style="34" customWidth="1"/>
    <col min="19" max="19" width="25" style="34" customWidth="1"/>
    <col min="20" max="20" width="24.42578125" style="118" customWidth="1"/>
    <col min="21" max="21" width="14.7109375" style="562" customWidth="1"/>
    <col min="22" max="22" width="16.140625" style="34" customWidth="1"/>
    <col min="23" max="23" width="12.7109375" style="563" customWidth="1"/>
    <col min="24" max="24" width="11.42578125" style="563"/>
    <col min="25" max="26" width="11.5703125" style="34" bestFit="1" customWidth="1"/>
    <col min="27" max="27" width="11.42578125" style="34" customWidth="1"/>
    <col min="28" max="28" width="11.5703125" style="34" bestFit="1" customWidth="1"/>
    <col min="29" max="29" width="8.42578125" style="34" bestFit="1" customWidth="1"/>
    <col min="30" max="30" width="7.7109375" style="34" bestFit="1" customWidth="1"/>
    <col min="31" max="31" width="4.5703125" style="34" bestFit="1" customWidth="1"/>
    <col min="32" max="32" width="6.5703125" style="34" bestFit="1" customWidth="1"/>
    <col min="33" max="33" width="9" style="34" bestFit="1" customWidth="1"/>
    <col min="34" max="34" width="9.28515625" style="34" bestFit="1" customWidth="1"/>
    <col min="35" max="36" width="22.7109375" style="561" customWidth="1"/>
    <col min="37" max="37" width="28.7109375" style="561" customWidth="1"/>
    <col min="38" max="16384" width="11.42578125" style="34"/>
  </cols>
  <sheetData>
    <row r="1" spans="1:37" ht="15" customHeight="1" x14ac:dyDescent="0.2">
      <c r="A1" s="1746" t="s">
        <v>1786</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7"/>
      <c r="AI1" s="1748"/>
      <c r="AJ1" s="1477" t="s">
        <v>0</v>
      </c>
      <c r="AK1" s="1478" t="s">
        <v>1784</v>
      </c>
    </row>
    <row r="2" spans="1:37" ht="15" customHeight="1" x14ac:dyDescent="0.2">
      <c r="A2" s="1746" t="s">
        <v>121</v>
      </c>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8"/>
      <c r="AJ2" s="1479" t="s">
        <v>1</v>
      </c>
      <c r="AK2" s="1480">
        <v>5</v>
      </c>
    </row>
    <row r="3" spans="1:37" ht="20.25" customHeight="1" x14ac:dyDescent="0.2">
      <c r="A3" s="1746"/>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7"/>
      <c r="AI3" s="1748"/>
      <c r="AJ3" s="1481" t="s">
        <v>2</v>
      </c>
      <c r="AK3" s="1482">
        <v>42583</v>
      </c>
    </row>
    <row r="4" spans="1:37" s="36" customFormat="1" ht="21" customHeight="1" x14ac:dyDescent="0.2">
      <c r="A4" s="1749" t="s">
        <v>119</v>
      </c>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0"/>
      <c r="AI4" s="1751"/>
      <c r="AJ4" s="1483" t="s">
        <v>3</v>
      </c>
      <c r="AK4" s="1484" t="s">
        <v>4</v>
      </c>
    </row>
    <row r="5" spans="1:37" ht="15" customHeight="1" x14ac:dyDescent="0.2">
      <c r="A5" s="1757" t="s">
        <v>5</v>
      </c>
      <c r="B5" s="1758"/>
      <c r="C5" s="1758"/>
      <c r="D5" s="1758"/>
      <c r="E5" s="1758"/>
      <c r="F5" s="1758"/>
      <c r="G5" s="1758"/>
      <c r="H5" s="1758"/>
      <c r="I5" s="1758"/>
      <c r="J5" s="1758"/>
      <c r="K5" s="1758"/>
      <c r="L5" s="1757" t="s">
        <v>6</v>
      </c>
      <c r="M5" s="1758"/>
      <c r="N5" s="1758"/>
      <c r="O5" s="1758"/>
      <c r="P5" s="1758"/>
      <c r="Q5" s="1758"/>
      <c r="R5" s="1758"/>
      <c r="S5" s="1758"/>
      <c r="T5" s="1758"/>
      <c r="U5" s="1758"/>
      <c r="V5" s="1762"/>
      <c r="W5" s="1757" t="s">
        <v>7</v>
      </c>
      <c r="X5" s="1758"/>
      <c r="Y5" s="1758"/>
      <c r="Z5" s="1758"/>
      <c r="AA5" s="1758"/>
      <c r="AB5" s="1758"/>
      <c r="AC5" s="1758"/>
      <c r="AD5" s="1758"/>
      <c r="AE5" s="1758"/>
      <c r="AF5" s="1758"/>
      <c r="AG5" s="1758"/>
      <c r="AH5" s="1758"/>
      <c r="AI5" s="492"/>
      <c r="AJ5" s="492"/>
      <c r="AK5" s="493"/>
    </row>
    <row r="6" spans="1:37" ht="14.45" customHeight="1" x14ac:dyDescent="0.2">
      <c r="A6" s="1759"/>
      <c r="B6" s="1760"/>
      <c r="C6" s="1760"/>
      <c r="D6" s="1760"/>
      <c r="E6" s="1760"/>
      <c r="F6" s="1760"/>
      <c r="G6" s="1760"/>
      <c r="H6" s="1760"/>
      <c r="I6" s="1760"/>
      <c r="J6" s="1760"/>
      <c r="K6" s="1760"/>
      <c r="L6" s="1759"/>
      <c r="M6" s="1760"/>
      <c r="N6" s="1760"/>
      <c r="O6" s="1760"/>
      <c r="P6" s="1760"/>
      <c r="Q6" s="1760"/>
      <c r="R6" s="1760"/>
      <c r="S6" s="1760"/>
      <c r="T6" s="1760"/>
      <c r="U6" s="1760"/>
      <c r="V6" s="1761"/>
      <c r="W6" s="1759"/>
      <c r="X6" s="1760"/>
      <c r="Y6" s="1760"/>
      <c r="Z6" s="1760"/>
      <c r="AA6" s="1760"/>
      <c r="AB6" s="1760"/>
      <c r="AC6" s="1760"/>
      <c r="AD6" s="1760"/>
      <c r="AE6" s="1760"/>
      <c r="AF6" s="1760"/>
      <c r="AG6" s="1760"/>
      <c r="AH6" s="1760"/>
      <c r="AI6" s="1760"/>
      <c r="AJ6" s="1760"/>
      <c r="AK6" s="1761"/>
    </row>
    <row r="7" spans="1:37" ht="22.5" customHeight="1" x14ac:dyDescent="0.2">
      <c r="A7" s="1752" t="s">
        <v>8</v>
      </c>
      <c r="B7" s="1752" t="s">
        <v>9</v>
      </c>
      <c r="C7" s="1754" t="s">
        <v>8</v>
      </c>
      <c r="D7" s="1754" t="s">
        <v>10</v>
      </c>
      <c r="E7" s="1754"/>
      <c r="F7" s="1754" t="s">
        <v>8</v>
      </c>
      <c r="G7" s="1754" t="s">
        <v>11</v>
      </c>
      <c r="H7" s="1754" t="s">
        <v>8</v>
      </c>
      <c r="I7" s="1754" t="s">
        <v>12</v>
      </c>
      <c r="J7" s="1754" t="s">
        <v>13</v>
      </c>
      <c r="K7" s="1752" t="s">
        <v>14</v>
      </c>
      <c r="L7" s="1754" t="s">
        <v>15</v>
      </c>
      <c r="M7" s="1794" t="s">
        <v>16</v>
      </c>
      <c r="N7" s="1754" t="s">
        <v>6</v>
      </c>
      <c r="O7" s="1754" t="s">
        <v>17</v>
      </c>
      <c r="P7" s="1754" t="s">
        <v>18</v>
      </c>
      <c r="Q7" s="1754" t="s">
        <v>19</v>
      </c>
      <c r="R7" s="1754" t="s">
        <v>20</v>
      </c>
      <c r="S7" s="1754" t="s">
        <v>21</v>
      </c>
      <c r="T7" s="1752" t="s">
        <v>18</v>
      </c>
      <c r="U7" s="1752" t="s">
        <v>8</v>
      </c>
      <c r="V7" s="1754" t="s">
        <v>22</v>
      </c>
      <c r="W7" s="1755" t="s">
        <v>23</v>
      </c>
      <c r="X7" s="1756"/>
      <c r="Y7" s="1756"/>
      <c r="Z7" s="1756"/>
      <c r="AA7" s="1756"/>
      <c r="AB7" s="1756"/>
      <c r="AC7" s="1755" t="s">
        <v>24</v>
      </c>
      <c r="AD7" s="1756"/>
      <c r="AE7" s="1756"/>
      <c r="AF7" s="1756"/>
      <c r="AG7" s="1756"/>
      <c r="AH7" s="1756"/>
      <c r="AI7" s="1791" t="s">
        <v>25</v>
      </c>
      <c r="AJ7" s="1791" t="s">
        <v>26</v>
      </c>
      <c r="AK7" s="1793" t="s">
        <v>27</v>
      </c>
    </row>
    <row r="8" spans="1:37" ht="131.25" customHeight="1" x14ac:dyDescent="0.2">
      <c r="A8" s="1753"/>
      <c r="B8" s="1753"/>
      <c r="C8" s="1754"/>
      <c r="D8" s="1754"/>
      <c r="E8" s="1754"/>
      <c r="F8" s="1754"/>
      <c r="G8" s="1754"/>
      <c r="H8" s="1754"/>
      <c r="I8" s="1754"/>
      <c r="J8" s="1754"/>
      <c r="K8" s="1753"/>
      <c r="L8" s="1754"/>
      <c r="M8" s="1795"/>
      <c r="N8" s="1754"/>
      <c r="O8" s="1754"/>
      <c r="P8" s="1754"/>
      <c r="Q8" s="1754"/>
      <c r="R8" s="1754"/>
      <c r="S8" s="1754"/>
      <c r="T8" s="1753"/>
      <c r="U8" s="1753"/>
      <c r="V8" s="1754"/>
      <c r="W8" s="1476" t="s">
        <v>28</v>
      </c>
      <c r="X8" s="1476" t="s">
        <v>29</v>
      </c>
      <c r="Y8" s="1476" t="s">
        <v>30</v>
      </c>
      <c r="Z8" s="1476" t="s">
        <v>31</v>
      </c>
      <c r="AA8" s="1476" t="s">
        <v>32</v>
      </c>
      <c r="AB8" s="1476" t="s">
        <v>33</v>
      </c>
      <c r="AC8" s="1476" t="s">
        <v>34</v>
      </c>
      <c r="AD8" s="1476" t="s">
        <v>35</v>
      </c>
      <c r="AE8" s="1476" t="s">
        <v>36</v>
      </c>
      <c r="AF8" s="1476" t="s">
        <v>37</v>
      </c>
      <c r="AG8" s="1476" t="s">
        <v>38</v>
      </c>
      <c r="AH8" s="1476" t="s">
        <v>39</v>
      </c>
      <c r="AI8" s="1792"/>
      <c r="AJ8" s="1792"/>
      <c r="AK8" s="1793"/>
    </row>
    <row r="9" spans="1:37" s="500" customFormat="1" ht="21" customHeight="1" x14ac:dyDescent="0.25">
      <c r="A9" s="495">
        <v>5</v>
      </c>
      <c r="B9" s="496" t="s">
        <v>122</v>
      </c>
      <c r="C9" s="496"/>
      <c r="D9" s="497"/>
      <c r="E9" s="496"/>
      <c r="F9" s="496"/>
      <c r="G9" s="496"/>
      <c r="H9" s="496"/>
      <c r="I9" s="496"/>
      <c r="J9" s="496"/>
      <c r="K9" s="496"/>
      <c r="L9" s="496"/>
      <c r="M9" s="496"/>
      <c r="N9" s="496"/>
      <c r="O9" s="498"/>
      <c r="P9" s="496"/>
      <c r="Q9" s="496"/>
      <c r="R9" s="496"/>
      <c r="S9" s="496"/>
      <c r="T9" s="496"/>
      <c r="U9" s="496"/>
      <c r="V9" s="496"/>
      <c r="W9" s="496"/>
      <c r="X9" s="496"/>
      <c r="Y9" s="496"/>
      <c r="Z9" s="496"/>
      <c r="AA9" s="496"/>
      <c r="AB9" s="496"/>
      <c r="AC9" s="496"/>
      <c r="AD9" s="496"/>
      <c r="AE9" s="496"/>
      <c r="AF9" s="496"/>
      <c r="AG9" s="496"/>
      <c r="AH9" s="496"/>
      <c r="AI9" s="496"/>
      <c r="AJ9" s="496"/>
      <c r="AK9" s="499"/>
    </row>
    <row r="10" spans="1:37" s="501" customFormat="1" ht="21" customHeight="1" x14ac:dyDescent="0.25">
      <c r="C10" s="44">
        <v>28</v>
      </c>
      <c r="D10" s="388" t="s">
        <v>123</v>
      </c>
      <c r="E10" s="388"/>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502"/>
      <c r="AD10" s="502"/>
      <c r="AE10" s="502"/>
      <c r="AF10" s="502"/>
      <c r="AG10" s="502"/>
      <c r="AH10" s="502"/>
      <c r="AI10" s="503"/>
      <c r="AJ10" s="503"/>
      <c r="AK10" s="504"/>
    </row>
    <row r="11" spans="1:37" s="78" customFormat="1" ht="21" customHeight="1" x14ac:dyDescent="0.25">
      <c r="A11" s="505"/>
      <c r="B11" s="506"/>
      <c r="C11" s="507"/>
      <c r="D11" s="506"/>
      <c r="E11" s="506"/>
      <c r="F11" s="48">
        <v>89</v>
      </c>
      <c r="G11" s="393" t="s">
        <v>124</v>
      </c>
      <c r="H11" s="393"/>
      <c r="I11" s="393"/>
      <c r="J11" s="393"/>
      <c r="K11" s="393"/>
      <c r="L11" s="393"/>
      <c r="M11" s="393"/>
      <c r="N11" s="393"/>
      <c r="O11" s="393"/>
      <c r="P11" s="393"/>
      <c r="Q11" s="393"/>
      <c r="R11" s="393"/>
      <c r="S11" s="393"/>
      <c r="T11" s="393"/>
      <c r="U11" s="393"/>
      <c r="V11" s="393"/>
      <c r="W11" s="393"/>
      <c r="X11" s="393"/>
      <c r="Y11" s="393"/>
      <c r="Z11" s="393"/>
      <c r="AA11" s="393"/>
      <c r="AB11" s="393"/>
      <c r="AC11" s="508"/>
      <c r="AD11" s="508"/>
      <c r="AE11" s="508"/>
      <c r="AF11" s="508"/>
      <c r="AG11" s="508"/>
      <c r="AH11" s="508"/>
      <c r="AI11" s="509"/>
      <c r="AJ11" s="509"/>
      <c r="AK11" s="510"/>
    </row>
    <row r="12" spans="1:37" ht="128.25" x14ac:dyDescent="0.2">
      <c r="A12" s="511"/>
      <c r="B12" s="512"/>
      <c r="C12" s="511"/>
      <c r="D12" s="513"/>
      <c r="E12" s="514"/>
      <c r="F12" s="37"/>
      <c r="G12" s="514"/>
      <c r="H12" s="515">
        <v>282</v>
      </c>
      <c r="I12" s="456" t="s">
        <v>125</v>
      </c>
      <c r="J12" s="516" t="s">
        <v>16</v>
      </c>
      <c r="K12" s="517">
        <v>2</v>
      </c>
      <c r="L12" s="437" t="s">
        <v>126</v>
      </c>
      <c r="M12" s="518">
        <v>1</v>
      </c>
      <c r="N12" s="456" t="s">
        <v>127</v>
      </c>
      <c r="O12" s="517">
        <v>100</v>
      </c>
      <c r="P12" s="519">
        <v>39989034</v>
      </c>
      <c r="Q12" s="520" t="s">
        <v>128</v>
      </c>
      <c r="R12" s="456" t="s">
        <v>129</v>
      </c>
      <c r="S12" s="456" t="s">
        <v>130</v>
      </c>
      <c r="T12" s="521">
        <v>39989034</v>
      </c>
      <c r="U12" s="446">
        <v>20</v>
      </c>
      <c r="V12" s="516" t="s">
        <v>131</v>
      </c>
      <c r="W12" s="522">
        <v>64161</v>
      </c>
      <c r="X12" s="522">
        <v>71953</v>
      </c>
      <c r="Y12" s="522">
        <v>27081</v>
      </c>
      <c r="Z12" s="522">
        <v>86191</v>
      </c>
      <c r="AA12" s="522">
        <v>238241</v>
      </c>
      <c r="AB12" s="522">
        <v>84106</v>
      </c>
      <c r="AC12" s="522">
        <v>12718</v>
      </c>
      <c r="AD12" s="522">
        <v>2145</v>
      </c>
      <c r="AE12" s="446"/>
      <c r="AF12" s="522">
        <v>309</v>
      </c>
      <c r="AG12" s="522">
        <v>16879</v>
      </c>
      <c r="AH12" s="522">
        <v>84106</v>
      </c>
      <c r="AI12" s="523">
        <v>42736</v>
      </c>
      <c r="AJ12" s="485">
        <v>43100</v>
      </c>
      <c r="AK12" s="484" t="s">
        <v>134</v>
      </c>
    </row>
    <row r="13" spans="1:37" ht="63.75" customHeight="1" x14ac:dyDescent="0.2">
      <c r="A13" s="37"/>
      <c r="B13" s="513"/>
      <c r="C13" s="37"/>
      <c r="D13" s="513"/>
      <c r="E13" s="514"/>
      <c r="F13" s="37"/>
      <c r="G13" s="514"/>
      <c r="H13" s="1796">
        <v>283</v>
      </c>
      <c r="I13" s="1783" t="s">
        <v>135</v>
      </c>
      <c r="J13" s="1774" t="s">
        <v>16</v>
      </c>
      <c r="K13" s="1797">
        <v>1</v>
      </c>
      <c r="L13" s="1774" t="s">
        <v>136</v>
      </c>
      <c r="M13" s="1797">
        <v>2</v>
      </c>
      <c r="N13" s="1783" t="s">
        <v>137</v>
      </c>
      <c r="O13" s="1774">
        <v>100</v>
      </c>
      <c r="P13" s="1788">
        <v>48317341</v>
      </c>
      <c r="Q13" s="1783" t="s">
        <v>138</v>
      </c>
      <c r="R13" s="525" t="s">
        <v>139</v>
      </c>
      <c r="S13" s="525" t="s">
        <v>140</v>
      </c>
      <c r="T13" s="526">
        <v>25000000</v>
      </c>
      <c r="U13" s="439">
        <v>20</v>
      </c>
      <c r="V13" s="528" t="s">
        <v>131</v>
      </c>
      <c r="W13" s="1787"/>
      <c r="X13" s="1787"/>
      <c r="Y13" s="1787"/>
      <c r="Z13" s="529">
        <v>450</v>
      </c>
      <c r="AA13" s="529">
        <v>500</v>
      </c>
      <c r="AB13" s="1787">
        <v>50</v>
      </c>
      <c r="AC13" s="1787">
        <v>30</v>
      </c>
      <c r="AD13" s="1787"/>
      <c r="AE13" s="1770"/>
      <c r="AF13" s="1787"/>
      <c r="AG13" s="1787">
        <v>20</v>
      </c>
      <c r="AH13" s="1787"/>
      <c r="AI13" s="530">
        <v>42736</v>
      </c>
      <c r="AJ13" s="531">
        <v>43100</v>
      </c>
      <c r="AK13" s="1798" t="s">
        <v>134</v>
      </c>
    </row>
    <row r="14" spans="1:37" ht="57" x14ac:dyDescent="0.2">
      <c r="A14" s="37"/>
      <c r="B14" s="513"/>
      <c r="C14" s="37"/>
      <c r="D14" s="513"/>
      <c r="E14" s="514"/>
      <c r="F14" s="37"/>
      <c r="G14" s="514"/>
      <c r="H14" s="1796"/>
      <c r="I14" s="1783"/>
      <c r="J14" s="1774"/>
      <c r="K14" s="1797"/>
      <c r="L14" s="1774"/>
      <c r="M14" s="1797"/>
      <c r="N14" s="1783"/>
      <c r="O14" s="1774"/>
      <c r="P14" s="1788"/>
      <c r="Q14" s="1783"/>
      <c r="R14" s="525" t="s">
        <v>141</v>
      </c>
      <c r="S14" s="525" t="s">
        <v>142</v>
      </c>
      <c r="T14" s="532">
        <v>10000000</v>
      </c>
      <c r="U14" s="439">
        <v>20</v>
      </c>
      <c r="V14" s="528" t="s">
        <v>131</v>
      </c>
      <c r="W14" s="1787"/>
      <c r="X14" s="1787"/>
      <c r="Y14" s="1787"/>
      <c r="Z14" s="529">
        <v>100</v>
      </c>
      <c r="AA14" s="529">
        <v>146</v>
      </c>
      <c r="AB14" s="1787">
        <v>20</v>
      </c>
      <c r="AC14" s="1787"/>
      <c r="AD14" s="1787"/>
      <c r="AE14" s="1771"/>
      <c r="AF14" s="1787"/>
      <c r="AG14" s="1787"/>
      <c r="AH14" s="1787"/>
      <c r="AI14" s="530">
        <v>42736</v>
      </c>
      <c r="AJ14" s="531">
        <v>43100</v>
      </c>
      <c r="AK14" s="1799"/>
    </row>
    <row r="15" spans="1:37" ht="42.75" x14ac:dyDescent="0.2">
      <c r="A15" s="37"/>
      <c r="B15" s="513"/>
      <c r="C15" s="37"/>
      <c r="D15" s="513"/>
      <c r="E15" s="514"/>
      <c r="F15" s="37"/>
      <c r="G15" s="514"/>
      <c r="H15" s="1796"/>
      <c r="I15" s="1783"/>
      <c r="J15" s="1774"/>
      <c r="K15" s="1797"/>
      <c r="L15" s="1774"/>
      <c r="M15" s="1797"/>
      <c r="N15" s="1783"/>
      <c r="O15" s="1774"/>
      <c r="P15" s="1788"/>
      <c r="Q15" s="1783"/>
      <c r="R15" s="525" t="s">
        <v>143</v>
      </c>
      <c r="S15" s="525" t="s">
        <v>144</v>
      </c>
      <c r="T15" s="526">
        <v>13317341</v>
      </c>
      <c r="U15" s="439">
        <v>20</v>
      </c>
      <c r="V15" s="528" t="s">
        <v>131</v>
      </c>
      <c r="W15" s="1787"/>
      <c r="X15" s="1787"/>
      <c r="Y15" s="1787"/>
      <c r="Z15" s="529">
        <v>70</v>
      </c>
      <c r="AA15" s="529">
        <v>90</v>
      </c>
      <c r="AB15" s="1787">
        <v>10</v>
      </c>
      <c r="AC15" s="1787"/>
      <c r="AD15" s="1787"/>
      <c r="AE15" s="1772"/>
      <c r="AF15" s="1787"/>
      <c r="AG15" s="1787"/>
      <c r="AH15" s="1787"/>
      <c r="AI15" s="530">
        <v>42736</v>
      </c>
      <c r="AJ15" s="531">
        <v>43100</v>
      </c>
      <c r="AK15" s="1800"/>
    </row>
    <row r="16" spans="1:37" ht="111" customHeight="1" x14ac:dyDescent="0.2">
      <c r="A16" s="37"/>
      <c r="B16" s="513"/>
      <c r="C16" s="37"/>
      <c r="D16" s="513"/>
      <c r="E16" s="514"/>
      <c r="F16" s="37"/>
      <c r="G16" s="514"/>
      <c r="H16" s="1786">
        <v>284</v>
      </c>
      <c r="I16" s="1783" t="s">
        <v>145</v>
      </c>
      <c r="J16" s="1785" t="s">
        <v>16</v>
      </c>
      <c r="K16" s="1782">
        <v>1</v>
      </c>
      <c r="L16" s="1789" t="s">
        <v>146</v>
      </c>
      <c r="M16" s="1782">
        <v>3</v>
      </c>
      <c r="N16" s="1783" t="s">
        <v>147</v>
      </c>
      <c r="O16" s="1782">
        <v>100</v>
      </c>
      <c r="P16" s="1790">
        <v>68295338</v>
      </c>
      <c r="Q16" s="1783" t="s">
        <v>148</v>
      </c>
      <c r="R16" s="533" t="s">
        <v>128</v>
      </c>
      <c r="S16" s="1775" t="s">
        <v>149</v>
      </c>
      <c r="T16" s="1784">
        <v>68295338</v>
      </c>
      <c r="U16" s="439">
        <v>20</v>
      </c>
      <c r="V16" s="1785" t="s">
        <v>131</v>
      </c>
      <c r="W16" s="1773">
        <v>64161</v>
      </c>
      <c r="X16" s="1773">
        <v>71953</v>
      </c>
      <c r="Y16" s="1773">
        <v>27081</v>
      </c>
      <c r="Z16" s="1773">
        <v>86191</v>
      </c>
      <c r="AA16" s="1773">
        <v>238241</v>
      </c>
      <c r="AB16" s="1773">
        <v>84106</v>
      </c>
      <c r="AC16" s="1773">
        <v>12718</v>
      </c>
      <c r="AD16" s="1773" t="s">
        <v>150</v>
      </c>
      <c r="AE16" s="1773"/>
      <c r="AF16" s="1773">
        <v>309</v>
      </c>
      <c r="AG16" s="1773">
        <v>16879</v>
      </c>
      <c r="AH16" s="1773">
        <v>84106</v>
      </c>
      <c r="AI16" s="530">
        <v>42736</v>
      </c>
      <c r="AJ16" s="531">
        <v>43100</v>
      </c>
      <c r="AK16" s="151" t="s">
        <v>134</v>
      </c>
    </row>
    <row r="17" spans="1:37" ht="129.75" customHeight="1" x14ac:dyDescent="0.2">
      <c r="A17" s="37"/>
      <c r="B17" s="513"/>
      <c r="C17" s="37"/>
      <c r="D17" s="513"/>
      <c r="E17" s="514"/>
      <c r="F17" s="37"/>
      <c r="G17" s="514"/>
      <c r="H17" s="1786"/>
      <c r="I17" s="1783"/>
      <c r="J17" s="1785"/>
      <c r="K17" s="1782"/>
      <c r="L17" s="1789"/>
      <c r="M17" s="1782"/>
      <c r="N17" s="1783"/>
      <c r="O17" s="1782"/>
      <c r="P17" s="1790"/>
      <c r="Q17" s="1783"/>
      <c r="R17" s="50" t="s">
        <v>151</v>
      </c>
      <c r="S17" s="1775"/>
      <c r="T17" s="1784"/>
      <c r="U17" s="439">
        <v>20</v>
      </c>
      <c r="V17" s="1785"/>
      <c r="W17" s="1773"/>
      <c r="X17" s="1773"/>
      <c r="Y17" s="1773"/>
      <c r="Z17" s="1773"/>
      <c r="AA17" s="1773"/>
      <c r="AB17" s="1773"/>
      <c r="AC17" s="1773"/>
      <c r="AD17" s="1773"/>
      <c r="AE17" s="1773"/>
      <c r="AF17" s="1773"/>
      <c r="AG17" s="1773"/>
      <c r="AH17" s="1773"/>
      <c r="AI17" s="530">
        <v>42736</v>
      </c>
      <c r="AJ17" s="531">
        <v>43100</v>
      </c>
      <c r="AK17" s="151" t="s">
        <v>134</v>
      </c>
    </row>
    <row r="18" spans="1:37" ht="128.25" x14ac:dyDescent="0.2">
      <c r="A18" s="37"/>
      <c r="B18" s="513"/>
      <c r="C18" s="37"/>
      <c r="D18" s="513"/>
      <c r="E18" s="514"/>
      <c r="F18" s="37"/>
      <c r="G18" s="514"/>
      <c r="H18" s="534">
        <v>285</v>
      </c>
      <c r="I18" s="524" t="s">
        <v>152</v>
      </c>
      <c r="J18" s="528" t="s">
        <v>16</v>
      </c>
      <c r="K18" s="535">
        <v>1</v>
      </c>
      <c r="L18" s="536" t="s">
        <v>153</v>
      </c>
      <c r="M18" s="537">
        <v>4</v>
      </c>
      <c r="N18" s="436" t="s">
        <v>154</v>
      </c>
      <c r="O18" s="535">
        <v>100</v>
      </c>
      <c r="P18" s="538">
        <v>60403055</v>
      </c>
      <c r="Q18" s="436" t="s">
        <v>155</v>
      </c>
      <c r="R18" s="436" t="s">
        <v>156</v>
      </c>
      <c r="S18" s="528" t="s">
        <v>157</v>
      </c>
      <c r="T18" s="539">
        <v>60403055</v>
      </c>
      <c r="U18" s="439">
        <v>20</v>
      </c>
      <c r="V18" s="528" t="s">
        <v>131</v>
      </c>
      <c r="W18" s="540">
        <v>64161</v>
      </c>
      <c r="X18" s="540">
        <v>71953</v>
      </c>
      <c r="Y18" s="540">
        <v>27081</v>
      </c>
      <c r="Z18" s="540">
        <v>86191</v>
      </c>
      <c r="AA18" s="540">
        <v>238241</v>
      </c>
      <c r="AB18" s="540">
        <v>84106</v>
      </c>
      <c r="AC18" s="540">
        <v>12718</v>
      </c>
      <c r="AD18" s="540">
        <v>2145</v>
      </c>
      <c r="AE18" s="439"/>
      <c r="AF18" s="540">
        <v>309</v>
      </c>
      <c r="AG18" s="540">
        <v>16879</v>
      </c>
      <c r="AH18" s="540">
        <v>84106</v>
      </c>
      <c r="AI18" s="530">
        <v>42736</v>
      </c>
      <c r="AJ18" s="531">
        <v>43100</v>
      </c>
      <c r="AK18" s="151" t="s">
        <v>134</v>
      </c>
    </row>
    <row r="19" spans="1:37" ht="128.25" x14ac:dyDescent="0.2">
      <c r="A19" s="37"/>
      <c r="B19" s="513"/>
      <c r="C19" s="37"/>
      <c r="D19" s="513"/>
      <c r="E19" s="514"/>
      <c r="F19" s="37"/>
      <c r="G19" s="514"/>
      <c r="H19" s="89">
        <v>280</v>
      </c>
      <c r="I19" s="50" t="s">
        <v>158</v>
      </c>
      <c r="J19" s="1774" t="s">
        <v>159</v>
      </c>
      <c r="K19" s="450">
        <v>1</v>
      </c>
      <c r="L19" s="1775" t="s">
        <v>160</v>
      </c>
      <c r="M19" s="1776">
        <v>5</v>
      </c>
      <c r="N19" s="1778" t="s">
        <v>161</v>
      </c>
      <c r="O19" s="150">
        <f>+T19/P19</f>
        <v>3.6126372746951331E-2</v>
      </c>
      <c r="P19" s="1779">
        <f>SUM(T19:T24)</f>
        <v>1937642632.7192574</v>
      </c>
      <c r="Q19" s="1767" t="s">
        <v>162</v>
      </c>
      <c r="R19" s="1767" t="s">
        <v>163</v>
      </c>
      <c r="S19" s="455" t="s">
        <v>164</v>
      </c>
      <c r="T19" s="526">
        <v>70000000</v>
      </c>
      <c r="U19" s="439">
        <v>20</v>
      </c>
      <c r="V19" s="528" t="s">
        <v>131</v>
      </c>
      <c r="W19" s="1764">
        <v>64161</v>
      </c>
      <c r="X19" s="1764" t="s">
        <v>165</v>
      </c>
      <c r="Y19" s="1764">
        <v>27081</v>
      </c>
      <c r="Z19" s="1764">
        <v>86191</v>
      </c>
      <c r="AA19" s="1764">
        <v>238241</v>
      </c>
      <c r="AB19" s="1764">
        <v>84106</v>
      </c>
      <c r="AC19" s="1764"/>
      <c r="AD19" s="1764"/>
      <c r="AE19" s="1770"/>
      <c r="AF19" s="1764"/>
      <c r="AG19" s="1764"/>
      <c r="AH19" s="1764"/>
      <c r="AI19" s="530">
        <v>42736</v>
      </c>
      <c r="AJ19" s="531">
        <v>43100</v>
      </c>
      <c r="AK19" s="151" t="s">
        <v>134</v>
      </c>
    </row>
    <row r="20" spans="1:37" ht="99.75" x14ac:dyDescent="0.2">
      <c r="A20" s="37"/>
      <c r="B20" s="513"/>
      <c r="C20" s="37"/>
      <c r="D20" s="513"/>
      <c r="E20" s="514"/>
      <c r="F20" s="37"/>
      <c r="G20" s="514"/>
      <c r="H20" s="89">
        <v>281</v>
      </c>
      <c r="I20" s="50" t="s">
        <v>166</v>
      </c>
      <c r="J20" s="1774"/>
      <c r="K20" s="450">
        <v>1</v>
      </c>
      <c r="L20" s="1775"/>
      <c r="M20" s="1776"/>
      <c r="N20" s="1778"/>
      <c r="O20" s="150">
        <f>+T20/P19</f>
        <v>3.6126372746951331E-2</v>
      </c>
      <c r="P20" s="1780"/>
      <c r="Q20" s="1768"/>
      <c r="R20" s="1768"/>
      <c r="S20" s="455" t="s">
        <v>167</v>
      </c>
      <c r="T20" s="526">
        <v>70000000</v>
      </c>
      <c r="U20" s="439">
        <v>20</v>
      </c>
      <c r="V20" s="528" t="s">
        <v>131</v>
      </c>
      <c r="W20" s="1765"/>
      <c r="X20" s="1765"/>
      <c r="Y20" s="1765"/>
      <c r="Z20" s="1765"/>
      <c r="AA20" s="1765"/>
      <c r="AB20" s="1765"/>
      <c r="AC20" s="1765"/>
      <c r="AD20" s="1765"/>
      <c r="AE20" s="1771"/>
      <c r="AF20" s="1765"/>
      <c r="AG20" s="1765"/>
      <c r="AH20" s="1765"/>
      <c r="AI20" s="542">
        <v>42736</v>
      </c>
      <c r="AJ20" s="543">
        <v>43100</v>
      </c>
      <c r="AK20" s="151" t="s">
        <v>134</v>
      </c>
    </row>
    <row r="21" spans="1:37" ht="71.25" x14ac:dyDescent="0.2">
      <c r="A21" s="37"/>
      <c r="B21" s="513"/>
      <c r="C21" s="37"/>
      <c r="D21" s="513"/>
      <c r="E21" s="514"/>
      <c r="F21" s="37"/>
      <c r="G21" s="514"/>
      <c r="H21" s="89">
        <v>286</v>
      </c>
      <c r="I21" s="50" t="s">
        <v>168</v>
      </c>
      <c r="J21" s="1774"/>
      <c r="K21" s="450">
        <v>1</v>
      </c>
      <c r="L21" s="1775"/>
      <c r="M21" s="1776"/>
      <c r="N21" s="1778"/>
      <c r="O21" s="150">
        <f>+T21/P19</f>
        <v>7.2252745493902662E-2</v>
      </c>
      <c r="P21" s="1780"/>
      <c r="Q21" s="1768"/>
      <c r="R21" s="1768"/>
      <c r="S21" s="455" t="s">
        <v>169</v>
      </c>
      <c r="T21" s="526">
        <v>140000000</v>
      </c>
      <c r="U21" s="439">
        <v>20</v>
      </c>
      <c r="V21" s="528" t="s">
        <v>131</v>
      </c>
      <c r="W21" s="1765"/>
      <c r="X21" s="1765"/>
      <c r="Y21" s="1765"/>
      <c r="Z21" s="1765"/>
      <c r="AA21" s="1765"/>
      <c r="AB21" s="1765"/>
      <c r="AC21" s="1765"/>
      <c r="AD21" s="1765"/>
      <c r="AE21" s="1771"/>
      <c r="AF21" s="1765"/>
      <c r="AG21" s="1765"/>
      <c r="AH21" s="1765"/>
      <c r="AI21" s="530">
        <v>42736</v>
      </c>
      <c r="AJ21" s="531">
        <v>43100</v>
      </c>
      <c r="AK21" s="544" t="s">
        <v>134</v>
      </c>
    </row>
    <row r="22" spans="1:37" ht="85.5" x14ac:dyDescent="0.2">
      <c r="A22" s="37"/>
      <c r="B22" s="513"/>
      <c r="C22" s="37"/>
      <c r="D22" s="513"/>
      <c r="E22" s="514"/>
      <c r="F22" s="37"/>
      <c r="G22" s="514"/>
      <c r="H22" s="457">
        <v>287</v>
      </c>
      <c r="I22" s="50" t="s">
        <v>170</v>
      </c>
      <c r="J22" s="1774"/>
      <c r="K22" s="537">
        <v>1</v>
      </c>
      <c r="L22" s="1775"/>
      <c r="M22" s="1776"/>
      <c r="N22" s="1767"/>
      <c r="O22" s="545">
        <f>+T22/P19</f>
        <v>2.9748846224735743E-2</v>
      </c>
      <c r="P22" s="1780"/>
      <c r="Q22" s="1768"/>
      <c r="R22" s="1768"/>
      <c r="S22" s="50" t="s">
        <v>171</v>
      </c>
      <c r="T22" s="527">
        <f>57642632.7192573</f>
        <v>57642632.719257303</v>
      </c>
      <c r="U22" s="439">
        <v>20</v>
      </c>
      <c r="V22" s="528" t="s">
        <v>131</v>
      </c>
      <c r="W22" s="1765"/>
      <c r="X22" s="1765"/>
      <c r="Y22" s="1765"/>
      <c r="Z22" s="1765"/>
      <c r="AA22" s="1765"/>
      <c r="AB22" s="1765"/>
      <c r="AC22" s="1765"/>
      <c r="AD22" s="1765"/>
      <c r="AE22" s="1771"/>
      <c r="AF22" s="1765"/>
      <c r="AG22" s="1765"/>
      <c r="AH22" s="1765"/>
      <c r="AI22" s="542">
        <v>42736</v>
      </c>
      <c r="AJ22" s="543">
        <v>43100</v>
      </c>
      <c r="AK22" s="544" t="s">
        <v>134</v>
      </c>
    </row>
    <row r="23" spans="1:37" ht="85.5" x14ac:dyDescent="0.2">
      <c r="A23" s="37"/>
      <c r="B23" s="513"/>
      <c r="C23" s="37"/>
      <c r="D23" s="513"/>
      <c r="E23" s="514"/>
      <c r="F23" s="37"/>
      <c r="G23" s="514"/>
      <c r="H23" s="457">
        <v>287</v>
      </c>
      <c r="I23" s="50" t="s">
        <v>170</v>
      </c>
      <c r="J23" s="1774"/>
      <c r="K23" s="537">
        <v>1</v>
      </c>
      <c r="L23" s="1775"/>
      <c r="M23" s="1777"/>
      <c r="N23" s="444"/>
      <c r="O23" s="545">
        <f>+T23/P19</f>
        <v>5.1609103924216179E-2</v>
      </c>
      <c r="P23" s="1780"/>
      <c r="Q23" s="1768"/>
      <c r="R23" s="1768"/>
      <c r="S23" s="50" t="s">
        <v>171</v>
      </c>
      <c r="T23" s="527">
        <v>100000000</v>
      </c>
      <c r="U23" s="439">
        <v>88</v>
      </c>
      <c r="V23" s="436" t="s">
        <v>172</v>
      </c>
      <c r="W23" s="1765"/>
      <c r="X23" s="1765"/>
      <c r="Y23" s="1765"/>
      <c r="Z23" s="1765"/>
      <c r="AA23" s="1765"/>
      <c r="AB23" s="1765"/>
      <c r="AC23" s="1765"/>
      <c r="AD23" s="1765"/>
      <c r="AE23" s="1771"/>
      <c r="AF23" s="1765"/>
      <c r="AG23" s="1765"/>
      <c r="AH23" s="1765"/>
      <c r="AI23" s="542">
        <v>42736</v>
      </c>
      <c r="AJ23" s="543">
        <v>43100</v>
      </c>
      <c r="AK23" s="544" t="s">
        <v>134</v>
      </c>
    </row>
    <row r="24" spans="1:37" ht="85.5" x14ac:dyDescent="0.2">
      <c r="A24" s="546"/>
      <c r="B24" s="547"/>
      <c r="C24" s="546"/>
      <c r="D24" s="547"/>
      <c r="E24" s="548"/>
      <c r="F24" s="546"/>
      <c r="G24" s="548"/>
      <c r="H24" s="457">
        <v>289</v>
      </c>
      <c r="I24" s="50" t="s">
        <v>173</v>
      </c>
      <c r="J24" s="1774"/>
      <c r="K24" s="537">
        <v>1</v>
      </c>
      <c r="L24" s="1775"/>
      <c r="M24" s="1777"/>
      <c r="N24" s="437"/>
      <c r="O24" s="549">
        <f>+T24/P19</f>
        <v>0.77413655886324273</v>
      </c>
      <c r="P24" s="1781"/>
      <c r="Q24" s="1769"/>
      <c r="R24" s="1769"/>
      <c r="S24" s="50" t="s">
        <v>173</v>
      </c>
      <c r="T24" s="527">
        <v>1500000000</v>
      </c>
      <c r="U24" s="528">
        <v>88</v>
      </c>
      <c r="V24" s="436" t="s">
        <v>172</v>
      </c>
      <c r="W24" s="1766"/>
      <c r="X24" s="1766"/>
      <c r="Y24" s="1766"/>
      <c r="Z24" s="1766"/>
      <c r="AA24" s="1766"/>
      <c r="AB24" s="1766"/>
      <c r="AC24" s="1766"/>
      <c r="AD24" s="1766"/>
      <c r="AE24" s="1772"/>
      <c r="AF24" s="1766"/>
      <c r="AG24" s="1766"/>
      <c r="AH24" s="1766"/>
      <c r="AI24" s="530">
        <v>42736</v>
      </c>
      <c r="AJ24" s="531">
        <v>43100</v>
      </c>
      <c r="AK24" s="550" t="s">
        <v>134</v>
      </c>
    </row>
    <row r="25" spans="1:37" s="559" customFormat="1" ht="22.5" customHeight="1" x14ac:dyDescent="0.25">
      <c r="A25" s="551"/>
      <c r="B25" s="552"/>
      <c r="C25" s="552"/>
      <c r="D25" s="552"/>
      <c r="E25" s="552"/>
      <c r="F25" s="552"/>
      <c r="G25" s="552"/>
      <c r="H25" s="552"/>
      <c r="I25" s="552"/>
      <c r="J25" s="552"/>
      <c r="K25" s="553"/>
      <c r="L25" s="552"/>
      <c r="M25" s="1763" t="s">
        <v>120</v>
      </c>
      <c r="N25" s="1763"/>
      <c r="O25" s="554"/>
      <c r="P25" s="555">
        <f>SUM(P12:P24)</f>
        <v>2154647400.7192574</v>
      </c>
      <c r="Q25" s="551"/>
      <c r="R25" s="552"/>
      <c r="S25" s="556"/>
      <c r="T25" s="557">
        <f>SUM(T12:T24)</f>
        <v>2154647400.7192574</v>
      </c>
      <c r="U25" s="551"/>
      <c r="V25" s="552"/>
      <c r="W25" s="552"/>
      <c r="X25" s="552"/>
      <c r="Y25" s="552"/>
      <c r="Z25" s="552"/>
      <c r="AA25" s="552"/>
      <c r="AB25" s="552"/>
      <c r="AC25" s="552"/>
      <c r="AD25" s="552"/>
      <c r="AE25" s="552"/>
      <c r="AF25" s="552"/>
      <c r="AG25" s="552"/>
      <c r="AH25" s="552"/>
      <c r="AI25" s="558"/>
      <c r="AJ25" s="558"/>
      <c r="AK25" s="554"/>
    </row>
    <row r="31" spans="1:37" ht="15" x14ac:dyDescent="0.25">
      <c r="B31" s="1729" t="s">
        <v>1943</v>
      </c>
      <c r="C31" s="1729"/>
      <c r="D31" s="1729"/>
    </row>
    <row r="32" spans="1:37" x14ac:dyDescent="0.2">
      <c r="B32" s="34" t="s">
        <v>121</v>
      </c>
    </row>
  </sheetData>
  <mergeCells count="99">
    <mergeCell ref="AK13:AK15"/>
    <mergeCell ref="AE13:AE15"/>
    <mergeCell ref="AF13:AF15"/>
    <mergeCell ref="AG13:AG15"/>
    <mergeCell ref="M13:M15"/>
    <mergeCell ref="N13:N15"/>
    <mergeCell ref="O13:O15"/>
    <mergeCell ref="AH13:AH15"/>
    <mergeCell ref="H13:H15"/>
    <mergeCell ref="I13:I15"/>
    <mergeCell ref="J13:J15"/>
    <mergeCell ref="K13:K15"/>
    <mergeCell ref="L13:L15"/>
    <mergeCell ref="T7:T8"/>
    <mergeCell ref="G7:G8"/>
    <mergeCell ref="AI7:AI8"/>
    <mergeCell ref="AJ7:AJ8"/>
    <mergeCell ref="AK7:AK8"/>
    <mergeCell ref="S7:S8"/>
    <mergeCell ref="H7:H8"/>
    <mergeCell ref="I7:I8"/>
    <mergeCell ref="J7:J8"/>
    <mergeCell ref="L7:L8"/>
    <mergeCell ref="M7:M8"/>
    <mergeCell ref="K7:K8"/>
    <mergeCell ref="A7:A8"/>
    <mergeCell ref="B7:B8"/>
    <mergeCell ref="C7:C8"/>
    <mergeCell ref="D7:E8"/>
    <mergeCell ref="F7:F8"/>
    <mergeCell ref="H16:H17"/>
    <mergeCell ref="I16:I17"/>
    <mergeCell ref="J16:J17"/>
    <mergeCell ref="K16:K17"/>
    <mergeCell ref="AD13:AD15"/>
    <mergeCell ref="Y13:Y15"/>
    <mergeCell ref="AB13:AB15"/>
    <mergeCell ref="AC13:AC15"/>
    <mergeCell ref="P13:P15"/>
    <mergeCell ref="Q13:Q15"/>
    <mergeCell ref="W13:W15"/>
    <mergeCell ref="X13:X15"/>
    <mergeCell ref="L16:L17"/>
    <mergeCell ref="O16:O17"/>
    <mergeCell ref="P16:P17"/>
    <mergeCell ref="Q16:Q17"/>
    <mergeCell ref="Z16:Z17"/>
    <mergeCell ref="AA16:AA17"/>
    <mergeCell ref="S16:S17"/>
    <mergeCell ref="T16:T17"/>
    <mergeCell ref="V16:V17"/>
    <mergeCell ref="W16:W17"/>
    <mergeCell ref="X16:X17"/>
    <mergeCell ref="AH16:AH17"/>
    <mergeCell ref="J19:J24"/>
    <mergeCell ref="L19:L24"/>
    <mergeCell ref="M19:M24"/>
    <mergeCell ref="N19:N22"/>
    <mergeCell ref="P19:P24"/>
    <mergeCell ref="M16:M17"/>
    <mergeCell ref="N16:N17"/>
    <mergeCell ref="AE16:AE17"/>
    <mergeCell ref="AF16:AF17"/>
    <mergeCell ref="AG16:AG17"/>
    <mergeCell ref="AB16:AB17"/>
    <mergeCell ref="AC16:AC17"/>
    <mergeCell ref="AD16:AD17"/>
    <mergeCell ref="AH19:AH24"/>
    <mergeCell ref="Y16:Y17"/>
    <mergeCell ref="M25:N25"/>
    <mergeCell ref="AF19:AF24"/>
    <mergeCell ref="AG19:AG24"/>
    <mergeCell ref="W19:W24"/>
    <mergeCell ref="X19:X24"/>
    <mergeCell ref="Y19:Y24"/>
    <mergeCell ref="Q19:Q24"/>
    <mergeCell ref="R19:R24"/>
    <mergeCell ref="AC19:AC24"/>
    <mergeCell ref="AD19:AD24"/>
    <mergeCell ref="AE19:AE24"/>
    <mergeCell ref="Z19:Z24"/>
    <mergeCell ref="AA19:AA24"/>
    <mergeCell ref="AB19:AB24"/>
    <mergeCell ref="A1:AI1"/>
    <mergeCell ref="A2:AI3"/>
    <mergeCell ref="A4:AI4"/>
    <mergeCell ref="U7:U8"/>
    <mergeCell ref="V7:V8"/>
    <mergeCell ref="N7:N8"/>
    <mergeCell ref="O7:O8"/>
    <mergeCell ref="P7:P8"/>
    <mergeCell ref="Q7:Q8"/>
    <mergeCell ref="R7:R8"/>
    <mergeCell ref="W7:AB7"/>
    <mergeCell ref="AC7:AH7"/>
    <mergeCell ref="W5:AH6"/>
    <mergeCell ref="AI6:AK6"/>
    <mergeCell ref="A5:K6"/>
    <mergeCell ref="L5:V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9"/>
  <sheetViews>
    <sheetView showGridLines="0" topLeftCell="A69" zoomScale="55" zoomScaleNormal="55" workbookViewId="0">
      <selection activeCell="P71" sqref="P71:P75"/>
    </sheetView>
  </sheetViews>
  <sheetFormatPr baseColWidth="10" defaultColWidth="11.42578125" defaultRowHeight="27" customHeight="1" x14ac:dyDescent="0.2"/>
  <cols>
    <col min="1" max="1" width="6.42578125" style="4" customWidth="1"/>
    <col min="2" max="2" width="1.140625" style="1" customWidth="1"/>
    <col min="3" max="3" width="8.7109375" style="1" customWidth="1"/>
    <col min="4" max="4" width="5.5703125" style="1" customWidth="1"/>
    <col min="5" max="5" width="8" style="1" customWidth="1"/>
    <col min="6" max="6" width="6.28515625" style="1" hidden="1" customWidth="1"/>
    <col min="7" max="7" width="5.5703125" style="1" customWidth="1"/>
    <col min="8" max="8" width="11.42578125" style="1" customWidth="1"/>
    <col min="9" max="9" width="2.42578125" style="1" customWidth="1"/>
    <col min="10" max="10" width="11" style="387" customWidth="1"/>
    <col min="11" max="11" width="24.5703125" style="25" customWidth="1"/>
    <col min="12" max="12" width="10.7109375" style="8" customWidth="1"/>
    <col min="13" max="13" width="9.5703125" style="354" customWidth="1"/>
    <col min="14" max="14" width="25.5703125" style="318" customWidth="1"/>
    <col min="15" max="15" width="6.7109375" style="26" customWidth="1"/>
    <col min="16" max="16" width="23.85546875" style="25" customWidth="1"/>
    <col min="17" max="17" width="12.42578125" style="355" customWidth="1"/>
    <col min="18" max="18" width="22.85546875" style="32" customWidth="1"/>
    <col min="19" max="19" width="23.5703125" style="25" customWidth="1"/>
    <col min="20" max="20" width="24" style="25" customWidth="1"/>
    <col min="21" max="21" width="24.42578125" style="25" customWidth="1"/>
    <col min="22" max="22" width="24.7109375" style="16" customWidth="1"/>
    <col min="23" max="23" width="12.7109375" style="31" bestFit="1" customWidth="1"/>
    <col min="24" max="24" width="29.85546875" style="27" bestFit="1" customWidth="1"/>
    <col min="25" max="25" width="8.5703125" style="1" customWidth="1"/>
    <col min="26" max="27" width="7.140625" style="1" customWidth="1"/>
    <col min="28" max="28" width="7.28515625" style="1" customWidth="1"/>
    <col min="29" max="29" width="9.28515625" style="1" customWidth="1"/>
    <col min="30" max="30" width="11" style="1" customWidth="1"/>
    <col min="31" max="31" width="7.140625" style="1" customWidth="1"/>
    <col min="32" max="32" width="6.7109375" style="1" customWidth="1"/>
    <col min="33" max="33" width="7.5703125" style="1" customWidth="1"/>
    <col min="34" max="34" width="7.28515625" style="1" customWidth="1"/>
    <col min="35" max="35" width="12.5703125" style="1" customWidth="1"/>
    <col min="36" max="36" width="7.28515625" style="1" customWidth="1"/>
    <col min="37" max="37" width="22.7109375" style="28" customWidth="1"/>
    <col min="38" max="38" width="22.7109375" style="29" customWidth="1"/>
    <col min="39" max="39" width="28.7109375" style="30" customWidth="1"/>
    <col min="40" max="71" width="11.42578125" style="1" customWidth="1"/>
    <col min="72" max="16384" width="11.42578125" style="1"/>
  </cols>
  <sheetData>
    <row r="1" spans="1:39" ht="24.75" customHeight="1" x14ac:dyDescent="0.25">
      <c r="A1" s="2869" t="s">
        <v>1791</v>
      </c>
      <c r="B1" s="2870"/>
      <c r="C1" s="2870"/>
      <c r="D1" s="2870"/>
      <c r="E1" s="2870"/>
      <c r="F1" s="2870"/>
      <c r="G1" s="2870"/>
      <c r="H1" s="2870"/>
      <c r="I1" s="2870"/>
      <c r="J1" s="2870"/>
      <c r="K1" s="2870"/>
      <c r="L1" s="2870"/>
      <c r="M1" s="2870"/>
      <c r="N1" s="2870"/>
      <c r="O1" s="2870"/>
      <c r="P1" s="2870"/>
      <c r="Q1" s="2870"/>
      <c r="R1" s="2870"/>
      <c r="S1" s="2870"/>
      <c r="T1" s="2870"/>
      <c r="U1" s="2870"/>
      <c r="V1" s="2870"/>
      <c r="W1" s="2870"/>
      <c r="X1" s="2870"/>
      <c r="Y1" s="2870"/>
      <c r="Z1" s="2870"/>
      <c r="AA1" s="2870"/>
      <c r="AB1" s="2870"/>
      <c r="AC1" s="2870"/>
      <c r="AD1" s="2870"/>
      <c r="AE1" s="2870"/>
      <c r="AF1" s="2870"/>
      <c r="AG1" s="2870"/>
      <c r="AH1" s="2870"/>
      <c r="AI1" s="2870"/>
      <c r="AJ1" s="2870"/>
      <c r="AK1" s="2871"/>
      <c r="AL1" s="769" t="s">
        <v>0</v>
      </c>
      <c r="AM1" s="245" t="s">
        <v>1784</v>
      </c>
    </row>
    <row r="2" spans="1:39" ht="24.75" customHeight="1" x14ac:dyDescent="0.25">
      <c r="A2" s="2872"/>
      <c r="B2" s="2873"/>
      <c r="C2" s="2873"/>
      <c r="D2" s="2873"/>
      <c r="E2" s="2873"/>
      <c r="F2" s="2873"/>
      <c r="G2" s="2873"/>
      <c r="H2" s="2873"/>
      <c r="I2" s="2873"/>
      <c r="J2" s="2873"/>
      <c r="K2" s="2873"/>
      <c r="L2" s="2873"/>
      <c r="M2" s="2873"/>
      <c r="N2" s="2873"/>
      <c r="O2" s="2873"/>
      <c r="P2" s="2873"/>
      <c r="Q2" s="2873"/>
      <c r="R2" s="2873"/>
      <c r="S2" s="2873"/>
      <c r="T2" s="2873"/>
      <c r="U2" s="2873"/>
      <c r="V2" s="2873"/>
      <c r="W2" s="2873"/>
      <c r="X2" s="2873"/>
      <c r="Y2" s="2873"/>
      <c r="Z2" s="2873"/>
      <c r="AA2" s="2873"/>
      <c r="AB2" s="2873"/>
      <c r="AC2" s="2873"/>
      <c r="AD2" s="2873"/>
      <c r="AE2" s="2873"/>
      <c r="AF2" s="2873"/>
      <c r="AG2" s="2873"/>
      <c r="AH2" s="2873"/>
      <c r="AI2" s="2873"/>
      <c r="AJ2" s="2873"/>
      <c r="AK2" s="2874"/>
      <c r="AL2" s="770" t="s">
        <v>1</v>
      </c>
      <c r="AM2" s="246">
        <v>5</v>
      </c>
    </row>
    <row r="3" spans="1:39" ht="24.75" customHeight="1" x14ac:dyDescent="0.25">
      <c r="A3" s="2872"/>
      <c r="B3" s="2873"/>
      <c r="C3" s="2873"/>
      <c r="D3" s="2873"/>
      <c r="E3" s="2873"/>
      <c r="F3" s="2873"/>
      <c r="G3" s="2873"/>
      <c r="H3" s="2873"/>
      <c r="I3" s="2873"/>
      <c r="J3" s="2873"/>
      <c r="K3" s="2873"/>
      <c r="L3" s="2873"/>
      <c r="M3" s="2873"/>
      <c r="N3" s="2873"/>
      <c r="O3" s="2873"/>
      <c r="P3" s="2873"/>
      <c r="Q3" s="2873"/>
      <c r="R3" s="2873"/>
      <c r="S3" s="2873"/>
      <c r="T3" s="2873"/>
      <c r="U3" s="2873"/>
      <c r="V3" s="2873"/>
      <c r="W3" s="2873"/>
      <c r="X3" s="2873"/>
      <c r="Y3" s="2873"/>
      <c r="Z3" s="2873"/>
      <c r="AA3" s="2873"/>
      <c r="AB3" s="2873"/>
      <c r="AC3" s="2873"/>
      <c r="AD3" s="2873"/>
      <c r="AE3" s="2873"/>
      <c r="AF3" s="2873"/>
      <c r="AG3" s="2873"/>
      <c r="AH3" s="2873"/>
      <c r="AI3" s="2873"/>
      <c r="AJ3" s="2873"/>
      <c r="AK3" s="2874"/>
      <c r="AL3" s="769" t="s">
        <v>2</v>
      </c>
      <c r="AM3" s="247" t="s">
        <v>1785</v>
      </c>
    </row>
    <row r="4" spans="1:39" ht="24.75" customHeight="1" x14ac:dyDescent="0.2">
      <c r="A4" s="2875"/>
      <c r="B4" s="2876"/>
      <c r="C4" s="2876"/>
      <c r="D4" s="2876"/>
      <c r="E4" s="2876"/>
      <c r="F4" s="2876"/>
      <c r="G4" s="2876"/>
      <c r="H4" s="2876"/>
      <c r="I4" s="2876"/>
      <c r="J4" s="2876"/>
      <c r="K4" s="2876"/>
      <c r="L4" s="2876"/>
      <c r="M4" s="2876"/>
      <c r="N4" s="2876"/>
      <c r="O4" s="2876"/>
      <c r="P4" s="2876"/>
      <c r="Q4" s="2876"/>
      <c r="R4" s="2876"/>
      <c r="S4" s="2876"/>
      <c r="T4" s="2876"/>
      <c r="U4" s="2876"/>
      <c r="V4" s="2876"/>
      <c r="W4" s="2876"/>
      <c r="X4" s="2876"/>
      <c r="Y4" s="2876"/>
      <c r="Z4" s="2876"/>
      <c r="AA4" s="2876"/>
      <c r="AB4" s="2876"/>
      <c r="AC4" s="2876"/>
      <c r="AD4" s="2876"/>
      <c r="AE4" s="2876"/>
      <c r="AF4" s="2876"/>
      <c r="AG4" s="2876"/>
      <c r="AH4" s="2876"/>
      <c r="AI4" s="2876"/>
      <c r="AJ4" s="2876"/>
      <c r="AK4" s="2877"/>
      <c r="AL4" s="772" t="s">
        <v>3</v>
      </c>
      <c r="AM4" s="248" t="s">
        <v>4</v>
      </c>
    </row>
    <row r="5" spans="1:39" ht="24.75" customHeight="1" x14ac:dyDescent="0.2">
      <c r="A5" s="2890" t="s">
        <v>5</v>
      </c>
      <c r="B5" s="2890"/>
      <c r="C5" s="2890"/>
      <c r="D5" s="2890"/>
      <c r="E5" s="2890"/>
      <c r="F5" s="2890"/>
      <c r="G5" s="2890"/>
      <c r="H5" s="2890"/>
      <c r="I5" s="2890"/>
      <c r="J5" s="2890"/>
      <c r="K5" s="2890"/>
      <c r="L5" s="2890"/>
      <c r="M5" s="2890"/>
      <c r="N5" s="2892" t="s">
        <v>6</v>
      </c>
      <c r="O5" s="2893"/>
      <c r="P5" s="2893"/>
      <c r="Q5" s="2893"/>
      <c r="R5" s="2893"/>
      <c r="S5" s="2893"/>
      <c r="T5" s="2893"/>
      <c r="U5" s="2893"/>
      <c r="V5" s="2893"/>
      <c r="W5" s="2893"/>
      <c r="X5" s="2894"/>
      <c r="Y5" s="2892" t="s">
        <v>7</v>
      </c>
      <c r="Z5" s="2893"/>
      <c r="AA5" s="2893"/>
      <c r="AB5" s="2893"/>
      <c r="AC5" s="2893"/>
      <c r="AD5" s="2893"/>
      <c r="AE5" s="2893"/>
      <c r="AF5" s="2893"/>
      <c r="AG5" s="2893"/>
      <c r="AH5" s="2893"/>
      <c r="AI5" s="2893"/>
      <c r="AJ5" s="2893"/>
      <c r="AK5" s="2893"/>
      <c r="AL5" s="2893"/>
      <c r="AM5" s="2894"/>
    </row>
    <row r="6" spans="1:39" ht="24.75" customHeight="1" x14ac:dyDescent="0.2">
      <c r="A6" s="2891"/>
      <c r="B6" s="2891"/>
      <c r="C6" s="2891"/>
      <c r="D6" s="2891"/>
      <c r="E6" s="2891"/>
      <c r="F6" s="2891"/>
      <c r="G6" s="2891"/>
      <c r="H6" s="2891"/>
      <c r="I6" s="2891"/>
      <c r="J6" s="2891"/>
      <c r="K6" s="2891"/>
      <c r="L6" s="2891"/>
      <c r="M6" s="2891"/>
      <c r="N6" s="2895"/>
      <c r="O6" s="2891"/>
      <c r="P6" s="2891"/>
      <c r="Q6" s="2891"/>
      <c r="R6" s="2891"/>
      <c r="S6" s="2891"/>
      <c r="T6" s="2891"/>
      <c r="U6" s="2891"/>
      <c r="V6" s="2891"/>
      <c r="W6" s="2891"/>
      <c r="X6" s="2896"/>
      <c r="Y6" s="2895"/>
      <c r="Z6" s="2891"/>
      <c r="AA6" s="2891"/>
      <c r="AB6" s="2891"/>
      <c r="AC6" s="2891"/>
      <c r="AD6" s="2891"/>
      <c r="AE6" s="2891"/>
      <c r="AF6" s="2891"/>
      <c r="AG6" s="2891"/>
      <c r="AH6" s="2891"/>
      <c r="AI6" s="2891"/>
      <c r="AJ6" s="2891"/>
      <c r="AK6" s="2891"/>
      <c r="AL6" s="2891"/>
      <c r="AM6" s="2896"/>
    </row>
    <row r="7" spans="1:39" ht="22.5" customHeight="1" x14ac:dyDescent="0.2">
      <c r="A7" s="2897" t="s">
        <v>8</v>
      </c>
      <c r="B7" s="2843" t="s">
        <v>9</v>
      </c>
      <c r="C7" s="2844"/>
      <c r="D7" s="2837" t="s">
        <v>8</v>
      </c>
      <c r="E7" s="2843" t="s">
        <v>10</v>
      </c>
      <c r="F7" s="2844"/>
      <c r="G7" s="2837" t="s">
        <v>8</v>
      </c>
      <c r="H7" s="2843" t="s">
        <v>11</v>
      </c>
      <c r="I7" s="2844"/>
      <c r="J7" s="2837" t="s">
        <v>8</v>
      </c>
      <c r="K7" s="2840" t="s">
        <v>12</v>
      </c>
      <c r="L7" s="2837" t="s">
        <v>13</v>
      </c>
      <c r="M7" s="2843" t="s">
        <v>14</v>
      </c>
      <c r="N7" s="2840" t="s">
        <v>15</v>
      </c>
      <c r="O7" s="2837" t="s">
        <v>258</v>
      </c>
      <c r="P7" s="2840" t="s">
        <v>6</v>
      </c>
      <c r="Q7" s="2862" t="s">
        <v>17</v>
      </c>
      <c r="R7" s="2865" t="s">
        <v>18</v>
      </c>
      <c r="S7" s="2837" t="s">
        <v>19</v>
      </c>
      <c r="T7" s="2840" t="s">
        <v>20</v>
      </c>
      <c r="U7" s="2840" t="s">
        <v>21</v>
      </c>
      <c r="V7" s="2857" t="s">
        <v>18</v>
      </c>
      <c r="W7" s="2859" t="s">
        <v>8</v>
      </c>
      <c r="X7" s="2837" t="s">
        <v>22</v>
      </c>
      <c r="Y7" s="2855" t="s">
        <v>23</v>
      </c>
      <c r="Z7" s="2856"/>
      <c r="AA7" s="2856"/>
      <c r="AB7" s="2856"/>
      <c r="AC7" s="2856"/>
      <c r="AD7" s="2856"/>
      <c r="AE7" s="2855" t="s">
        <v>24</v>
      </c>
      <c r="AF7" s="2856"/>
      <c r="AG7" s="2856"/>
      <c r="AH7" s="2856"/>
      <c r="AI7" s="2856"/>
      <c r="AJ7" s="2856"/>
      <c r="AK7" s="2878" t="s">
        <v>25</v>
      </c>
      <c r="AL7" s="2881" t="s">
        <v>26</v>
      </c>
      <c r="AM7" s="2852" t="s">
        <v>27</v>
      </c>
    </row>
    <row r="8" spans="1:39" ht="39" customHeight="1" x14ac:dyDescent="0.2">
      <c r="A8" s="2898"/>
      <c r="B8" s="2845"/>
      <c r="C8" s="2846"/>
      <c r="D8" s="2838"/>
      <c r="E8" s="2845"/>
      <c r="F8" s="2846"/>
      <c r="G8" s="2838"/>
      <c r="H8" s="2845"/>
      <c r="I8" s="2846"/>
      <c r="J8" s="2838"/>
      <c r="K8" s="2841"/>
      <c r="L8" s="2838"/>
      <c r="M8" s="2847"/>
      <c r="N8" s="2841"/>
      <c r="O8" s="2838"/>
      <c r="P8" s="2841"/>
      <c r="Q8" s="2863"/>
      <c r="R8" s="2866"/>
      <c r="S8" s="2838"/>
      <c r="T8" s="2841"/>
      <c r="U8" s="2841"/>
      <c r="V8" s="2858"/>
      <c r="W8" s="2860"/>
      <c r="X8" s="2838"/>
      <c r="Y8" s="2833" t="s">
        <v>28</v>
      </c>
      <c r="Z8" s="2833" t="s">
        <v>29</v>
      </c>
      <c r="AA8" s="2833" t="s">
        <v>30</v>
      </c>
      <c r="AB8" s="2833" t="s">
        <v>31</v>
      </c>
      <c r="AC8" s="2833" t="s">
        <v>32</v>
      </c>
      <c r="AD8" s="2833" t="s">
        <v>33</v>
      </c>
      <c r="AE8" s="2900" t="s">
        <v>34</v>
      </c>
      <c r="AF8" s="2833" t="s">
        <v>35</v>
      </c>
      <c r="AG8" s="2833" t="s">
        <v>36</v>
      </c>
      <c r="AH8" s="2833" t="s">
        <v>37</v>
      </c>
      <c r="AI8" s="2833" t="s">
        <v>38</v>
      </c>
      <c r="AJ8" s="2833" t="s">
        <v>39</v>
      </c>
      <c r="AK8" s="2879"/>
      <c r="AL8" s="2882"/>
      <c r="AM8" s="2853"/>
    </row>
    <row r="9" spans="1:39" ht="75.75" customHeight="1" x14ac:dyDescent="0.2">
      <c r="A9" s="2899"/>
      <c r="B9" s="2847"/>
      <c r="C9" s="2848"/>
      <c r="D9" s="2839"/>
      <c r="E9" s="2847"/>
      <c r="F9" s="2848"/>
      <c r="G9" s="2839"/>
      <c r="H9" s="2847"/>
      <c r="I9" s="2848"/>
      <c r="J9" s="2839"/>
      <c r="K9" s="2842"/>
      <c r="L9" s="2839"/>
      <c r="M9" s="268" t="s">
        <v>40</v>
      </c>
      <c r="N9" s="2842"/>
      <c r="O9" s="2839"/>
      <c r="P9" s="2842"/>
      <c r="Q9" s="2864"/>
      <c r="R9" s="2867"/>
      <c r="S9" s="2839"/>
      <c r="T9" s="2842"/>
      <c r="U9" s="2842"/>
      <c r="V9" s="269" t="s">
        <v>41</v>
      </c>
      <c r="W9" s="2861"/>
      <c r="X9" s="2839"/>
      <c r="Y9" s="2834"/>
      <c r="Z9" s="2834" t="s">
        <v>40</v>
      </c>
      <c r="AA9" s="2834" t="s">
        <v>40</v>
      </c>
      <c r="AB9" s="2834" t="s">
        <v>40</v>
      </c>
      <c r="AC9" s="2834" t="s">
        <v>40</v>
      </c>
      <c r="AD9" s="2834" t="s">
        <v>40</v>
      </c>
      <c r="AE9" s="2901" t="s">
        <v>40</v>
      </c>
      <c r="AF9" s="2834" t="s">
        <v>40</v>
      </c>
      <c r="AG9" s="2834" t="s">
        <v>40</v>
      </c>
      <c r="AH9" s="2834" t="s">
        <v>40</v>
      </c>
      <c r="AI9" s="2834" t="s">
        <v>40</v>
      </c>
      <c r="AJ9" s="2834" t="s">
        <v>40</v>
      </c>
      <c r="AK9" s="2880"/>
      <c r="AL9" s="2883"/>
      <c r="AM9" s="2854"/>
    </row>
    <row r="10" spans="1:39" s="278" customFormat="1" ht="17.25" customHeight="1" x14ac:dyDescent="0.2">
      <c r="A10" s="270">
        <v>3</v>
      </c>
      <c r="B10" s="5"/>
      <c r="C10" s="5" t="s">
        <v>537</v>
      </c>
      <c r="D10" s="5"/>
      <c r="E10" s="5"/>
      <c r="F10" s="5"/>
      <c r="G10" s="5"/>
      <c r="H10" s="5"/>
      <c r="I10" s="5"/>
      <c r="J10" s="6"/>
      <c r="K10" s="7"/>
      <c r="L10" s="5"/>
      <c r="M10" s="271"/>
      <c r="N10" s="7"/>
      <c r="O10" s="5"/>
      <c r="P10" s="7"/>
      <c r="Q10" s="272"/>
      <c r="R10" s="273"/>
      <c r="S10" s="5"/>
      <c r="T10" s="7"/>
      <c r="U10" s="7"/>
      <c r="V10" s="273"/>
      <c r="W10" s="274"/>
      <c r="X10" s="5"/>
      <c r="Y10" s="5"/>
      <c r="Z10" s="5"/>
      <c r="AA10" s="5"/>
      <c r="AB10" s="5"/>
      <c r="AC10" s="5"/>
      <c r="AD10" s="5"/>
      <c r="AE10" s="5"/>
      <c r="AF10" s="275"/>
      <c r="AG10" s="5"/>
      <c r="AH10" s="5"/>
      <c r="AI10" s="5"/>
      <c r="AJ10" s="5"/>
      <c r="AK10" s="276"/>
      <c r="AL10" s="276"/>
      <c r="AM10" s="277"/>
    </row>
    <row r="11" spans="1:39" s="152" customFormat="1" ht="18" customHeight="1" x14ac:dyDescent="0.2">
      <c r="A11" s="279"/>
      <c r="B11" s="280"/>
      <c r="C11" s="280"/>
      <c r="D11" s="281">
        <v>5</v>
      </c>
      <c r="E11" s="415" t="s">
        <v>1551</v>
      </c>
      <c r="F11" s="282"/>
      <c r="G11" s="282"/>
      <c r="H11" s="282"/>
      <c r="I11" s="282"/>
      <c r="J11" s="12"/>
      <c r="K11" s="11"/>
      <c r="L11" s="282"/>
      <c r="M11" s="283"/>
      <c r="N11" s="11"/>
      <c r="O11" s="282"/>
      <c r="P11" s="11"/>
      <c r="Q11" s="284"/>
      <c r="R11" s="285"/>
      <c r="S11" s="282"/>
      <c r="T11" s="11"/>
      <c r="U11" s="11"/>
      <c r="V11" s="285"/>
      <c r="W11" s="286"/>
      <c r="X11" s="282"/>
      <c r="Y11" s="282"/>
      <c r="Z11" s="282"/>
      <c r="AA11" s="282"/>
      <c r="AB11" s="282"/>
      <c r="AC11" s="282"/>
      <c r="AD11" s="282"/>
      <c r="AE11" s="282"/>
      <c r="AF11" s="282"/>
      <c r="AG11" s="282"/>
      <c r="AH11" s="282"/>
      <c r="AI11" s="282"/>
      <c r="AJ11" s="282"/>
      <c r="AK11" s="287"/>
      <c r="AL11" s="287"/>
      <c r="AM11" s="21"/>
    </row>
    <row r="12" spans="1:39" s="152" customFormat="1" ht="22.5" customHeight="1" x14ac:dyDescent="0.2">
      <c r="A12" s="279"/>
      <c r="B12" s="280"/>
      <c r="C12" s="280"/>
      <c r="D12" s="288"/>
      <c r="E12" s="280"/>
      <c r="F12" s="280"/>
      <c r="G12" s="289">
        <v>16</v>
      </c>
      <c r="H12" s="410" t="s">
        <v>1552</v>
      </c>
      <c r="I12" s="410"/>
      <c r="J12" s="386"/>
      <c r="K12" s="426"/>
      <c r="L12" s="410"/>
      <c r="M12" s="290"/>
      <c r="N12" s="426"/>
      <c r="O12" s="410"/>
      <c r="P12" s="426"/>
      <c r="Q12" s="291"/>
      <c r="R12" s="292"/>
      <c r="S12" s="410"/>
      <c r="T12" s="426"/>
      <c r="U12" s="426"/>
      <c r="V12" s="19">
        <f>SUM(V13:V21)</f>
        <v>16187350279</v>
      </c>
      <c r="W12" s="293"/>
      <c r="X12" s="410"/>
      <c r="Y12" s="410"/>
      <c r="Z12" s="410"/>
      <c r="AA12" s="410"/>
      <c r="AB12" s="410"/>
      <c r="AC12" s="410"/>
      <c r="AD12" s="410"/>
      <c r="AE12" s="410"/>
      <c r="AF12" s="410"/>
      <c r="AG12" s="410"/>
      <c r="AH12" s="410"/>
      <c r="AI12" s="410"/>
      <c r="AJ12" s="410"/>
      <c r="AK12" s="294"/>
      <c r="AL12" s="294"/>
      <c r="AM12" s="20"/>
    </row>
    <row r="13" spans="1:39" s="296" customFormat="1" ht="30.75" customHeight="1" x14ac:dyDescent="0.2">
      <c r="A13" s="407"/>
      <c r="B13" s="2807"/>
      <c r="C13" s="2808"/>
      <c r="D13" s="408"/>
      <c r="E13" s="2807"/>
      <c r="F13" s="2808"/>
      <c r="G13" s="408"/>
      <c r="H13" s="2807"/>
      <c r="I13" s="2808"/>
      <c r="J13" s="2655">
        <v>65</v>
      </c>
      <c r="K13" s="2649" t="s">
        <v>1553</v>
      </c>
      <c r="L13" s="2649" t="s">
        <v>1554</v>
      </c>
      <c r="M13" s="2667">
        <v>1</v>
      </c>
      <c r="N13" s="2726" t="s">
        <v>1555</v>
      </c>
      <c r="O13" s="2655">
        <v>84</v>
      </c>
      <c r="P13" s="2649" t="s">
        <v>1556</v>
      </c>
      <c r="Q13" s="2671">
        <f>+V13:V15/R13*100</f>
        <v>10.639711535953722</v>
      </c>
      <c r="R13" s="2643">
        <f>SUM(V13:V21)</f>
        <v>16187350279</v>
      </c>
      <c r="S13" s="2649" t="s">
        <v>1557</v>
      </c>
      <c r="T13" s="2830" t="s">
        <v>1558</v>
      </c>
      <c r="U13" s="2827" t="s">
        <v>1559</v>
      </c>
      <c r="V13" s="295">
        <v>1722287375</v>
      </c>
      <c r="W13" s="385">
        <v>35</v>
      </c>
      <c r="X13" s="375" t="s">
        <v>1560</v>
      </c>
      <c r="Y13" s="2816">
        <v>2732</v>
      </c>
      <c r="Z13" s="2816">
        <v>17360</v>
      </c>
      <c r="AA13" s="2816"/>
      <c r="AB13" s="2673">
        <v>21116</v>
      </c>
      <c r="AC13" s="2816">
        <v>4451</v>
      </c>
      <c r="AD13" s="2816">
        <v>56</v>
      </c>
      <c r="AE13" s="2814"/>
      <c r="AF13" s="2814"/>
      <c r="AG13" s="2814"/>
      <c r="AH13" s="2814"/>
      <c r="AI13" s="2814"/>
      <c r="AJ13" s="2814"/>
      <c r="AK13" s="2821">
        <v>42737</v>
      </c>
      <c r="AL13" s="2821">
        <v>43069</v>
      </c>
      <c r="AM13" s="2813" t="s">
        <v>1561</v>
      </c>
    </row>
    <row r="14" spans="1:39" s="296" customFormat="1" ht="30" customHeight="1" x14ac:dyDescent="0.2">
      <c r="A14" s="407"/>
      <c r="B14" s="401"/>
      <c r="C14" s="402"/>
      <c r="D14" s="408"/>
      <c r="E14" s="401"/>
      <c r="F14" s="402"/>
      <c r="G14" s="408"/>
      <c r="H14" s="401"/>
      <c r="I14" s="402"/>
      <c r="J14" s="2657"/>
      <c r="K14" s="2650"/>
      <c r="L14" s="2650"/>
      <c r="M14" s="2812"/>
      <c r="N14" s="2728"/>
      <c r="O14" s="2657"/>
      <c r="P14" s="2650"/>
      <c r="Q14" s="2790"/>
      <c r="R14" s="2644"/>
      <c r="S14" s="2650"/>
      <c r="T14" s="2831"/>
      <c r="U14" s="2828"/>
      <c r="V14" s="367">
        <v>3655700205</v>
      </c>
      <c r="W14" s="385">
        <v>20</v>
      </c>
      <c r="X14" s="375" t="s">
        <v>185</v>
      </c>
      <c r="Y14" s="2817"/>
      <c r="Z14" s="2817"/>
      <c r="AA14" s="2817"/>
      <c r="AB14" s="2713"/>
      <c r="AC14" s="2817"/>
      <c r="AD14" s="2817"/>
      <c r="AE14" s="2815"/>
      <c r="AF14" s="2815"/>
      <c r="AG14" s="2815"/>
      <c r="AH14" s="2815"/>
      <c r="AI14" s="2815"/>
      <c r="AJ14" s="2815"/>
      <c r="AK14" s="2822"/>
      <c r="AL14" s="2822"/>
      <c r="AM14" s="2813"/>
    </row>
    <row r="15" spans="1:39" s="296" customFormat="1" ht="31.5" customHeight="1" x14ac:dyDescent="0.2">
      <c r="A15" s="407"/>
      <c r="B15" s="401"/>
      <c r="C15" s="402"/>
      <c r="D15" s="408"/>
      <c r="E15" s="401"/>
      <c r="F15" s="402"/>
      <c r="G15" s="408"/>
      <c r="H15" s="401"/>
      <c r="I15" s="402"/>
      <c r="J15" s="2656"/>
      <c r="K15" s="2651"/>
      <c r="L15" s="2651"/>
      <c r="M15" s="2668"/>
      <c r="N15" s="2718"/>
      <c r="O15" s="2657"/>
      <c r="P15" s="2650"/>
      <c r="Q15" s="2672"/>
      <c r="R15" s="2644"/>
      <c r="S15" s="2650"/>
      <c r="T15" s="2832"/>
      <c r="U15" s="2829"/>
      <c r="V15" s="367">
        <v>6091354</v>
      </c>
      <c r="W15" s="385">
        <v>134</v>
      </c>
      <c r="X15" s="375" t="s">
        <v>1562</v>
      </c>
      <c r="Y15" s="2817"/>
      <c r="Z15" s="2817"/>
      <c r="AA15" s="2817"/>
      <c r="AB15" s="2713"/>
      <c r="AC15" s="2817"/>
      <c r="AD15" s="2817"/>
      <c r="AE15" s="2815"/>
      <c r="AF15" s="2815"/>
      <c r="AG15" s="2815"/>
      <c r="AH15" s="2815"/>
      <c r="AI15" s="2815"/>
      <c r="AJ15" s="2815"/>
      <c r="AK15" s="2823"/>
      <c r="AL15" s="2823"/>
      <c r="AM15" s="2813"/>
    </row>
    <row r="16" spans="1:39" s="296" customFormat="1" ht="15.75" customHeight="1" x14ac:dyDescent="0.2">
      <c r="A16" s="407"/>
      <c r="B16" s="401"/>
      <c r="C16" s="402"/>
      <c r="D16" s="408"/>
      <c r="E16" s="401"/>
      <c r="F16" s="402"/>
      <c r="G16" s="408"/>
      <c r="H16" s="401"/>
      <c r="I16" s="402"/>
      <c r="J16" s="2655">
        <v>66</v>
      </c>
      <c r="K16" s="2649" t="s">
        <v>1563</v>
      </c>
      <c r="L16" s="2649" t="s">
        <v>1554</v>
      </c>
      <c r="M16" s="2667">
        <v>1</v>
      </c>
      <c r="N16" s="2726" t="s">
        <v>1564</v>
      </c>
      <c r="O16" s="2657"/>
      <c r="P16" s="2650"/>
      <c r="Q16" s="2836">
        <f>+V16:V20/R13*100</f>
        <v>15.082423107673829</v>
      </c>
      <c r="R16" s="2644"/>
      <c r="S16" s="2650"/>
      <c r="T16" s="2830" t="s">
        <v>1565</v>
      </c>
      <c r="U16" s="2849" t="s">
        <v>1566</v>
      </c>
      <c r="V16" s="367">
        <v>2441444659</v>
      </c>
      <c r="W16" s="364">
        <v>35</v>
      </c>
      <c r="X16" s="375" t="s">
        <v>1560</v>
      </c>
      <c r="Y16" s="2817"/>
      <c r="Z16" s="2817"/>
      <c r="AA16" s="2817"/>
      <c r="AB16" s="2713"/>
      <c r="AC16" s="2817"/>
      <c r="AD16" s="2817"/>
      <c r="AE16" s="2815"/>
      <c r="AF16" s="2815"/>
      <c r="AG16" s="2815"/>
      <c r="AH16" s="2815"/>
      <c r="AI16" s="2815"/>
      <c r="AJ16" s="2815"/>
      <c r="AK16" s="2824">
        <v>42737</v>
      </c>
      <c r="AL16" s="2819">
        <v>43069</v>
      </c>
      <c r="AM16" s="2813"/>
    </row>
    <row r="17" spans="1:68" s="296" customFormat="1" ht="35.25" customHeight="1" x14ac:dyDescent="0.2">
      <c r="A17" s="407"/>
      <c r="B17" s="401"/>
      <c r="C17" s="402"/>
      <c r="D17" s="408"/>
      <c r="E17" s="401"/>
      <c r="F17" s="402"/>
      <c r="G17" s="408"/>
      <c r="H17" s="401"/>
      <c r="I17" s="402"/>
      <c r="J17" s="2657"/>
      <c r="K17" s="2650"/>
      <c r="L17" s="2650"/>
      <c r="M17" s="2812"/>
      <c r="N17" s="2835"/>
      <c r="O17" s="2657"/>
      <c r="P17" s="2650"/>
      <c r="Q17" s="2836"/>
      <c r="R17" s="2644"/>
      <c r="S17" s="2650"/>
      <c r="T17" s="2831"/>
      <c r="U17" s="2850"/>
      <c r="V17" s="367">
        <v>6739972766</v>
      </c>
      <c r="W17" s="364">
        <v>81</v>
      </c>
      <c r="X17" s="363" t="s">
        <v>1567</v>
      </c>
      <c r="Y17" s="2817"/>
      <c r="Z17" s="2817"/>
      <c r="AA17" s="2817"/>
      <c r="AB17" s="2713"/>
      <c r="AC17" s="2817"/>
      <c r="AD17" s="2817"/>
      <c r="AE17" s="2815"/>
      <c r="AF17" s="2815"/>
      <c r="AG17" s="2815"/>
      <c r="AH17" s="2815"/>
      <c r="AI17" s="2815"/>
      <c r="AJ17" s="2815"/>
      <c r="AK17" s="2825"/>
      <c r="AL17" s="2820"/>
      <c r="AM17" s="2813"/>
    </row>
    <row r="18" spans="1:68" s="296" customFormat="1" ht="22.5" customHeight="1" x14ac:dyDescent="0.2">
      <c r="A18" s="407"/>
      <c r="B18" s="401"/>
      <c r="C18" s="402"/>
      <c r="D18" s="408"/>
      <c r="E18" s="401"/>
      <c r="F18" s="402"/>
      <c r="G18" s="408"/>
      <c r="H18" s="401"/>
      <c r="I18" s="402"/>
      <c r="J18" s="2657"/>
      <c r="K18" s="2650"/>
      <c r="L18" s="2650"/>
      <c r="M18" s="2812"/>
      <c r="N18" s="2835"/>
      <c r="O18" s="2657"/>
      <c r="P18" s="2650"/>
      <c r="Q18" s="2836"/>
      <c r="R18" s="2644"/>
      <c r="S18" s="2650"/>
      <c r="T18" s="2831"/>
      <c r="U18" s="2850"/>
      <c r="V18" s="367">
        <v>171253920</v>
      </c>
      <c r="W18" s="383"/>
      <c r="X18" s="373" t="s">
        <v>1568</v>
      </c>
      <c r="Y18" s="2817"/>
      <c r="Z18" s="2817"/>
      <c r="AA18" s="2817"/>
      <c r="AB18" s="2713"/>
      <c r="AC18" s="2817"/>
      <c r="AD18" s="2817"/>
      <c r="AE18" s="2815"/>
      <c r="AF18" s="2815"/>
      <c r="AG18" s="2815"/>
      <c r="AH18" s="2815"/>
      <c r="AI18" s="2815"/>
      <c r="AJ18" s="2815"/>
      <c r="AK18" s="2825"/>
      <c r="AL18" s="2820"/>
      <c r="AM18" s="2813"/>
    </row>
    <row r="19" spans="1:68" s="296" customFormat="1" ht="25.5" customHeight="1" x14ac:dyDescent="0.2">
      <c r="A19" s="407"/>
      <c r="B19" s="401"/>
      <c r="C19" s="402"/>
      <c r="D19" s="408"/>
      <c r="E19" s="401"/>
      <c r="F19" s="402"/>
      <c r="G19" s="408"/>
      <c r="H19" s="401"/>
      <c r="I19" s="402"/>
      <c r="J19" s="2657"/>
      <c r="K19" s="2650"/>
      <c r="L19" s="2650"/>
      <c r="M19" s="2812"/>
      <c r="N19" s="2835"/>
      <c r="O19" s="2657"/>
      <c r="P19" s="2650"/>
      <c r="Q19" s="2836"/>
      <c r="R19" s="2644"/>
      <c r="S19" s="2650"/>
      <c r="T19" s="2831"/>
      <c r="U19" s="2851"/>
      <c r="V19" s="367">
        <v>156361000</v>
      </c>
      <c r="W19" s="2719" t="s">
        <v>1569</v>
      </c>
      <c r="X19" s="2721" t="s">
        <v>185</v>
      </c>
      <c r="Y19" s="2817"/>
      <c r="Z19" s="2817"/>
      <c r="AA19" s="2817"/>
      <c r="AB19" s="2713"/>
      <c r="AC19" s="2817"/>
      <c r="AD19" s="2817"/>
      <c r="AE19" s="2815"/>
      <c r="AF19" s="2815"/>
      <c r="AG19" s="2815"/>
      <c r="AH19" s="2815"/>
      <c r="AI19" s="2815"/>
      <c r="AJ19" s="2815"/>
      <c r="AK19" s="2825"/>
      <c r="AL19" s="2820"/>
      <c r="AM19" s="2813"/>
    </row>
    <row r="20" spans="1:68" s="296" customFormat="1" ht="36" customHeight="1" x14ac:dyDescent="0.2">
      <c r="A20" s="407"/>
      <c r="B20" s="401"/>
      <c r="C20" s="402"/>
      <c r="D20" s="408"/>
      <c r="E20" s="401"/>
      <c r="F20" s="402"/>
      <c r="G20" s="408"/>
      <c r="H20" s="401"/>
      <c r="I20" s="402"/>
      <c r="J20" s="2657"/>
      <c r="K20" s="2651"/>
      <c r="L20" s="2651"/>
      <c r="M20" s="2812"/>
      <c r="N20" s="2835"/>
      <c r="O20" s="2657"/>
      <c r="P20" s="2650"/>
      <c r="Q20" s="2836"/>
      <c r="R20" s="2644"/>
      <c r="S20" s="2650"/>
      <c r="T20" s="2832"/>
      <c r="U20" s="395" t="s">
        <v>1570</v>
      </c>
      <c r="V20" s="295">
        <v>243639000</v>
      </c>
      <c r="W20" s="2720"/>
      <c r="X20" s="2722"/>
      <c r="Y20" s="2817"/>
      <c r="Z20" s="2817"/>
      <c r="AA20" s="2817"/>
      <c r="AB20" s="2713"/>
      <c r="AC20" s="2817"/>
      <c r="AD20" s="2817"/>
      <c r="AE20" s="2815"/>
      <c r="AF20" s="2815"/>
      <c r="AG20" s="2815"/>
      <c r="AH20" s="2815"/>
      <c r="AI20" s="2815"/>
      <c r="AJ20" s="2815"/>
      <c r="AK20" s="2826"/>
      <c r="AL20" s="2820"/>
      <c r="AM20" s="2813"/>
    </row>
    <row r="21" spans="1:68" s="296" customFormat="1" ht="167.25" customHeight="1" x14ac:dyDescent="0.2">
      <c r="A21" s="407"/>
      <c r="B21" s="401"/>
      <c r="C21" s="402"/>
      <c r="D21" s="408"/>
      <c r="E21" s="401"/>
      <c r="F21" s="402"/>
      <c r="G21" s="408"/>
      <c r="H21" s="401"/>
      <c r="I21" s="402"/>
      <c r="J21" s="371">
        <v>67</v>
      </c>
      <c r="K21" s="396" t="s">
        <v>1571</v>
      </c>
      <c r="L21" s="397" t="s">
        <v>1554</v>
      </c>
      <c r="M21" s="403">
        <v>1</v>
      </c>
      <c r="N21" s="396" t="s">
        <v>1572</v>
      </c>
      <c r="O21" s="2657"/>
      <c r="P21" s="2651"/>
      <c r="Q21" s="399">
        <f>+V21/R13*100</f>
        <v>6.4902530796714348</v>
      </c>
      <c r="R21" s="2644"/>
      <c r="S21" s="2650"/>
      <c r="T21" s="298" t="s">
        <v>1573</v>
      </c>
      <c r="U21" s="404" t="s">
        <v>1574</v>
      </c>
      <c r="V21" s="368">
        <v>1050600000</v>
      </c>
      <c r="W21" s="384">
        <v>35</v>
      </c>
      <c r="X21" s="374" t="s">
        <v>1560</v>
      </c>
      <c r="Y21" s="2817"/>
      <c r="Z21" s="2817"/>
      <c r="AA21" s="2818"/>
      <c r="AB21" s="2674"/>
      <c r="AC21" s="2818"/>
      <c r="AD21" s="2818"/>
      <c r="AE21" s="2815"/>
      <c r="AF21" s="2815"/>
      <c r="AG21" s="2815"/>
      <c r="AH21" s="2815"/>
      <c r="AI21" s="2815"/>
      <c r="AJ21" s="2815"/>
      <c r="AK21" s="377">
        <v>42737</v>
      </c>
      <c r="AL21" s="299">
        <v>43069</v>
      </c>
      <c r="AM21" s="2813"/>
    </row>
    <row r="22" spans="1:68" s="301" customFormat="1" ht="12.75" x14ac:dyDescent="0.2">
      <c r="A22" s="2770"/>
      <c r="B22" s="2771"/>
      <c r="C22" s="2771"/>
      <c r="D22" s="2771"/>
      <c r="E22" s="2771"/>
      <c r="F22" s="2772"/>
      <c r="G22" s="300">
        <v>17</v>
      </c>
      <c r="H22" s="2795" t="s">
        <v>1575</v>
      </c>
      <c r="I22" s="2796"/>
      <c r="J22" s="2796"/>
      <c r="K22" s="2796"/>
      <c r="L22" s="2796"/>
      <c r="M22" s="2796"/>
      <c r="N22" s="426"/>
      <c r="O22" s="13"/>
      <c r="P22" s="426"/>
      <c r="Q22" s="13"/>
      <c r="R22" s="13"/>
      <c r="S22" s="426"/>
      <c r="T22" s="426"/>
      <c r="U22" s="426"/>
      <c r="V22" s="251">
        <f>SUM(V23:V33)</f>
        <v>1236000000</v>
      </c>
      <c r="W22" s="13"/>
      <c r="X22" s="13"/>
      <c r="Y22" s="13"/>
      <c r="Z22" s="13"/>
      <c r="AA22" s="13"/>
      <c r="AB22" s="13"/>
      <c r="AC22" s="13"/>
      <c r="AD22" s="13"/>
      <c r="AE22" s="22"/>
      <c r="AF22" s="22"/>
      <c r="AG22" s="22"/>
      <c r="AH22" s="22"/>
      <c r="AI22" s="22"/>
      <c r="AJ22" s="22"/>
      <c r="AK22" s="13"/>
      <c r="AL22" s="13"/>
      <c r="AM22" s="14"/>
    </row>
    <row r="23" spans="1:68" s="304" customFormat="1" ht="82.5" customHeight="1" x14ac:dyDescent="0.2">
      <c r="A23" s="2774"/>
      <c r="B23" s="2775"/>
      <c r="C23" s="2776"/>
      <c r="D23" s="2803"/>
      <c r="E23" s="2804"/>
      <c r="F23" s="2805"/>
      <c r="G23" s="2803"/>
      <c r="H23" s="2807"/>
      <c r="I23" s="2808"/>
      <c r="J23" s="372">
        <v>68</v>
      </c>
      <c r="K23" s="398" t="s">
        <v>1576</v>
      </c>
      <c r="L23" s="398" t="s">
        <v>1554</v>
      </c>
      <c r="M23" s="421">
        <v>4500</v>
      </c>
      <c r="N23" s="2761" t="s">
        <v>1577</v>
      </c>
      <c r="O23" s="2657">
        <v>86</v>
      </c>
      <c r="P23" s="2649" t="s">
        <v>1578</v>
      </c>
      <c r="Q23" s="399">
        <f>+V23/R23*100</f>
        <v>0.8090614886731391</v>
      </c>
      <c r="R23" s="2643">
        <f>SUM(V23:V33)</f>
        <v>1236000000</v>
      </c>
      <c r="S23" s="2788"/>
      <c r="T23" s="398" t="s">
        <v>1579</v>
      </c>
      <c r="U23" s="406" t="s">
        <v>1580</v>
      </c>
      <c r="V23" s="369">
        <v>10000000</v>
      </c>
      <c r="W23" s="385">
        <v>20</v>
      </c>
      <c r="X23" s="363" t="s">
        <v>185</v>
      </c>
      <c r="Y23" s="2783">
        <v>2732</v>
      </c>
      <c r="Z23" s="2783">
        <v>17360</v>
      </c>
      <c r="AA23" s="2783"/>
      <c r="AB23" s="2783">
        <v>21116</v>
      </c>
      <c r="AC23" s="2783">
        <v>4451</v>
      </c>
      <c r="AD23" s="2783">
        <v>56</v>
      </c>
      <c r="AE23" s="2673"/>
      <c r="AF23" s="2673"/>
      <c r="AG23" s="2673"/>
      <c r="AH23" s="2673"/>
      <c r="AI23" s="2673"/>
      <c r="AJ23" s="2673"/>
      <c r="AK23" s="376">
        <v>42751</v>
      </c>
      <c r="AL23" s="376"/>
      <c r="AM23" s="2884" t="s">
        <v>1561</v>
      </c>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3"/>
    </row>
    <row r="24" spans="1:68" s="296" customFormat="1" ht="63" customHeight="1" x14ac:dyDescent="0.2">
      <c r="A24" s="2797"/>
      <c r="B24" s="2798"/>
      <c r="C24" s="2799"/>
      <c r="D24" s="2806"/>
      <c r="E24" s="2807"/>
      <c r="F24" s="2808"/>
      <c r="G24" s="2806"/>
      <c r="H24" s="2807"/>
      <c r="I24" s="2808"/>
      <c r="J24" s="370">
        <v>69</v>
      </c>
      <c r="K24" s="381" t="s">
        <v>1581</v>
      </c>
      <c r="L24" s="398" t="s">
        <v>1554</v>
      </c>
      <c r="M24" s="421">
        <v>1</v>
      </c>
      <c r="N24" s="2786"/>
      <c r="O24" s="2657"/>
      <c r="P24" s="2650"/>
      <c r="Q24" s="399">
        <f>+V24/R23*100</f>
        <v>0.8090614886731391</v>
      </c>
      <c r="R24" s="2644"/>
      <c r="S24" s="2650"/>
      <c r="T24" s="381" t="s">
        <v>1582</v>
      </c>
      <c r="U24" s="378" t="s">
        <v>1580</v>
      </c>
      <c r="V24" s="369">
        <v>10000000</v>
      </c>
      <c r="W24" s="364">
        <v>20</v>
      </c>
      <c r="X24" s="374" t="s">
        <v>185</v>
      </c>
      <c r="Y24" s="2784"/>
      <c r="Z24" s="2784"/>
      <c r="AA24" s="2784"/>
      <c r="AB24" s="2784"/>
      <c r="AC24" s="2784"/>
      <c r="AD24" s="2784"/>
      <c r="AE24" s="2713"/>
      <c r="AF24" s="2713"/>
      <c r="AG24" s="2713"/>
      <c r="AH24" s="2713"/>
      <c r="AI24" s="2713"/>
      <c r="AJ24" s="2713"/>
      <c r="AK24" s="376">
        <v>42751</v>
      </c>
      <c r="AL24" s="376"/>
      <c r="AM24" s="2885"/>
    </row>
    <row r="25" spans="1:68" s="3" customFormat="1" ht="42" customHeight="1" x14ac:dyDescent="0.2">
      <c r="A25" s="2797"/>
      <c r="B25" s="2798"/>
      <c r="C25" s="2799"/>
      <c r="D25" s="2806"/>
      <c r="E25" s="2807"/>
      <c r="F25" s="2808"/>
      <c r="G25" s="2806"/>
      <c r="H25" s="2807"/>
      <c r="I25" s="2808"/>
      <c r="J25" s="2655">
        <v>70</v>
      </c>
      <c r="K25" s="2649" t="s">
        <v>1583</v>
      </c>
      <c r="L25" s="2649" t="s">
        <v>1554</v>
      </c>
      <c r="M25" s="2677">
        <v>406</v>
      </c>
      <c r="N25" s="2786"/>
      <c r="O25" s="2657"/>
      <c r="P25" s="2650"/>
      <c r="Q25" s="2671">
        <f>+V25/R23*100</f>
        <v>1.6181229773462782</v>
      </c>
      <c r="R25" s="2644"/>
      <c r="S25" s="2650"/>
      <c r="T25" s="2649" t="s">
        <v>1584</v>
      </c>
      <c r="U25" s="378" t="s">
        <v>1585</v>
      </c>
      <c r="V25" s="2733">
        <v>20000000</v>
      </c>
      <c r="W25" s="364">
        <v>20</v>
      </c>
      <c r="X25" s="363" t="s">
        <v>185</v>
      </c>
      <c r="Y25" s="2784"/>
      <c r="Z25" s="2784"/>
      <c r="AA25" s="2784"/>
      <c r="AB25" s="2784"/>
      <c r="AC25" s="2784"/>
      <c r="AD25" s="2784"/>
      <c r="AE25" s="2713"/>
      <c r="AF25" s="2713"/>
      <c r="AG25" s="2713"/>
      <c r="AH25" s="2713"/>
      <c r="AI25" s="2713"/>
      <c r="AJ25" s="2713"/>
      <c r="AK25" s="376">
        <v>42795</v>
      </c>
      <c r="AL25" s="2673"/>
      <c r="AM25" s="2885"/>
    </row>
    <row r="26" spans="1:68" s="3" customFormat="1" ht="39.75" customHeight="1" x14ac:dyDescent="0.2">
      <c r="A26" s="2797"/>
      <c r="B26" s="2798"/>
      <c r="C26" s="2799"/>
      <c r="D26" s="2806"/>
      <c r="E26" s="2807"/>
      <c r="F26" s="2808"/>
      <c r="G26" s="2806"/>
      <c r="H26" s="2807"/>
      <c r="I26" s="2808"/>
      <c r="J26" s="2657"/>
      <c r="K26" s="2650"/>
      <c r="L26" s="2650"/>
      <c r="M26" s="2789"/>
      <c r="N26" s="2786"/>
      <c r="O26" s="2657"/>
      <c r="P26" s="2650"/>
      <c r="Q26" s="2790"/>
      <c r="R26" s="2644"/>
      <c r="S26" s="2650"/>
      <c r="T26" s="2650"/>
      <c r="U26" s="378" t="s">
        <v>1586</v>
      </c>
      <c r="V26" s="2734"/>
      <c r="W26" s="364">
        <v>20</v>
      </c>
      <c r="X26" s="363" t="s">
        <v>185</v>
      </c>
      <c r="Y26" s="2784"/>
      <c r="Z26" s="2784"/>
      <c r="AA26" s="2784"/>
      <c r="AB26" s="2784"/>
      <c r="AC26" s="2784"/>
      <c r="AD26" s="2784"/>
      <c r="AE26" s="2713"/>
      <c r="AF26" s="2713"/>
      <c r="AG26" s="2713"/>
      <c r="AH26" s="2713"/>
      <c r="AI26" s="2713"/>
      <c r="AJ26" s="2713"/>
      <c r="AK26" s="376">
        <v>42853</v>
      </c>
      <c r="AL26" s="2713"/>
      <c r="AM26" s="2885"/>
    </row>
    <row r="27" spans="1:68" s="3" customFormat="1" ht="22.5" customHeight="1" x14ac:dyDescent="0.2">
      <c r="A27" s="2797"/>
      <c r="B27" s="2798"/>
      <c r="C27" s="2799"/>
      <c r="D27" s="2806"/>
      <c r="E27" s="2807"/>
      <c r="F27" s="2808"/>
      <c r="G27" s="2806"/>
      <c r="H27" s="2807"/>
      <c r="I27" s="2808"/>
      <c r="J27" s="2656"/>
      <c r="K27" s="2651"/>
      <c r="L27" s="2651"/>
      <c r="M27" s="2678"/>
      <c r="N27" s="2786"/>
      <c r="O27" s="2657"/>
      <c r="P27" s="2650"/>
      <c r="Q27" s="2672"/>
      <c r="R27" s="2644"/>
      <c r="S27" s="2650"/>
      <c r="T27" s="2651"/>
      <c r="U27" s="378" t="s">
        <v>1587</v>
      </c>
      <c r="V27" s="2735"/>
      <c r="W27" s="364">
        <v>20</v>
      </c>
      <c r="X27" s="363" t="s">
        <v>185</v>
      </c>
      <c r="Y27" s="2784"/>
      <c r="Z27" s="2784"/>
      <c r="AA27" s="2784"/>
      <c r="AB27" s="2784"/>
      <c r="AC27" s="2784"/>
      <c r="AD27" s="2784"/>
      <c r="AE27" s="2713"/>
      <c r="AF27" s="2713"/>
      <c r="AG27" s="2713"/>
      <c r="AH27" s="2713"/>
      <c r="AI27" s="2713"/>
      <c r="AJ27" s="2713"/>
      <c r="AK27" s="376">
        <v>42751</v>
      </c>
      <c r="AL27" s="2674"/>
      <c r="AM27" s="2885"/>
    </row>
    <row r="28" spans="1:68" s="3" customFormat="1" ht="93.75" customHeight="1" x14ac:dyDescent="0.2">
      <c r="A28" s="2797"/>
      <c r="B28" s="2798"/>
      <c r="C28" s="2799"/>
      <c r="D28" s="2806"/>
      <c r="E28" s="2807"/>
      <c r="F28" s="2808"/>
      <c r="G28" s="2806"/>
      <c r="H28" s="2807"/>
      <c r="I28" s="2808"/>
      <c r="J28" s="370">
        <v>71</v>
      </c>
      <c r="K28" s="381" t="s">
        <v>1588</v>
      </c>
      <c r="L28" s="398" t="s">
        <v>1554</v>
      </c>
      <c r="M28" s="305">
        <v>2166</v>
      </c>
      <c r="N28" s="2786"/>
      <c r="O28" s="2657"/>
      <c r="P28" s="2650"/>
      <c r="Q28" s="399">
        <f>+V28/R23*100</f>
        <v>0</v>
      </c>
      <c r="R28" s="2644"/>
      <c r="S28" s="2650"/>
      <c r="T28" s="9" t="s">
        <v>1589</v>
      </c>
      <c r="U28" s="378" t="s">
        <v>1580</v>
      </c>
      <c r="V28" s="295">
        <v>0</v>
      </c>
      <c r="W28" s="364"/>
      <c r="X28" s="363"/>
      <c r="Y28" s="2784"/>
      <c r="Z28" s="2784"/>
      <c r="AA28" s="2784"/>
      <c r="AB28" s="2784"/>
      <c r="AC28" s="2784"/>
      <c r="AD28" s="2784"/>
      <c r="AE28" s="2713"/>
      <c r="AF28" s="2713"/>
      <c r="AG28" s="2713"/>
      <c r="AH28" s="2713"/>
      <c r="AI28" s="2713"/>
      <c r="AJ28" s="2713"/>
      <c r="AK28" s="376">
        <v>42751</v>
      </c>
      <c r="AL28" s="376">
        <v>42780</v>
      </c>
      <c r="AM28" s="2885"/>
    </row>
    <row r="29" spans="1:68" s="3" customFormat="1" ht="112.5" customHeight="1" x14ac:dyDescent="0.2">
      <c r="A29" s="2797"/>
      <c r="B29" s="2798"/>
      <c r="C29" s="2799"/>
      <c r="D29" s="2806"/>
      <c r="E29" s="2807"/>
      <c r="F29" s="2808"/>
      <c r="G29" s="2806"/>
      <c r="H29" s="2807"/>
      <c r="I29" s="2808"/>
      <c r="J29" s="370">
        <v>72</v>
      </c>
      <c r="K29" s="381" t="s">
        <v>1590</v>
      </c>
      <c r="L29" s="398" t="s">
        <v>1554</v>
      </c>
      <c r="M29" s="305">
        <v>455</v>
      </c>
      <c r="N29" s="2786"/>
      <c r="O29" s="2657"/>
      <c r="P29" s="2650"/>
      <c r="Q29" s="399">
        <f>+V29/R23*100</f>
        <v>0.8090614886731391</v>
      </c>
      <c r="R29" s="2644"/>
      <c r="S29" s="2650"/>
      <c r="T29" s="307" t="s">
        <v>1591</v>
      </c>
      <c r="U29" s="378" t="s">
        <v>1580</v>
      </c>
      <c r="V29" s="295">
        <v>10000000</v>
      </c>
      <c r="W29" s="364">
        <v>20</v>
      </c>
      <c r="X29" s="363" t="s">
        <v>185</v>
      </c>
      <c r="Y29" s="2784"/>
      <c r="Z29" s="2784"/>
      <c r="AA29" s="2784"/>
      <c r="AB29" s="2784"/>
      <c r="AC29" s="2784"/>
      <c r="AD29" s="2784"/>
      <c r="AE29" s="2713"/>
      <c r="AF29" s="2713"/>
      <c r="AG29" s="2713"/>
      <c r="AH29" s="2713"/>
      <c r="AI29" s="2713"/>
      <c r="AJ29" s="2713"/>
      <c r="AK29" s="376">
        <v>42751</v>
      </c>
      <c r="AL29" s="376">
        <v>42780</v>
      </c>
      <c r="AM29" s="2886"/>
    </row>
    <row r="30" spans="1:68" s="3" customFormat="1" ht="37.5" customHeight="1" x14ac:dyDescent="0.2">
      <c r="A30" s="2797"/>
      <c r="B30" s="2798"/>
      <c r="C30" s="2799"/>
      <c r="D30" s="2806"/>
      <c r="E30" s="2807"/>
      <c r="F30" s="2808"/>
      <c r="G30" s="2806"/>
      <c r="H30" s="2807"/>
      <c r="I30" s="2808"/>
      <c r="J30" s="2655">
        <v>73</v>
      </c>
      <c r="K30" s="2649" t="s">
        <v>1592</v>
      </c>
      <c r="L30" s="2649" t="s">
        <v>1554</v>
      </c>
      <c r="M30" s="2667">
        <v>1</v>
      </c>
      <c r="N30" s="2786"/>
      <c r="O30" s="2657"/>
      <c r="P30" s="2650"/>
      <c r="Q30" s="308">
        <f>+V30/R23*100</f>
        <v>0</v>
      </c>
      <c r="R30" s="2644"/>
      <c r="S30" s="2650"/>
      <c r="T30" s="2649" t="s">
        <v>1593</v>
      </c>
      <c r="U30" s="378" t="s">
        <v>1587</v>
      </c>
      <c r="V30" s="295">
        <v>0</v>
      </c>
      <c r="W30" s="364"/>
      <c r="X30" s="363"/>
      <c r="Y30" s="2784"/>
      <c r="Z30" s="2784"/>
      <c r="AA30" s="2784"/>
      <c r="AB30" s="2784"/>
      <c r="AC30" s="2784"/>
      <c r="AD30" s="2784"/>
      <c r="AE30" s="2713"/>
      <c r="AF30" s="2713"/>
      <c r="AG30" s="2713"/>
      <c r="AH30" s="2713"/>
      <c r="AI30" s="2713"/>
      <c r="AJ30" s="2713"/>
      <c r="AK30" s="2780">
        <v>42751</v>
      </c>
      <c r="AL30" s="2780">
        <v>43069</v>
      </c>
      <c r="AM30" s="2791" t="s">
        <v>1561</v>
      </c>
    </row>
    <row r="31" spans="1:68" s="3" customFormat="1" ht="45.75" customHeight="1" x14ac:dyDescent="0.2">
      <c r="A31" s="2797"/>
      <c r="B31" s="2798"/>
      <c r="C31" s="2799"/>
      <c r="D31" s="2806"/>
      <c r="E31" s="2807"/>
      <c r="F31" s="2808"/>
      <c r="G31" s="2806"/>
      <c r="H31" s="2807"/>
      <c r="I31" s="2808"/>
      <c r="J31" s="2657"/>
      <c r="K31" s="2650"/>
      <c r="L31" s="2650"/>
      <c r="M31" s="2812"/>
      <c r="N31" s="2786"/>
      <c r="O31" s="2657"/>
      <c r="P31" s="2650"/>
      <c r="Q31" s="2671">
        <f>+V31/R23*100</f>
        <v>95.954692556634299</v>
      </c>
      <c r="R31" s="2644"/>
      <c r="S31" s="2650"/>
      <c r="T31" s="2650"/>
      <c r="U31" s="30" t="s">
        <v>1595</v>
      </c>
      <c r="V31" s="2733">
        <v>1186000000</v>
      </c>
      <c r="W31" s="2719">
        <v>25</v>
      </c>
      <c r="X31" s="2721" t="s">
        <v>1594</v>
      </c>
      <c r="Y31" s="2784"/>
      <c r="Z31" s="2784"/>
      <c r="AA31" s="2784"/>
      <c r="AB31" s="2784"/>
      <c r="AC31" s="2784"/>
      <c r="AD31" s="2784"/>
      <c r="AE31" s="2713"/>
      <c r="AF31" s="2713"/>
      <c r="AG31" s="2713"/>
      <c r="AH31" s="2713"/>
      <c r="AI31" s="2713"/>
      <c r="AJ31" s="2713"/>
      <c r="AK31" s="2781"/>
      <c r="AL31" s="2781"/>
      <c r="AM31" s="2792"/>
    </row>
    <row r="32" spans="1:68" s="3" customFormat="1" ht="45.75" customHeight="1" x14ac:dyDescent="0.2">
      <c r="A32" s="2797"/>
      <c r="B32" s="2798"/>
      <c r="C32" s="2799"/>
      <c r="D32" s="2806"/>
      <c r="E32" s="2807"/>
      <c r="F32" s="2808"/>
      <c r="G32" s="2806"/>
      <c r="H32" s="2807"/>
      <c r="I32" s="2808"/>
      <c r="J32" s="2657"/>
      <c r="K32" s="2650"/>
      <c r="L32" s="2650"/>
      <c r="M32" s="2812"/>
      <c r="N32" s="2786"/>
      <c r="O32" s="2657"/>
      <c r="P32" s="2650"/>
      <c r="Q32" s="2790"/>
      <c r="R32" s="2644"/>
      <c r="S32" s="2650"/>
      <c r="T32" s="2650"/>
      <c r="U32" s="2" t="s">
        <v>1596</v>
      </c>
      <c r="V32" s="2734"/>
      <c r="W32" s="2794"/>
      <c r="X32" s="2730"/>
      <c r="Y32" s="2784"/>
      <c r="Z32" s="2784"/>
      <c r="AA32" s="2784"/>
      <c r="AB32" s="2784"/>
      <c r="AC32" s="2784"/>
      <c r="AD32" s="2784"/>
      <c r="AE32" s="2713"/>
      <c r="AF32" s="2713"/>
      <c r="AG32" s="2713"/>
      <c r="AH32" s="2713"/>
      <c r="AI32" s="2713"/>
      <c r="AJ32" s="2713"/>
      <c r="AK32" s="2781"/>
      <c r="AL32" s="2781"/>
      <c r="AM32" s="2792"/>
    </row>
    <row r="33" spans="1:39" s="3" customFormat="1" ht="40.5" customHeight="1" x14ac:dyDescent="0.2">
      <c r="A33" s="2800"/>
      <c r="B33" s="2801"/>
      <c r="C33" s="2802"/>
      <c r="D33" s="2809"/>
      <c r="E33" s="2810"/>
      <c r="F33" s="2811"/>
      <c r="G33" s="2809"/>
      <c r="H33" s="2810"/>
      <c r="I33" s="2811"/>
      <c r="J33" s="2656"/>
      <c r="K33" s="2651"/>
      <c r="L33" s="2651"/>
      <c r="M33" s="2668"/>
      <c r="N33" s="2787"/>
      <c r="O33" s="2656"/>
      <c r="P33" s="2651"/>
      <c r="Q33" s="2672"/>
      <c r="R33" s="2645"/>
      <c r="S33" s="2651"/>
      <c r="T33" s="2651"/>
      <c r="U33" s="2" t="s">
        <v>1597</v>
      </c>
      <c r="V33" s="2735"/>
      <c r="W33" s="2720"/>
      <c r="X33" s="2722"/>
      <c r="Y33" s="2785"/>
      <c r="Z33" s="2785"/>
      <c r="AA33" s="2785"/>
      <c r="AB33" s="2785"/>
      <c r="AC33" s="2785"/>
      <c r="AD33" s="2785"/>
      <c r="AE33" s="2674"/>
      <c r="AF33" s="2674"/>
      <c r="AG33" s="2674"/>
      <c r="AH33" s="2674"/>
      <c r="AI33" s="2674"/>
      <c r="AJ33" s="2674"/>
      <c r="AK33" s="2782"/>
      <c r="AL33" s="2782"/>
      <c r="AM33" s="2793"/>
    </row>
    <row r="34" spans="1:39" s="301" customFormat="1" ht="12.75" x14ac:dyDescent="0.2">
      <c r="A34" s="2770"/>
      <c r="B34" s="2771"/>
      <c r="C34" s="2771"/>
      <c r="D34" s="2771"/>
      <c r="E34" s="2771"/>
      <c r="F34" s="2772"/>
      <c r="G34" s="300">
        <v>18</v>
      </c>
      <c r="H34" s="2773" t="s">
        <v>1598</v>
      </c>
      <c r="I34" s="2652"/>
      <c r="J34" s="2652"/>
      <c r="K34" s="2652"/>
      <c r="L34" s="2652"/>
      <c r="M34" s="2652"/>
      <c r="N34" s="426"/>
      <c r="O34" s="13"/>
      <c r="P34" s="426"/>
      <c r="Q34" s="13"/>
      <c r="R34" s="13"/>
      <c r="S34" s="426"/>
      <c r="T34" s="426"/>
      <c r="U34" s="426"/>
      <c r="V34" s="251">
        <f>SUM(V35)</f>
        <v>106571580996</v>
      </c>
      <c r="W34" s="13"/>
      <c r="X34" s="13"/>
      <c r="Y34" s="13"/>
      <c r="Z34" s="13"/>
      <c r="AA34" s="13"/>
      <c r="AB34" s="13"/>
      <c r="AC34" s="13"/>
      <c r="AD34" s="13"/>
      <c r="AE34" s="253"/>
      <c r="AF34" s="253"/>
      <c r="AG34" s="253"/>
      <c r="AH34" s="253"/>
      <c r="AI34" s="253"/>
      <c r="AJ34" s="253"/>
      <c r="AK34" s="310"/>
      <c r="AL34" s="310"/>
      <c r="AM34" s="14"/>
    </row>
    <row r="35" spans="1:39" s="3" customFormat="1" ht="204" x14ac:dyDescent="0.2">
      <c r="A35" s="2774"/>
      <c r="B35" s="2775"/>
      <c r="C35" s="2776"/>
      <c r="D35" s="2777"/>
      <c r="E35" s="2778"/>
      <c r="F35" s="2779"/>
      <c r="G35" s="2777"/>
      <c r="H35" s="2778"/>
      <c r="I35" s="2779"/>
      <c r="J35" s="370">
        <v>74</v>
      </c>
      <c r="K35" s="381" t="s">
        <v>1599</v>
      </c>
      <c r="L35" s="381" t="s">
        <v>1554</v>
      </c>
      <c r="M35" s="305">
        <v>2232</v>
      </c>
      <c r="N35" s="362" t="s">
        <v>1600</v>
      </c>
      <c r="O35" s="370">
        <v>87</v>
      </c>
      <c r="P35" s="381" t="s">
        <v>1601</v>
      </c>
      <c r="Q35" s="399">
        <f>+V35/R35*100</f>
        <v>100</v>
      </c>
      <c r="R35" s="311">
        <f>SUM(V35)</f>
        <v>106571580996</v>
      </c>
      <c r="S35" s="366" t="s">
        <v>1602</v>
      </c>
      <c r="T35" s="381" t="s">
        <v>1603</v>
      </c>
      <c r="U35" s="378" t="s">
        <v>1604</v>
      </c>
      <c r="V35" s="295">
        <f>107836580996-1265000000</f>
        <v>106571580996</v>
      </c>
      <c r="W35" s="380">
        <v>25</v>
      </c>
      <c r="X35" s="370" t="s">
        <v>1605</v>
      </c>
      <c r="Y35" s="312">
        <v>2732</v>
      </c>
      <c r="Z35" s="312">
        <v>17360</v>
      </c>
      <c r="AA35" s="312"/>
      <c r="AB35" s="312">
        <v>21116</v>
      </c>
      <c r="AC35" s="312">
        <v>4451</v>
      </c>
      <c r="AD35" s="312">
        <v>56</v>
      </c>
      <c r="AE35" s="380"/>
      <c r="AF35" s="380"/>
      <c r="AG35" s="380"/>
      <c r="AH35" s="380"/>
      <c r="AI35" s="380"/>
      <c r="AJ35" s="380"/>
      <c r="AK35" s="376">
        <v>42736</v>
      </c>
      <c r="AL35" s="376">
        <v>43100</v>
      </c>
      <c r="AM35" s="405" t="s">
        <v>1561</v>
      </c>
    </row>
    <row r="36" spans="1:39" s="3" customFormat="1" ht="12.75" x14ac:dyDescent="0.2">
      <c r="A36" s="2632"/>
      <c r="B36" s="2632"/>
      <c r="C36" s="2632"/>
      <c r="D36" s="313">
        <v>6</v>
      </c>
      <c r="E36" s="2634" t="s">
        <v>1606</v>
      </c>
      <c r="F36" s="2635"/>
      <c r="G36" s="2635"/>
      <c r="H36" s="2635"/>
      <c r="I36" s="2635"/>
      <c r="J36" s="2635"/>
      <c r="K36" s="2635"/>
      <c r="L36" s="11"/>
      <c r="M36" s="283"/>
      <c r="N36" s="11"/>
      <c r="O36" s="12"/>
      <c r="P36" s="11"/>
      <c r="Q36" s="314"/>
      <c r="R36" s="249"/>
      <c r="S36" s="11"/>
      <c r="T36" s="11"/>
      <c r="U36" s="11"/>
      <c r="V36" s="250"/>
      <c r="W36" s="17"/>
      <c r="X36" s="12"/>
      <c r="Y36" s="10"/>
      <c r="Z36" s="10"/>
      <c r="AA36" s="10"/>
      <c r="AB36" s="10"/>
      <c r="AC36" s="10"/>
      <c r="AD36" s="10"/>
      <c r="AE36" s="10"/>
      <c r="AF36" s="10"/>
      <c r="AG36" s="10"/>
      <c r="AH36" s="10"/>
      <c r="AI36" s="10"/>
      <c r="AJ36" s="10"/>
      <c r="AK36" s="315"/>
      <c r="AL36" s="315"/>
      <c r="AM36" s="18"/>
    </row>
    <row r="37" spans="1:39" s="3" customFormat="1" ht="12.75" x14ac:dyDescent="0.2">
      <c r="A37" s="316"/>
      <c r="B37" s="417"/>
      <c r="C37" s="417"/>
      <c r="D37" s="2636"/>
      <c r="E37" s="2637"/>
      <c r="F37" s="2638"/>
      <c r="G37" s="317">
        <v>19</v>
      </c>
      <c r="H37" s="2652" t="s">
        <v>1607</v>
      </c>
      <c r="I37" s="2652"/>
      <c r="J37" s="2652"/>
      <c r="K37" s="2652"/>
      <c r="L37" s="426"/>
      <c r="M37" s="290"/>
      <c r="N37" s="426"/>
      <c r="O37" s="13"/>
      <c r="P37" s="426"/>
      <c r="Q37" s="13"/>
      <c r="R37" s="13"/>
      <c r="S37" s="426"/>
      <c r="T37" s="426"/>
      <c r="U37" s="426"/>
      <c r="V37" s="251">
        <f>SUM(V38:V46)</f>
        <v>183000000</v>
      </c>
      <c r="W37" s="13"/>
      <c r="X37" s="13"/>
      <c r="Y37" s="13"/>
      <c r="Z37" s="13"/>
      <c r="AA37" s="13"/>
      <c r="AB37" s="13"/>
      <c r="AC37" s="13"/>
      <c r="AD37" s="13"/>
      <c r="AE37" s="13"/>
      <c r="AF37" s="13"/>
      <c r="AG37" s="13"/>
      <c r="AH37" s="13"/>
      <c r="AI37" s="13"/>
      <c r="AJ37" s="13"/>
      <c r="AK37" s="310"/>
      <c r="AL37" s="310"/>
      <c r="AM37" s="14"/>
    </row>
    <row r="38" spans="1:39" s="3" customFormat="1" ht="90" customHeight="1" x14ac:dyDescent="0.2">
      <c r="A38" s="318"/>
      <c r="B38" s="318"/>
      <c r="C38" s="318"/>
      <c r="D38" s="2679"/>
      <c r="E38" s="2653"/>
      <c r="F38" s="2654"/>
      <c r="G38" s="422"/>
      <c r="H38" s="423"/>
      <c r="I38" s="423"/>
      <c r="J38" s="370">
        <v>75</v>
      </c>
      <c r="K38" s="381" t="s">
        <v>1608</v>
      </c>
      <c r="L38" s="381" t="s">
        <v>1554</v>
      </c>
      <c r="M38" s="421">
        <v>27</v>
      </c>
      <c r="N38" s="9"/>
      <c r="O38" s="2655">
        <v>89</v>
      </c>
      <c r="P38" s="2649" t="s">
        <v>1609</v>
      </c>
      <c r="Q38" s="399">
        <f>+V38/R38*100</f>
        <v>0</v>
      </c>
      <c r="R38" s="2643">
        <f>SUM(V38:V46)</f>
        <v>183000000</v>
      </c>
      <c r="S38" s="2649" t="s">
        <v>1610</v>
      </c>
      <c r="T38" s="381" t="s">
        <v>1611</v>
      </c>
      <c r="U38" s="396" t="s">
        <v>1612</v>
      </c>
      <c r="V38" s="311">
        <v>0</v>
      </c>
      <c r="W38" s="380"/>
      <c r="X38" s="370"/>
      <c r="Y38" s="2673">
        <v>2732</v>
      </c>
      <c r="Z38" s="2646">
        <v>17360</v>
      </c>
      <c r="AA38" s="2764"/>
      <c r="AB38" s="2767">
        <v>21116</v>
      </c>
      <c r="AC38" s="2764">
        <v>4451</v>
      </c>
      <c r="AD38" s="2764">
        <v>56</v>
      </c>
      <c r="AE38" s="2762"/>
      <c r="AF38" s="2643"/>
      <c r="AG38" s="2643"/>
      <c r="AH38" s="2643"/>
      <c r="AI38" s="2643"/>
      <c r="AJ38" s="2643"/>
      <c r="AK38" s="394">
        <v>42767</v>
      </c>
      <c r="AL38" s="394">
        <v>43038</v>
      </c>
      <c r="AM38" s="326"/>
    </row>
    <row r="39" spans="1:39" s="3" customFormat="1" ht="47.25" customHeight="1" x14ac:dyDescent="0.2">
      <c r="A39" s="25"/>
      <c r="B39" s="25"/>
      <c r="C39" s="25"/>
      <c r="D39" s="2679"/>
      <c r="E39" s="2653"/>
      <c r="F39" s="2654"/>
      <c r="G39" s="422"/>
      <c r="H39" s="423"/>
      <c r="I39" s="423"/>
      <c r="J39" s="2655">
        <v>76</v>
      </c>
      <c r="K39" s="2649" t="s">
        <v>1613</v>
      </c>
      <c r="L39" s="2649" t="s">
        <v>1554</v>
      </c>
      <c r="M39" s="2677">
        <v>600</v>
      </c>
      <c r="N39" s="2757" t="s">
        <v>1614</v>
      </c>
      <c r="O39" s="2657"/>
      <c r="P39" s="2650"/>
      <c r="Q39" s="2671">
        <f>+V39/R38*100</f>
        <v>100</v>
      </c>
      <c r="R39" s="2644"/>
      <c r="S39" s="2650"/>
      <c r="T39" s="2649" t="s">
        <v>1615</v>
      </c>
      <c r="U39" s="2761" t="s">
        <v>1616</v>
      </c>
      <c r="V39" s="2643">
        <f>103000000+80000000</f>
        <v>183000000</v>
      </c>
      <c r="W39" s="2673">
        <v>35</v>
      </c>
      <c r="X39" s="2655" t="s">
        <v>1560</v>
      </c>
      <c r="Y39" s="2713"/>
      <c r="Z39" s="2647"/>
      <c r="AA39" s="2765"/>
      <c r="AB39" s="2768"/>
      <c r="AC39" s="2765"/>
      <c r="AD39" s="2765"/>
      <c r="AE39" s="2736"/>
      <c r="AF39" s="2644"/>
      <c r="AG39" s="2644"/>
      <c r="AH39" s="2644"/>
      <c r="AI39" s="2644"/>
      <c r="AJ39" s="2644"/>
      <c r="AK39" s="2755">
        <v>42767</v>
      </c>
      <c r="AL39" s="2755">
        <v>43049</v>
      </c>
      <c r="AM39" s="2736" t="s">
        <v>1561</v>
      </c>
    </row>
    <row r="40" spans="1:39" s="3" customFormat="1" ht="64.5" customHeight="1" x14ac:dyDescent="0.2">
      <c r="A40" s="25"/>
      <c r="B40" s="25"/>
      <c r="C40" s="25"/>
      <c r="D40" s="2679"/>
      <c r="E40" s="2653"/>
      <c r="F40" s="2654"/>
      <c r="G40" s="422"/>
      <c r="H40" s="423"/>
      <c r="I40" s="423"/>
      <c r="J40" s="2656"/>
      <c r="K40" s="2651"/>
      <c r="L40" s="2651"/>
      <c r="M40" s="2678"/>
      <c r="N40" s="2758"/>
      <c r="O40" s="2657"/>
      <c r="P40" s="2650"/>
      <c r="Q40" s="2672"/>
      <c r="R40" s="2644"/>
      <c r="S40" s="2650"/>
      <c r="T40" s="2651"/>
      <c r="U40" s="2651"/>
      <c r="V40" s="2645"/>
      <c r="W40" s="2674"/>
      <c r="X40" s="2656"/>
      <c r="Y40" s="2713"/>
      <c r="Z40" s="2647"/>
      <c r="AA40" s="2765"/>
      <c r="AB40" s="2768"/>
      <c r="AC40" s="2765"/>
      <c r="AD40" s="2765"/>
      <c r="AE40" s="2736"/>
      <c r="AF40" s="2644"/>
      <c r="AG40" s="2644"/>
      <c r="AH40" s="2644"/>
      <c r="AI40" s="2644"/>
      <c r="AJ40" s="2644"/>
      <c r="AK40" s="2756"/>
      <c r="AL40" s="2648"/>
      <c r="AM40" s="2736"/>
    </row>
    <row r="41" spans="1:39" s="3" customFormat="1" ht="102.75" customHeight="1" x14ac:dyDescent="0.2">
      <c r="A41" s="25"/>
      <c r="B41" s="25"/>
      <c r="C41" s="25"/>
      <c r="D41" s="2679"/>
      <c r="E41" s="2653"/>
      <c r="F41" s="2654"/>
      <c r="G41" s="422"/>
      <c r="H41" s="423"/>
      <c r="I41" s="423"/>
      <c r="J41" s="370">
        <v>77</v>
      </c>
      <c r="K41" s="381" t="s">
        <v>1618</v>
      </c>
      <c r="L41" s="381" t="s">
        <v>1554</v>
      </c>
      <c r="M41" s="421">
        <v>50</v>
      </c>
      <c r="N41" s="9" t="s">
        <v>1619</v>
      </c>
      <c r="O41" s="2657"/>
      <c r="P41" s="2650"/>
      <c r="Q41" s="400">
        <f>+V41/R38 *100</f>
        <v>0</v>
      </c>
      <c r="R41" s="2644"/>
      <c r="S41" s="2650"/>
      <c r="T41" s="381" t="s">
        <v>1620</v>
      </c>
      <c r="U41" s="381" t="s">
        <v>1621</v>
      </c>
      <c r="V41" s="311">
        <v>0</v>
      </c>
      <c r="W41" s="380"/>
      <c r="X41" s="370"/>
      <c r="Y41" s="2713"/>
      <c r="Z41" s="2647"/>
      <c r="AA41" s="2765"/>
      <c r="AB41" s="2768"/>
      <c r="AC41" s="2765"/>
      <c r="AD41" s="2765"/>
      <c r="AE41" s="2736"/>
      <c r="AF41" s="2644"/>
      <c r="AG41" s="2644"/>
      <c r="AH41" s="2644"/>
      <c r="AI41" s="2644"/>
      <c r="AJ41" s="2644"/>
      <c r="AK41" s="394">
        <v>42782</v>
      </c>
      <c r="AL41" s="394">
        <v>42810</v>
      </c>
      <c r="AM41" s="360"/>
    </row>
    <row r="42" spans="1:39" s="3" customFormat="1" ht="102.75" customHeight="1" x14ac:dyDescent="0.2">
      <c r="A42" s="25"/>
      <c r="B42" s="25"/>
      <c r="C42" s="25"/>
      <c r="D42" s="2679"/>
      <c r="E42" s="2653"/>
      <c r="F42" s="2654"/>
      <c r="G42" s="422"/>
      <c r="H42" s="423"/>
      <c r="I42" s="423"/>
      <c r="J42" s="370">
        <v>78</v>
      </c>
      <c r="K42" s="381" t="s">
        <v>1622</v>
      </c>
      <c r="L42" s="381" t="s">
        <v>1554</v>
      </c>
      <c r="M42" s="421">
        <v>11</v>
      </c>
      <c r="N42" s="9" t="s">
        <v>1617</v>
      </c>
      <c r="O42" s="2657"/>
      <c r="P42" s="2650"/>
      <c r="Q42" s="400">
        <f>+V42/R38*100</f>
        <v>0</v>
      </c>
      <c r="R42" s="2644"/>
      <c r="S42" s="2650"/>
      <c r="T42" s="381" t="s">
        <v>1623</v>
      </c>
      <c r="U42" s="2649" t="s">
        <v>1624</v>
      </c>
      <c r="V42" s="311">
        <v>0</v>
      </c>
      <c r="W42" s="380"/>
      <c r="X42" s="370"/>
      <c r="Y42" s="2713"/>
      <c r="Z42" s="2647"/>
      <c r="AA42" s="2765"/>
      <c r="AB42" s="2768"/>
      <c r="AC42" s="2765"/>
      <c r="AD42" s="2765"/>
      <c r="AE42" s="2736"/>
      <c r="AF42" s="2644"/>
      <c r="AG42" s="2644"/>
      <c r="AH42" s="2644"/>
      <c r="AI42" s="2644"/>
      <c r="AJ42" s="2644"/>
      <c r="AK42" s="394">
        <v>42822</v>
      </c>
      <c r="AL42" s="394">
        <v>42822</v>
      </c>
      <c r="AM42" s="360"/>
    </row>
    <row r="43" spans="1:39" s="3" customFormat="1" ht="102.75" customHeight="1" x14ac:dyDescent="0.2">
      <c r="A43" s="25"/>
      <c r="B43" s="25"/>
      <c r="C43" s="25"/>
      <c r="D43" s="2679"/>
      <c r="E43" s="2653"/>
      <c r="F43" s="2654"/>
      <c r="G43" s="422"/>
      <c r="H43" s="423"/>
      <c r="I43" s="423"/>
      <c r="J43" s="370">
        <v>79</v>
      </c>
      <c r="K43" s="381" t="s">
        <v>1625</v>
      </c>
      <c r="L43" s="381" t="s">
        <v>1554</v>
      </c>
      <c r="M43" s="421">
        <v>163</v>
      </c>
      <c r="N43" s="9" t="s">
        <v>1626</v>
      </c>
      <c r="O43" s="2657"/>
      <c r="P43" s="2650"/>
      <c r="Q43" s="400">
        <f>+V43/R38*100</f>
        <v>0</v>
      </c>
      <c r="R43" s="2644"/>
      <c r="S43" s="2650"/>
      <c r="T43" s="381" t="s">
        <v>1627</v>
      </c>
      <c r="U43" s="2650"/>
      <c r="V43" s="311">
        <v>0</v>
      </c>
      <c r="W43" s="380"/>
      <c r="X43" s="370"/>
      <c r="Y43" s="2713"/>
      <c r="Z43" s="2647"/>
      <c r="AA43" s="2765"/>
      <c r="AB43" s="2768"/>
      <c r="AC43" s="2765"/>
      <c r="AD43" s="2765"/>
      <c r="AE43" s="2736"/>
      <c r="AF43" s="2644"/>
      <c r="AG43" s="2644"/>
      <c r="AH43" s="2644"/>
      <c r="AI43" s="2644"/>
      <c r="AJ43" s="2644"/>
      <c r="AK43" s="394">
        <v>42822</v>
      </c>
      <c r="AL43" s="394">
        <v>42822</v>
      </c>
      <c r="AM43" s="360"/>
    </row>
    <row r="44" spans="1:39" s="3" customFormat="1" ht="93.75" customHeight="1" x14ac:dyDescent="0.2">
      <c r="A44" s="25"/>
      <c r="B44" s="25"/>
      <c r="C44" s="25"/>
      <c r="D44" s="2679"/>
      <c r="E44" s="2653"/>
      <c r="F44" s="2654"/>
      <c r="G44" s="422"/>
      <c r="H44" s="423"/>
      <c r="I44" s="423"/>
      <c r="J44" s="370">
        <v>80</v>
      </c>
      <c r="K44" s="381" t="s">
        <v>1628</v>
      </c>
      <c r="L44" s="381" t="s">
        <v>1554</v>
      </c>
      <c r="M44" s="421">
        <v>3803</v>
      </c>
      <c r="N44" s="9"/>
      <c r="O44" s="2657"/>
      <c r="P44" s="2650"/>
      <c r="Q44" s="400">
        <f>+V44/R38*100</f>
        <v>0</v>
      </c>
      <c r="R44" s="2644"/>
      <c r="S44" s="2650"/>
      <c r="T44" s="381" t="s">
        <v>1629</v>
      </c>
      <c r="U44" s="2651"/>
      <c r="V44" s="311">
        <v>0</v>
      </c>
      <c r="W44" s="380"/>
      <c r="X44" s="370"/>
      <c r="Y44" s="2713"/>
      <c r="Z44" s="2647"/>
      <c r="AA44" s="2765"/>
      <c r="AB44" s="2768"/>
      <c r="AC44" s="2765"/>
      <c r="AD44" s="2765"/>
      <c r="AE44" s="2736"/>
      <c r="AF44" s="2644"/>
      <c r="AG44" s="2644"/>
      <c r="AH44" s="2644"/>
      <c r="AI44" s="2644"/>
      <c r="AJ44" s="2644"/>
      <c r="AK44" s="394">
        <v>42822</v>
      </c>
      <c r="AL44" s="394">
        <v>42822</v>
      </c>
      <c r="AM44" s="360"/>
    </row>
    <row r="45" spans="1:39" s="3" customFormat="1" ht="93.75" customHeight="1" x14ac:dyDescent="0.2">
      <c r="A45" s="25"/>
      <c r="B45" s="25"/>
      <c r="C45" s="25"/>
      <c r="D45" s="2679"/>
      <c r="E45" s="2653"/>
      <c r="F45" s="2654"/>
      <c r="G45" s="422"/>
      <c r="H45" s="423"/>
      <c r="I45" s="423"/>
      <c r="J45" s="370">
        <v>81</v>
      </c>
      <c r="K45" s="381" t="s">
        <v>1630</v>
      </c>
      <c r="L45" s="381" t="s">
        <v>1554</v>
      </c>
      <c r="M45" s="421">
        <v>27</v>
      </c>
      <c r="N45" s="9"/>
      <c r="O45" s="2657"/>
      <c r="P45" s="2650"/>
      <c r="Q45" s="400">
        <v>0</v>
      </c>
      <c r="R45" s="2644"/>
      <c r="S45" s="2650"/>
      <c r="T45" s="381" t="s">
        <v>1611</v>
      </c>
      <c r="U45" s="396" t="s">
        <v>1612</v>
      </c>
      <c r="V45" s="311">
        <v>0</v>
      </c>
      <c r="W45" s="380"/>
      <c r="X45" s="370"/>
      <c r="Y45" s="2713"/>
      <c r="Z45" s="2647"/>
      <c r="AA45" s="2765"/>
      <c r="AB45" s="2768"/>
      <c r="AC45" s="2765"/>
      <c r="AD45" s="2765"/>
      <c r="AE45" s="2736"/>
      <c r="AF45" s="2644"/>
      <c r="AG45" s="2644"/>
      <c r="AH45" s="2644"/>
      <c r="AI45" s="2644"/>
      <c r="AJ45" s="2644"/>
      <c r="AK45" s="394">
        <v>42767</v>
      </c>
      <c r="AL45" s="394">
        <v>43038</v>
      </c>
      <c r="AM45" s="360"/>
    </row>
    <row r="46" spans="1:39" s="3" customFormat="1" ht="93.75" customHeight="1" x14ac:dyDescent="0.2">
      <c r="A46" s="25"/>
      <c r="B46" s="25"/>
      <c r="C46" s="25"/>
      <c r="D46" s="2679"/>
      <c r="E46" s="2653"/>
      <c r="F46" s="2654"/>
      <c r="G46" s="422"/>
      <c r="H46" s="423"/>
      <c r="I46" s="423"/>
      <c r="J46" s="370">
        <v>82</v>
      </c>
      <c r="K46" s="381" t="s">
        <v>1631</v>
      </c>
      <c r="L46" s="381" t="s">
        <v>1554</v>
      </c>
      <c r="M46" s="421">
        <v>27</v>
      </c>
      <c r="N46" s="9"/>
      <c r="O46" s="2656"/>
      <c r="P46" s="2651"/>
      <c r="Q46" s="400">
        <f>+V46/R38*100</f>
        <v>0</v>
      </c>
      <c r="R46" s="2645"/>
      <c r="S46" s="2651"/>
      <c r="T46" s="381" t="s">
        <v>1611</v>
      </c>
      <c r="U46" s="396" t="s">
        <v>1612</v>
      </c>
      <c r="V46" s="311">
        <v>0</v>
      </c>
      <c r="W46" s="380"/>
      <c r="X46" s="370"/>
      <c r="Y46" s="2674"/>
      <c r="Z46" s="2648"/>
      <c r="AA46" s="2766"/>
      <c r="AB46" s="2769"/>
      <c r="AC46" s="2766"/>
      <c r="AD46" s="2766"/>
      <c r="AE46" s="2763"/>
      <c r="AF46" s="2645"/>
      <c r="AG46" s="2645"/>
      <c r="AH46" s="2645"/>
      <c r="AI46" s="2645"/>
      <c r="AJ46" s="2645"/>
      <c r="AK46" s="394">
        <v>42767</v>
      </c>
      <c r="AL46" s="394">
        <v>43038</v>
      </c>
      <c r="AM46" s="327"/>
    </row>
    <row r="47" spans="1:39" s="3" customFormat="1" ht="12.75" x14ac:dyDescent="0.2">
      <c r="A47" s="411"/>
      <c r="B47" s="412"/>
      <c r="C47" s="412"/>
      <c r="D47" s="412"/>
      <c r="E47" s="412"/>
      <c r="F47" s="413"/>
      <c r="G47" s="317">
        <v>20</v>
      </c>
      <c r="H47" s="2652" t="s">
        <v>1632</v>
      </c>
      <c r="I47" s="2652"/>
      <c r="J47" s="2652"/>
      <c r="K47" s="2652"/>
      <c r="L47" s="426"/>
      <c r="M47" s="290"/>
      <c r="N47" s="426"/>
      <c r="O47" s="13"/>
      <c r="P47" s="426"/>
      <c r="Q47" s="13"/>
      <c r="R47" s="13"/>
      <c r="S47" s="426"/>
      <c r="T47" s="426"/>
      <c r="U47" s="426"/>
      <c r="V47" s="251">
        <f>SUM(V48:V69)</f>
        <v>502989553</v>
      </c>
      <c r="W47" s="13"/>
      <c r="X47" s="13"/>
      <c r="Y47" s="13"/>
      <c r="Z47" s="13"/>
      <c r="AA47" s="13"/>
      <c r="AB47" s="13"/>
      <c r="AC47" s="13"/>
      <c r="AD47" s="13"/>
      <c r="AE47" s="13"/>
      <c r="AF47" s="13"/>
      <c r="AG47" s="13"/>
      <c r="AH47" s="13"/>
      <c r="AI47" s="13"/>
      <c r="AJ47" s="13"/>
      <c r="AK47" s="310"/>
      <c r="AL47" s="310"/>
      <c r="AM47" s="14"/>
    </row>
    <row r="48" spans="1:39" s="322" customFormat="1" ht="24" customHeight="1" x14ac:dyDescent="0.2">
      <c r="A48" s="2737"/>
      <c r="B48" s="2738"/>
      <c r="C48" s="2739"/>
      <c r="D48" s="2746"/>
      <c r="E48" s="2747"/>
      <c r="F48" s="2748"/>
      <c r="G48" s="2737"/>
      <c r="H48" s="2738"/>
      <c r="I48" s="2739"/>
      <c r="J48" s="2721">
        <v>83</v>
      </c>
      <c r="K48" s="2717" t="s">
        <v>1633</v>
      </c>
      <c r="L48" s="2717" t="s">
        <v>1554</v>
      </c>
      <c r="M48" s="2729">
        <v>27</v>
      </c>
      <c r="N48" s="2726" t="s">
        <v>1634</v>
      </c>
      <c r="O48" s="2721">
        <v>90</v>
      </c>
      <c r="P48" s="2717" t="s">
        <v>1635</v>
      </c>
      <c r="Q48" s="319">
        <f>+V48/R48*100</f>
        <v>0</v>
      </c>
      <c r="R48" s="2733">
        <f>SUM(V48:V69)</f>
        <v>502989553</v>
      </c>
      <c r="S48" s="2717" t="s">
        <v>1636</v>
      </c>
      <c r="T48" s="2717" t="s">
        <v>1637</v>
      </c>
      <c r="U48" s="320" t="s">
        <v>1638</v>
      </c>
      <c r="V48" s="295">
        <v>0</v>
      </c>
      <c r="W48" s="364"/>
      <c r="X48" s="363"/>
      <c r="Y48" s="2723">
        <v>2732</v>
      </c>
      <c r="Z48" s="2723">
        <v>17360</v>
      </c>
      <c r="AA48" s="2723">
        <v>21116</v>
      </c>
      <c r="AB48" s="321"/>
      <c r="AC48" s="2723">
        <v>4451</v>
      </c>
      <c r="AD48" s="2723">
        <v>56</v>
      </c>
      <c r="AE48" s="321"/>
      <c r="AF48" s="321"/>
      <c r="AG48" s="321"/>
      <c r="AH48" s="321"/>
      <c r="AI48" s="321"/>
      <c r="AJ48" s="321"/>
      <c r="AK48" s="382">
        <v>42767</v>
      </c>
      <c r="AL48" s="382">
        <v>43038</v>
      </c>
      <c r="AM48" s="2887" t="s">
        <v>1561</v>
      </c>
    </row>
    <row r="49" spans="1:39" s="322" customFormat="1" ht="36" customHeight="1" x14ac:dyDescent="0.2">
      <c r="A49" s="2740"/>
      <c r="B49" s="2741"/>
      <c r="C49" s="2742"/>
      <c r="D49" s="2749"/>
      <c r="E49" s="2750"/>
      <c r="F49" s="2751"/>
      <c r="G49" s="2740"/>
      <c r="H49" s="2741"/>
      <c r="I49" s="2742"/>
      <c r="J49" s="2730"/>
      <c r="K49" s="2728"/>
      <c r="L49" s="2728"/>
      <c r="M49" s="2729"/>
      <c r="N49" s="2728"/>
      <c r="O49" s="2730"/>
      <c r="P49" s="2728"/>
      <c r="Q49" s="319">
        <f>+V49/R48*10</f>
        <v>0</v>
      </c>
      <c r="R49" s="2734"/>
      <c r="S49" s="2728"/>
      <c r="T49" s="2728"/>
      <c r="U49" s="362" t="s">
        <v>1639</v>
      </c>
      <c r="V49" s="295">
        <v>0</v>
      </c>
      <c r="W49" s="364"/>
      <c r="X49" s="363"/>
      <c r="Y49" s="2724"/>
      <c r="Z49" s="2724"/>
      <c r="AA49" s="2724"/>
      <c r="AB49" s="323"/>
      <c r="AC49" s="2724"/>
      <c r="AD49" s="2724"/>
      <c r="AE49" s="323"/>
      <c r="AF49" s="323"/>
      <c r="AG49" s="323"/>
      <c r="AH49" s="323"/>
      <c r="AI49" s="323"/>
      <c r="AJ49" s="323"/>
      <c r="AK49" s="382">
        <v>42740</v>
      </c>
      <c r="AL49" s="382">
        <v>42740</v>
      </c>
      <c r="AM49" s="2888"/>
    </row>
    <row r="50" spans="1:39" s="322" customFormat="1" ht="35.25" customHeight="1" x14ac:dyDescent="0.2">
      <c r="A50" s="2740"/>
      <c r="B50" s="2741"/>
      <c r="C50" s="2742"/>
      <c r="D50" s="2749"/>
      <c r="E50" s="2750"/>
      <c r="F50" s="2751"/>
      <c r="G50" s="2740"/>
      <c r="H50" s="2741"/>
      <c r="I50" s="2742"/>
      <c r="J50" s="2730"/>
      <c r="K50" s="2728"/>
      <c r="L50" s="2728"/>
      <c r="M50" s="2729"/>
      <c r="N50" s="2728"/>
      <c r="O50" s="2730"/>
      <c r="P50" s="2728"/>
      <c r="Q50" s="319"/>
      <c r="R50" s="2734"/>
      <c r="S50" s="2728"/>
      <c r="T50" s="2728"/>
      <c r="U50" s="378" t="s">
        <v>1640</v>
      </c>
      <c r="V50" s="295">
        <v>0</v>
      </c>
      <c r="W50" s="364"/>
      <c r="X50" s="363"/>
      <c r="Y50" s="2724"/>
      <c r="Z50" s="2724"/>
      <c r="AA50" s="2724"/>
      <c r="AB50" s="323"/>
      <c r="AC50" s="2724"/>
      <c r="AD50" s="2724"/>
      <c r="AE50" s="323"/>
      <c r="AF50" s="323"/>
      <c r="AG50" s="323"/>
      <c r="AH50" s="323"/>
      <c r="AI50" s="323"/>
      <c r="AJ50" s="323"/>
      <c r="AK50" s="382">
        <v>42783</v>
      </c>
      <c r="AL50" s="382">
        <v>42783</v>
      </c>
      <c r="AM50" s="2888"/>
    </row>
    <row r="51" spans="1:39" s="322" customFormat="1" ht="31.5" customHeight="1" x14ac:dyDescent="0.2">
      <c r="A51" s="2740"/>
      <c r="B51" s="2741"/>
      <c r="C51" s="2742"/>
      <c r="D51" s="2749"/>
      <c r="E51" s="2750"/>
      <c r="F51" s="2751"/>
      <c r="G51" s="2740"/>
      <c r="H51" s="2741"/>
      <c r="I51" s="2742"/>
      <c r="J51" s="2730"/>
      <c r="K51" s="2728"/>
      <c r="L51" s="2728"/>
      <c r="M51" s="2729"/>
      <c r="N51" s="2728"/>
      <c r="O51" s="2730"/>
      <c r="P51" s="2728"/>
      <c r="Q51" s="319">
        <f>+V51/R48*100</f>
        <v>0</v>
      </c>
      <c r="R51" s="2734"/>
      <c r="S51" s="2728"/>
      <c r="T51" s="2728"/>
      <c r="U51" s="378" t="s">
        <v>1641</v>
      </c>
      <c r="V51" s="295">
        <v>0</v>
      </c>
      <c r="W51" s="364"/>
      <c r="X51" s="363"/>
      <c r="Y51" s="2724"/>
      <c r="Z51" s="2724"/>
      <c r="AA51" s="2724"/>
      <c r="AB51" s="323"/>
      <c r="AC51" s="2724"/>
      <c r="AD51" s="2724"/>
      <c r="AE51" s="323"/>
      <c r="AF51" s="323"/>
      <c r="AG51" s="323"/>
      <c r="AH51" s="323"/>
      <c r="AI51" s="323"/>
      <c r="AJ51" s="323"/>
      <c r="AK51" s="382">
        <v>42789</v>
      </c>
      <c r="AL51" s="382">
        <v>42789</v>
      </c>
      <c r="AM51" s="2888"/>
    </row>
    <row r="52" spans="1:39" s="322" customFormat="1" ht="39" customHeight="1" x14ac:dyDescent="0.2">
      <c r="A52" s="2740"/>
      <c r="B52" s="2741"/>
      <c r="C52" s="2742"/>
      <c r="D52" s="2749"/>
      <c r="E52" s="2750"/>
      <c r="F52" s="2751"/>
      <c r="G52" s="2740"/>
      <c r="H52" s="2741"/>
      <c r="I52" s="2742"/>
      <c r="J52" s="2730"/>
      <c r="K52" s="2728"/>
      <c r="L52" s="2728"/>
      <c r="M52" s="2729"/>
      <c r="N52" s="2728"/>
      <c r="O52" s="2730"/>
      <c r="P52" s="2728"/>
      <c r="Q52" s="319">
        <f>+V52/R48*100</f>
        <v>0</v>
      </c>
      <c r="R52" s="2734"/>
      <c r="S52" s="2728"/>
      <c r="T52" s="2728"/>
      <c r="U52" s="378" t="s">
        <v>1642</v>
      </c>
      <c r="V52" s="295">
        <v>0</v>
      </c>
      <c r="W52" s="364"/>
      <c r="X52" s="363"/>
      <c r="Y52" s="2724"/>
      <c r="Z52" s="2724"/>
      <c r="AA52" s="2724"/>
      <c r="AB52" s="323"/>
      <c r="AC52" s="2724"/>
      <c r="AD52" s="2724"/>
      <c r="AE52" s="323"/>
      <c r="AF52" s="323"/>
      <c r="AG52" s="323"/>
      <c r="AH52" s="323"/>
      <c r="AI52" s="323"/>
      <c r="AJ52" s="323"/>
      <c r="AK52" s="382">
        <v>42797</v>
      </c>
      <c r="AL52" s="382">
        <v>42797</v>
      </c>
      <c r="AM52" s="2888"/>
    </row>
    <row r="53" spans="1:39" s="322" customFormat="1" ht="40.5" customHeight="1" x14ac:dyDescent="0.2">
      <c r="A53" s="2740"/>
      <c r="B53" s="2741"/>
      <c r="C53" s="2742"/>
      <c r="D53" s="2749"/>
      <c r="E53" s="2750"/>
      <c r="F53" s="2751"/>
      <c r="G53" s="2740"/>
      <c r="H53" s="2741"/>
      <c r="I53" s="2742"/>
      <c r="J53" s="2730"/>
      <c r="K53" s="2728"/>
      <c r="L53" s="2728"/>
      <c r="M53" s="2729"/>
      <c r="N53" s="2728"/>
      <c r="O53" s="2730"/>
      <c r="P53" s="2728"/>
      <c r="Q53" s="319">
        <f>+V53/R48*100</f>
        <v>0</v>
      </c>
      <c r="R53" s="2734"/>
      <c r="S53" s="2728"/>
      <c r="T53" s="2728"/>
      <c r="U53" s="378" t="s">
        <v>1643</v>
      </c>
      <c r="V53" s="295">
        <v>0</v>
      </c>
      <c r="W53" s="364"/>
      <c r="X53" s="363"/>
      <c r="Y53" s="2724"/>
      <c r="Z53" s="2724"/>
      <c r="AA53" s="2724"/>
      <c r="AB53" s="323"/>
      <c r="AC53" s="2724"/>
      <c r="AD53" s="2724"/>
      <c r="AE53" s="323"/>
      <c r="AF53" s="323"/>
      <c r="AG53" s="323"/>
      <c r="AH53" s="323"/>
      <c r="AI53" s="323"/>
      <c r="AJ53" s="323"/>
      <c r="AK53" s="382">
        <v>42803</v>
      </c>
      <c r="AL53" s="382">
        <v>42803</v>
      </c>
      <c r="AM53" s="2888"/>
    </row>
    <row r="54" spans="1:39" s="322" customFormat="1" ht="45.75" customHeight="1" x14ac:dyDescent="0.2">
      <c r="A54" s="2740"/>
      <c r="B54" s="2741"/>
      <c r="C54" s="2742"/>
      <c r="D54" s="2749"/>
      <c r="E54" s="2750"/>
      <c r="F54" s="2751"/>
      <c r="G54" s="2740"/>
      <c r="H54" s="2741"/>
      <c r="I54" s="2742"/>
      <c r="J54" s="2730"/>
      <c r="K54" s="2728"/>
      <c r="L54" s="2728"/>
      <c r="M54" s="2729"/>
      <c r="N54" s="2728"/>
      <c r="O54" s="2730"/>
      <c r="P54" s="2728"/>
      <c r="Q54" s="319">
        <f>+V54/R48</f>
        <v>0</v>
      </c>
      <c r="R54" s="2734"/>
      <c r="S54" s="2728"/>
      <c r="T54" s="2728"/>
      <c r="U54" s="378" t="s">
        <v>1644</v>
      </c>
      <c r="V54" s="295">
        <v>0</v>
      </c>
      <c r="W54" s="364"/>
      <c r="X54" s="363"/>
      <c r="Y54" s="2724"/>
      <c r="Z54" s="2724"/>
      <c r="AA54" s="2724"/>
      <c r="AB54" s="323"/>
      <c r="AC54" s="2724"/>
      <c r="AD54" s="2724"/>
      <c r="AE54" s="323"/>
      <c r="AF54" s="323"/>
      <c r="AG54" s="323"/>
      <c r="AH54" s="323"/>
      <c r="AI54" s="323"/>
      <c r="AJ54" s="323"/>
      <c r="AK54" s="382">
        <v>42828</v>
      </c>
      <c r="AL54" s="382">
        <v>43025</v>
      </c>
      <c r="AM54" s="2888"/>
    </row>
    <row r="55" spans="1:39" s="322" customFormat="1" ht="94.5" customHeight="1" x14ac:dyDescent="0.2">
      <c r="A55" s="2740"/>
      <c r="B55" s="2741"/>
      <c r="C55" s="2742"/>
      <c r="D55" s="2749"/>
      <c r="E55" s="2750"/>
      <c r="F55" s="2751"/>
      <c r="G55" s="2740"/>
      <c r="H55" s="2741"/>
      <c r="I55" s="2742"/>
      <c r="J55" s="363">
        <v>84</v>
      </c>
      <c r="K55" s="378" t="s">
        <v>1645</v>
      </c>
      <c r="L55" s="378" t="s">
        <v>1554</v>
      </c>
      <c r="M55" s="421">
        <v>15</v>
      </c>
      <c r="N55" s="2728"/>
      <c r="O55" s="2730"/>
      <c r="P55" s="2728"/>
      <c r="Q55" s="23">
        <f>+V55/$R$48*100</f>
        <v>0</v>
      </c>
      <c r="R55" s="2734"/>
      <c r="S55" s="2728"/>
      <c r="T55" s="378" t="s">
        <v>1646</v>
      </c>
      <c r="U55" s="378" t="s">
        <v>1647</v>
      </c>
      <c r="V55" s="295">
        <v>0</v>
      </c>
      <c r="W55" s="364"/>
      <c r="X55" s="363"/>
      <c r="Y55" s="2724"/>
      <c r="Z55" s="2724"/>
      <c r="AA55" s="2724"/>
      <c r="AB55" s="323"/>
      <c r="AC55" s="2724"/>
      <c r="AD55" s="2724"/>
      <c r="AE55" s="323"/>
      <c r="AF55" s="323"/>
      <c r="AG55" s="323"/>
      <c r="AH55" s="323"/>
      <c r="AI55" s="323"/>
      <c r="AJ55" s="323"/>
      <c r="AK55" s="382">
        <v>42835</v>
      </c>
      <c r="AL55" s="382">
        <v>42839</v>
      </c>
      <c r="AM55" s="2888"/>
    </row>
    <row r="56" spans="1:39" s="322" customFormat="1" ht="84.75" customHeight="1" x14ac:dyDescent="0.2">
      <c r="A56" s="2740"/>
      <c r="B56" s="2741"/>
      <c r="C56" s="2742"/>
      <c r="D56" s="2749"/>
      <c r="E56" s="2750"/>
      <c r="F56" s="2751"/>
      <c r="G56" s="2740"/>
      <c r="H56" s="2741"/>
      <c r="I56" s="2742"/>
      <c r="J56" s="363">
        <v>85</v>
      </c>
      <c r="K56" s="378" t="s">
        <v>1648</v>
      </c>
      <c r="L56" s="378" t="s">
        <v>1554</v>
      </c>
      <c r="M56" s="421">
        <v>15</v>
      </c>
      <c r="N56" s="2728"/>
      <c r="O56" s="2730"/>
      <c r="P56" s="2728"/>
      <c r="Q56" s="23">
        <f>+V56/$R$48*100</f>
        <v>3.9762257249108313</v>
      </c>
      <c r="R56" s="2734"/>
      <c r="S56" s="2728"/>
      <c r="T56" s="420" t="s">
        <v>1649</v>
      </c>
      <c r="U56" s="378" t="s">
        <v>1650</v>
      </c>
      <c r="V56" s="295">
        <v>20000000</v>
      </c>
      <c r="W56" s="364">
        <v>35</v>
      </c>
      <c r="X56" s="363" t="s">
        <v>1560</v>
      </c>
      <c r="Y56" s="2724"/>
      <c r="Z56" s="2724"/>
      <c r="AA56" s="2724"/>
      <c r="AB56" s="323"/>
      <c r="AC56" s="2724"/>
      <c r="AD56" s="2724"/>
      <c r="AE56" s="323"/>
      <c r="AF56" s="323"/>
      <c r="AG56" s="323"/>
      <c r="AH56" s="323"/>
      <c r="AI56" s="323"/>
      <c r="AJ56" s="323"/>
      <c r="AK56" s="382">
        <v>42745</v>
      </c>
      <c r="AL56" s="382">
        <v>42745</v>
      </c>
      <c r="AM56" s="2888"/>
    </row>
    <row r="57" spans="1:39" s="322" customFormat="1" ht="57" customHeight="1" x14ac:dyDescent="0.2">
      <c r="A57" s="2740"/>
      <c r="B57" s="2741"/>
      <c r="C57" s="2742"/>
      <c r="D57" s="2749"/>
      <c r="E57" s="2750"/>
      <c r="F57" s="2751"/>
      <c r="G57" s="2740"/>
      <c r="H57" s="2741"/>
      <c r="I57" s="2742"/>
      <c r="J57" s="2721">
        <v>87</v>
      </c>
      <c r="K57" s="2726" t="s">
        <v>1651</v>
      </c>
      <c r="L57" s="2721" t="s">
        <v>1554</v>
      </c>
      <c r="M57" s="2677">
        <v>30</v>
      </c>
      <c r="N57" s="2728"/>
      <c r="O57" s="2730"/>
      <c r="P57" s="2728"/>
      <c r="Q57" s="2731">
        <f>+V58/$R$48*100</f>
        <v>1.9881128624554156</v>
      </c>
      <c r="R57" s="2734"/>
      <c r="S57" s="2728"/>
      <c r="T57" s="2726" t="s">
        <v>1652</v>
      </c>
      <c r="U57" s="2726" t="s">
        <v>1653</v>
      </c>
      <c r="V57" s="295">
        <v>136316152</v>
      </c>
      <c r="W57" s="364">
        <v>80</v>
      </c>
      <c r="X57" s="363" t="s">
        <v>1568</v>
      </c>
      <c r="Y57" s="2724"/>
      <c r="Z57" s="2724"/>
      <c r="AA57" s="2724"/>
      <c r="AB57" s="323"/>
      <c r="AC57" s="2724"/>
      <c r="AD57" s="2724"/>
      <c r="AE57" s="323"/>
      <c r="AF57" s="323"/>
      <c r="AG57" s="323"/>
      <c r="AH57" s="323"/>
      <c r="AI57" s="323"/>
      <c r="AJ57" s="323"/>
      <c r="AK57" s="2759">
        <v>42796</v>
      </c>
      <c r="AL57" s="2759">
        <v>42827</v>
      </c>
      <c r="AM57" s="2888"/>
    </row>
    <row r="58" spans="1:39" s="322" customFormat="1" ht="63.75" customHeight="1" x14ac:dyDescent="0.2">
      <c r="A58" s="2740"/>
      <c r="B58" s="2741"/>
      <c r="C58" s="2742"/>
      <c r="D58" s="2749"/>
      <c r="E58" s="2750"/>
      <c r="F58" s="2751"/>
      <c r="G58" s="2740"/>
      <c r="H58" s="2741"/>
      <c r="I58" s="2742"/>
      <c r="J58" s="2722"/>
      <c r="K58" s="2727"/>
      <c r="L58" s="2722"/>
      <c r="M58" s="2678"/>
      <c r="N58" s="2728"/>
      <c r="O58" s="2730"/>
      <c r="P58" s="2728"/>
      <c r="Q58" s="2732"/>
      <c r="R58" s="2734"/>
      <c r="S58" s="2728"/>
      <c r="T58" s="2727"/>
      <c r="U58" s="2727"/>
      <c r="V58" s="297">
        <v>10000000</v>
      </c>
      <c r="W58" s="364">
        <v>20</v>
      </c>
      <c r="X58" s="365" t="s">
        <v>185</v>
      </c>
      <c r="Y58" s="2724"/>
      <c r="Z58" s="2724"/>
      <c r="AA58" s="2724"/>
      <c r="AB58" s="323"/>
      <c r="AC58" s="2724"/>
      <c r="AD58" s="2724"/>
      <c r="AE58" s="323"/>
      <c r="AF58" s="323"/>
      <c r="AG58" s="323"/>
      <c r="AH58" s="323"/>
      <c r="AI58" s="323"/>
      <c r="AJ58" s="323"/>
      <c r="AK58" s="2760"/>
      <c r="AL58" s="2760"/>
      <c r="AM58" s="2888"/>
    </row>
    <row r="59" spans="1:39" s="322" customFormat="1" ht="57.75" customHeight="1" x14ac:dyDescent="0.2">
      <c r="A59" s="2740"/>
      <c r="B59" s="2741"/>
      <c r="C59" s="2742"/>
      <c r="D59" s="2749"/>
      <c r="E59" s="2750"/>
      <c r="F59" s="2751"/>
      <c r="G59" s="2740"/>
      <c r="H59" s="2741"/>
      <c r="I59" s="2742"/>
      <c r="J59" s="363">
        <v>88</v>
      </c>
      <c r="K59" s="378" t="s">
        <v>1654</v>
      </c>
      <c r="L59" s="378" t="s">
        <v>1554</v>
      </c>
      <c r="M59" s="421">
        <v>29</v>
      </c>
      <c r="N59" s="2728"/>
      <c r="O59" s="2730"/>
      <c r="P59" s="2728"/>
      <c r="Q59" s="23">
        <f>+V59/$R$48*100</f>
        <v>9.940564312277079</v>
      </c>
      <c r="R59" s="2734"/>
      <c r="S59" s="2728"/>
      <c r="T59" s="378" t="s">
        <v>1655</v>
      </c>
      <c r="U59" s="320" t="s">
        <v>1656</v>
      </c>
      <c r="V59" s="295">
        <v>50000000</v>
      </c>
      <c r="W59" s="364">
        <v>35</v>
      </c>
      <c r="X59" s="363" t="s">
        <v>1560</v>
      </c>
      <c r="Y59" s="2724"/>
      <c r="Z59" s="2724"/>
      <c r="AA59" s="2724"/>
      <c r="AB59" s="323"/>
      <c r="AC59" s="2724"/>
      <c r="AD59" s="2724"/>
      <c r="AE59" s="323"/>
      <c r="AF59" s="323"/>
      <c r="AG59" s="323"/>
      <c r="AH59" s="323"/>
      <c r="AI59" s="323"/>
      <c r="AJ59" s="323"/>
      <c r="AK59" s="382">
        <v>42767</v>
      </c>
      <c r="AL59" s="382">
        <v>43038</v>
      </c>
      <c r="AM59" s="2888"/>
    </row>
    <row r="60" spans="1:39" s="322" customFormat="1" ht="29.25" customHeight="1" x14ac:dyDescent="0.2">
      <c r="A60" s="2740"/>
      <c r="B60" s="2741"/>
      <c r="C60" s="2742"/>
      <c r="D60" s="2749"/>
      <c r="E60" s="2750"/>
      <c r="F60" s="2751"/>
      <c r="G60" s="2740"/>
      <c r="H60" s="2741"/>
      <c r="I60" s="2742"/>
      <c r="J60" s="2721">
        <v>86</v>
      </c>
      <c r="K60" s="2717" t="s">
        <v>1657</v>
      </c>
      <c r="L60" s="2717" t="s">
        <v>1554</v>
      </c>
      <c r="M60" s="2729">
        <v>4</v>
      </c>
      <c r="N60" s="2728"/>
      <c r="O60" s="2730"/>
      <c r="P60" s="2728"/>
      <c r="Q60" s="319">
        <f>+V60/R48*100</f>
        <v>0</v>
      </c>
      <c r="R60" s="2734"/>
      <c r="S60" s="2728"/>
      <c r="T60" s="2717" t="s">
        <v>1658</v>
      </c>
      <c r="U60" s="378" t="s">
        <v>1659</v>
      </c>
      <c r="V60" s="295">
        <v>0</v>
      </c>
      <c r="W60" s="364"/>
      <c r="X60" s="363"/>
      <c r="Y60" s="2724"/>
      <c r="Z60" s="2724"/>
      <c r="AA60" s="2724"/>
      <c r="AB60" s="323"/>
      <c r="AC60" s="2724"/>
      <c r="AD60" s="2724"/>
      <c r="AE60" s="323"/>
      <c r="AF60" s="323"/>
      <c r="AG60" s="323"/>
      <c r="AH60" s="323"/>
      <c r="AI60" s="323"/>
      <c r="AJ60" s="323"/>
      <c r="AK60" s="382">
        <v>42853</v>
      </c>
      <c r="AL60" s="382">
        <v>42853</v>
      </c>
      <c r="AM60" s="2888"/>
    </row>
    <row r="61" spans="1:39" s="322" customFormat="1" ht="33" customHeight="1" x14ac:dyDescent="0.2">
      <c r="A61" s="2740"/>
      <c r="B61" s="2741"/>
      <c r="C61" s="2742"/>
      <c r="D61" s="2749"/>
      <c r="E61" s="2750"/>
      <c r="F61" s="2751"/>
      <c r="G61" s="2740"/>
      <c r="H61" s="2741"/>
      <c r="I61" s="2742"/>
      <c r="J61" s="2730"/>
      <c r="K61" s="2728"/>
      <c r="L61" s="2728"/>
      <c r="M61" s="2729"/>
      <c r="N61" s="2728"/>
      <c r="O61" s="2730"/>
      <c r="P61" s="2728"/>
      <c r="Q61" s="319">
        <f>+V61/R48*100</f>
        <v>0</v>
      </c>
      <c r="R61" s="2734"/>
      <c r="S61" s="2728"/>
      <c r="T61" s="2728"/>
      <c r="U61" s="378" t="s">
        <v>1661</v>
      </c>
      <c r="V61" s="295">
        <v>0</v>
      </c>
      <c r="W61" s="364"/>
      <c r="X61" s="363"/>
      <c r="Y61" s="2724"/>
      <c r="Z61" s="2724"/>
      <c r="AA61" s="2724"/>
      <c r="AB61" s="323"/>
      <c r="AC61" s="2724"/>
      <c r="AD61" s="2724"/>
      <c r="AE61" s="323"/>
      <c r="AF61" s="323"/>
      <c r="AG61" s="323"/>
      <c r="AH61" s="323"/>
      <c r="AI61" s="323"/>
      <c r="AJ61" s="323"/>
      <c r="AK61" s="382">
        <v>42895</v>
      </c>
      <c r="AL61" s="382">
        <v>42895</v>
      </c>
      <c r="AM61" s="2888"/>
    </row>
    <row r="62" spans="1:39" s="322" customFormat="1" ht="60.75" customHeight="1" x14ac:dyDescent="0.2">
      <c r="A62" s="2740"/>
      <c r="B62" s="2741"/>
      <c r="C62" s="2742"/>
      <c r="D62" s="2749"/>
      <c r="E62" s="2750"/>
      <c r="F62" s="2751"/>
      <c r="G62" s="2740"/>
      <c r="H62" s="2741"/>
      <c r="I62" s="2742"/>
      <c r="J62" s="2730"/>
      <c r="K62" s="2728"/>
      <c r="L62" s="2728"/>
      <c r="M62" s="2729"/>
      <c r="N62" s="2728"/>
      <c r="O62" s="2730"/>
      <c r="P62" s="2728"/>
      <c r="Q62" s="319">
        <f>+V62/R48*100</f>
        <v>0</v>
      </c>
      <c r="R62" s="2734"/>
      <c r="S62" s="2728"/>
      <c r="T62" s="2728"/>
      <c r="U62" s="362" t="s">
        <v>1662</v>
      </c>
      <c r="V62" s="295">
        <v>0</v>
      </c>
      <c r="W62" s="364"/>
      <c r="X62" s="363"/>
      <c r="Y62" s="2724"/>
      <c r="Z62" s="2724"/>
      <c r="AA62" s="2724"/>
      <c r="AB62" s="323"/>
      <c r="AC62" s="2724"/>
      <c r="AD62" s="2724"/>
      <c r="AE62" s="323"/>
      <c r="AF62" s="323"/>
      <c r="AG62" s="323"/>
      <c r="AH62" s="323"/>
      <c r="AI62" s="323"/>
      <c r="AJ62" s="323"/>
      <c r="AK62" s="382">
        <v>42934</v>
      </c>
      <c r="AL62" s="382">
        <v>42934</v>
      </c>
      <c r="AM62" s="2888"/>
    </row>
    <row r="63" spans="1:39" s="322" customFormat="1" ht="54.75" customHeight="1" x14ac:dyDescent="0.2">
      <c r="A63" s="2740"/>
      <c r="B63" s="2741"/>
      <c r="C63" s="2742"/>
      <c r="D63" s="2749"/>
      <c r="E63" s="2750"/>
      <c r="F63" s="2751"/>
      <c r="G63" s="2740"/>
      <c r="H63" s="2741"/>
      <c r="I63" s="2742"/>
      <c r="J63" s="2730"/>
      <c r="K63" s="2728"/>
      <c r="L63" s="2728"/>
      <c r="M63" s="2729"/>
      <c r="N63" s="2728"/>
      <c r="O63" s="2730"/>
      <c r="P63" s="2728"/>
      <c r="Q63" s="319">
        <f>+V63/R48*100</f>
        <v>0</v>
      </c>
      <c r="R63" s="2734"/>
      <c r="S63" s="2728"/>
      <c r="T63" s="2728"/>
      <c r="U63" s="362" t="s">
        <v>1663</v>
      </c>
      <c r="V63" s="295">
        <v>0</v>
      </c>
      <c r="W63" s="364"/>
      <c r="X63" s="363"/>
      <c r="Y63" s="2724"/>
      <c r="Z63" s="2724"/>
      <c r="AA63" s="2724"/>
      <c r="AB63" s="323"/>
      <c r="AC63" s="2724"/>
      <c r="AD63" s="2724"/>
      <c r="AE63" s="323"/>
      <c r="AF63" s="323"/>
      <c r="AG63" s="323"/>
      <c r="AH63" s="323"/>
      <c r="AI63" s="323"/>
      <c r="AJ63" s="323"/>
      <c r="AK63" s="382">
        <v>42935</v>
      </c>
      <c r="AL63" s="382">
        <v>42935</v>
      </c>
      <c r="AM63" s="2888"/>
    </row>
    <row r="64" spans="1:39" s="322" customFormat="1" ht="37.5" customHeight="1" x14ac:dyDescent="0.2">
      <c r="A64" s="2740"/>
      <c r="B64" s="2741"/>
      <c r="C64" s="2742"/>
      <c r="D64" s="2749"/>
      <c r="E64" s="2750"/>
      <c r="F64" s="2751"/>
      <c r="G64" s="2740"/>
      <c r="H64" s="2741"/>
      <c r="I64" s="2742"/>
      <c r="J64" s="2722"/>
      <c r="K64" s="2718"/>
      <c r="L64" s="2718"/>
      <c r="M64" s="2729"/>
      <c r="N64" s="2728"/>
      <c r="O64" s="2730"/>
      <c r="P64" s="2728"/>
      <c r="Q64" s="319">
        <f>+V64/R48*100</f>
        <v>19.219763198541024</v>
      </c>
      <c r="R64" s="2734"/>
      <c r="S64" s="2728"/>
      <c r="T64" s="2728"/>
      <c r="U64" s="378" t="s">
        <v>1664</v>
      </c>
      <c r="V64" s="295">
        <v>96673401</v>
      </c>
      <c r="W64" s="364">
        <v>35</v>
      </c>
      <c r="X64" s="363" t="s">
        <v>1660</v>
      </c>
      <c r="Y64" s="2724"/>
      <c r="Z64" s="2724"/>
      <c r="AA64" s="2724"/>
      <c r="AB64" s="323"/>
      <c r="AC64" s="2724"/>
      <c r="AD64" s="2724"/>
      <c r="AE64" s="323"/>
      <c r="AF64" s="323"/>
      <c r="AG64" s="323"/>
      <c r="AH64" s="323"/>
      <c r="AI64" s="323"/>
      <c r="AJ64" s="323"/>
      <c r="AK64" s="382">
        <v>43032</v>
      </c>
      <c r="AL64" s="382">
        <v>43032</v>
      </c>
      <c r="AM64" s="2888"/>
    </row>
    <row r="65" spans="1:39" s="322" customFormat="1" ht="69.75" customHeight="1" x14ac:dyDescent="0.2">
      <c r="A65" s="2740"/>
      <c r="B65" s="2741"/>
      <c r="C65" s="2742"/>
      <c r="D65" s="2749"/>
      <c r="E65" s="2750"/>
      <c r="F65" s="2751"/>
      <c r="G65" s="2740"/>
      <c r="H65" s="2741"/>
      <c r="I65" s="2742"/>
      <c r="J65" s="363">
        <v>89</v>
      </c>
      <c r="K65" s="378" t="s">
        <v>1665</v>
      </c>
      <c r="L65" s="378" t="s">
        <v>1554</v>
      </c>
      <c r="M65" s="421">
        <v>10000</v>
      </c>
      <c r="N65" s="2728"/>
      <c r="O65" s="2730"/>
      <c r="P65" s="2728"/>
      <c r="Q65" s="23">
        <f>+V65/R48*100</f>
        <v>0</v>
      </c>
      <c r="R65" s="2734"/>
      <c r="S65" s="2728"/>
      <c r="T65" s="378" t="s">
        <v>1666</v>
      </c>
      <c r="U65" s="362" t="s">
        <v>1667</v>
      </c>
      <c r="V65" s="295">
        <v>0</v>
      </c>
      <c r="W65" s="364"/>
      <c r="X65" s="363"/>
      <c r="Y65" s="2724"/>
      <c r="Z65" s="2724"/>
      <c r="AA65" s="2724"/>
      <c r="AB65" s="323"/>
      <c r="AC65" s="2724"/>
      <c r="AD65" s="2724"/>
      <c r="AE65" s="323"/>
      <c r="AF65" s="323"/>
      <c r="AG65" s="323"/>
      <c r="AH65" s="323"/>
      <c r="AI65" s="323"/>
      <c r="AJ65" s="323"/>
      <c r="AK65" s="382">
        <v>42784</v>
      </c>
      <c r="AL65" s="382">
        <v>43069</v>
      </c>
      <c r="AM65" s="2888"/>
    </row>
    <row r="66" spans="1:39" s="322" customFormat="1" ht="66.75" customHeight="1" x14ac:dyDescent="0.2">
      <c r="A66" s="2740"/>
      <c r="B66" s="2741"/>
      <c r="C66" s="2742"/>
      <c r="D66" s="2749"/>
      <c r="E66" s="2750"/>
      <c r="F66" s="2751"/>
      <c r="G66" s="2740"/>
      <c r="H66" s="2741"/>
      <c r="I66" s="2742"/>
      <c r="J66" s="2721">
        <v>90</v>
      </c>
      <c r="K66" s="2717" t="s">
        <v>1668</v>
      </c>
      <c r="L66" s="2717" t="s">
        <v>1554</v>
      </c>
      <c r="M66" s="2729">
        <v>115</v>
      </c>
      <c r="N66" s="2728"/>
      <c r="O66" s="2730"/>
      <c r="P66" s="2728"/>
      <c r="Q66" s="2731">
        <f>+V66/R48*100</f>
        <v>4.7714708698929975</v>
      </c>
      <c r="R66" s="2734"/>
      <c r="S66" s="2728"/>
      <c r="T66" s="2717" t="s">
        <v>1669</v>
      </c>
      <c r="U66" s="362" t="s">
        <v>1670</v>
      </c>
      <c r="V66" s="309">
        <v>24000000</v>
      </c>
      <c r="W66" s="2719">
        <v>20</v>
      </c>
      <c r="X66" s="2721" t="s">
        <v>185</v>
      </c>
      <c r="Y66" s="2724"/>
      <c r="Z66" s="2724"/>
      <c r="AA66" s="2724"/>
      <c r="AB66" s="323"/>
      <c r="AC66" s="2724"/>
      <c r="AD66" s="2724"/>
      <c r="AE66" s="323"/>
      <c r="AF66" s="323"/>
      <c r="AG66" s="323"/>
      <c r="AH66" s="323"/>
      <c r="AI66" s="323"/>
      <c r="AJ66" s="323"/>
      <c r="AK66" s="382">
        <v>42767</v>
      </c>
      <c r="AL66" s="382">
        <v>43069</v>
      </c>
      <c r="AM66" s="2888"/>
    </row>
    <row r="67" spans="1:39" s="322" customFormat="1" ht="94.5" customHeight="1" x14ac:dyDescent="0.2">
      <c r="A67" s="2740"/>
      <c r="B67" s="2741"/>
      <c r="C67" s="2742"/>
      <c r="D67" s="2749"/>
      <c r="E67" s="2750"/>
      <c r="F67" s="2751"/>
      <c r="G67" s="2740"/>
      <c r="H67" s="2741"/>
      <c r="I67" s="2742"/>
      <c r="J67" s="2722"/>
      <c r="K67" s="2718"/>
      <c r="L67" s="2718"/>
      <c r="M67" s="2729"/>
      <c r="N67" s="2728"/>
      <c r="O67" s="2730"/>
      <c r="P67" s="2728"/>
      <c r="Q67" s="2732"/>
      <c r="R67" s="2734"/>
      <c r="S67" s="2728"/>
      <c r="T67" s="2718"/>
      <c r="U67" s="362" t="s">
        <v>1671</v>
      </c>
      <c r="V67" s="309">
        <v>16000000</v>
      </c>
      <c r="W67" s="2720"/>
      <c r="X67" s="2722"/>
      <c r="Y67" s="2724"/>
      <c r="Z67" s="2724"/>
      <c r="AA67" s="2724"/>
      <c r="AB67" s="323"/>
      <c r="AC67" s="2724"/>
      <c r="AD67" s="2724"/>
      <c r="AE67" s="323"/>
      <c r="AF67" s="323"/>
      <c r="AG67" s="323"/>
      <c r="AH67" s="323"/>
      <c r="AI67" s="323"/>
      <c r="AJ67" s="323"/>
      <c r="AK67" s="382">
        <v>42795</v>
      </c>
      <c r="AL67" s="382">
        <v>43003</v>
      </c>
      <c r="AM67" s="2888"/>
    </row>
    <row r="68" spans="1:39" s="322" customFormat="1" ht="93.75" customHeight="1" x14ac:dyDescent="0.2">
      <c r="A68" s="2740"/>
      <c r="B68" s="2741"/>
      <c r="C68" s="2742"/>
      <c r="D68" s="2749"/>
      <c r="E68" s="2750"/>
      <c r="F68" s="2751"/>
      <c r="G68" s="2740"/>
      <c r="H68" s="2741"/>
      <c r="I68" s="2742"/>
      <c r="J68" s="363">
        <v>91</v>
      </c>
      <c r="K68" s="378" t="s">
        <v>1672</v>
      </c>
      <c r="L68" s="378" t="s">
        <v>1554</v>
      </c>
      <c r="M68" s="421">
        <v>54</v>
      </c>
      <c r="N68" s="2728"/>
      <c r="O68" s="2730"/>
      <c r="P68" s="2728"/>
      <c r="Q68" s="23">
        <f>+V68/R48*100</f>
        <v>29.821692936831234</v>
      </c>
      <c r="R68" s="2734"/>
      <c r="S68" s="2728"/>
      <c r="T68" s="378" t="s">
        <v>1673</v>
      </c>
      <c r="U68" s="378" t="s">
        <v>1674</v>
      </c>
      <c r="V68" s="295">
        <v>150000000</v>
      </c>
      <c r="W68" s="364">
        <v>35</v>
      </c>
      <c r="X68" s="363" t="s">
        <v>1675</v>
      </c>
      <c r="Y68" s="2724"/>
      <c r="Z68" s="2724"/>
      <c r="AA68" s="2724"/>
      <c r="AB68" s="323"/>
      <c r="AC68" s="2724"/>
      <c r="AD68" s="2724"/>
      <c r="AE68" s="323"/>
      <c r="AF68" s="323"/>
      <c r="AG68" s="323"/>
      <c r="AH68" s="323"/>
      <c r="AI68" s="323"/>
      <c r="AJ68" s="323"/>
      <c r="AK68" s="324"/>
      <c r="AL68" s="324"/>
      <c r="AM68" s="2888"/>
    </row>
    <row r="69" spans="1:39" s="322" customFormat="1" ht="87" customHeight="1" x14ac:dyDescent="0.2">
      <c r="A69" s="2743"/>
      <c r="B69" s="2744"/>
      <c r="C69" s="2745"/>
      <c r="D69" s="2752"/>
      <c r="E69" s="2753"/>
      <c r="F69" s="2754"/>
      <c r="G69" s="2743"/>
      <c r="H69" s="2744"/>
      <c r="I69" s="2745"/>
      <c r="J69" s="363">
        <v>92</v>
      </c>
      <c r="K69" s="378" t="s">
        <v>1676</v>
      </c>
      <c r="L69" s="378" t="s">
        <v>1554</v>
      </c>
      <c r="M69" s="421">
        <v>2</v>
      </c>
      <c r="N69" s="2718"/>
      <c r="O69" s="2722"/>
      <c r="P69" s="2718"/>
      <c r="Q69" s="23">
        <f>+V68/R48*100</f>
        <v>29.821692936831234</v>
      </c>
      <c r="R69" s="2735"/>
      <c r="S69" s="2718"/>
      <c r="T69" s="378" t="s">
        <v>1677</v>
      </c>
      <c r="U69" s="378" t="s">
        <v>1678</v>
      </c>
      <c r="V69" s="295">
        <v>0</v>
      </c>
      <c r="W69" s="364"/>
      <c r="X69" s="363"/>
      <c r="Y69" s="2725"/>
      <c r="Z69" s="2725"/>
      <c r="AA69" s="2725"/>
      <c r="AB69" s="325"/>
      <c r="AC69" s="2725"/>
      <c r="AD69" s="2725"/>
      <c r="AE69" s="325"/>
      <c r="AF69" s="325"/>
      <c r="AG69" s="325"/>
      <c r="AH69" s="325"/>
      <c r="AI69" s="325"/>
      <c r="AJ69" s="325"/>
      <c r="AK69" s="382">
        <v>42842</v>
      </c>
      <c r="AL69" s="382">
        <v>42872</v>
      </c>
      <c r="AM69" s="2889"/>
    </row>
    <row r="70" spans="1:39" s="3" customFormat="1" ht="12.75" x14ac:dyDescent="0.2">
      <c r="A70" s="1719"/>
      <c r="B70" s="1720"/>
      <c r="C70" s="1721"/>
      <c r="D70" s="1720"/>
      <c r="E70" s="1720"/>
      <c r="F70" s="413"/>
      <c r="G70" s="317">
        <v>21</v>
      </c>
      <c r="H70" s="2652" t="s">
        <v>1679</v>
      </c>
      <c r="I70" s="2652"/>
      <c r="J70" s="2652"/>
      <c r="K70" s="2652"/>
      <c r="L70" s="2652"/>
      <c r="M70" s="290"/>
      <c r="N70" s="426"/>
      <c r="O70" s="13"/>
      <c r="P70" s="426"/>
      <c r="Q70" s="13"/>
      <c r="R70" s="13"/>
      <c r="S70" s="426"/>
      <c r="T70" s="426"/>
      <c r="U70" s="426"/>
      <c r="V70" s="251">
        <f>SUM(V71:V75)</f>
        <v>287500000</v>
      </c>
      <c r="W70" s="13"/>
      <c r="X70" s="13"/>
      <c r="Y70" s="13"/>
      <c r="Z70" s="13"/>
      <c r="AA70" s="13"/>
      <c r="AB70" s="13"/>
      <c r="AC70" s="13"/>
      <c r="AD70" s="13"/>
      <c r="AE70" s="13"/>
      <c r="AF70" s="13"/>
      <c r="AG70" s="13"/>
      <c r="AH70" s="13"/>
      <c r="AI70" s="13"/>
      <c r="AJ70" s="13"/>
      <c r="AK70" s="310"/>
      <c r="AL70" s="310"/>
      <c r="AM70" s="14"/>
    </row>
    <row r="71" spans="1:39" s="3" customFormat="1" ht="66.75" customHeight="1" x14ac:dyDescent="0.2">
      <c r="A71" s="2661"/>
      <c r="B71" s="2662"/>
      <c r="C71" s="2663"/>
      <c r="D71" s="2679"/>
      <c r="E71" s="2653"/>
      <c r="F71" s="2638"/>
      <c r="G71" s="2658"/>
      <c r="H71" s="2659"/>
      <c r="I71" s="2660"/>
      <c r="J71" s="370">
        <v>93</v>
      </c>
      <c r="K71" s="381" t="s">
        <v>1680</v>
      </c>
      <c r="L71" s="381" t="s">
        <v>1554</v>
      </c>
      <c r="M71" s="421">
        <v>18</v>
      </c>
      <c r="N71" s="9"/>
      <c r="O71" s="2655">
        <v>91</v>
      </c>
      <c r="P71" s="2649" t="s">
        <v>1681</v>
      </c>
      <c r="Q71" s="400">
        <f>+V71/R71*100</f>
        <v>0</v>
      </c>
      <c r="R71" s="2643">
        <f>SUM(V71:V75)</f>
        <v>287500000</v>
      </c>
      <c r="S71" s="2649" t="s">
        <v>1682</v>
      </c>
      <c r="T71" s="381" t="s">
        <v>1683</v>
      </c>
      <c r="U71" s="381" t="s">
        <v>1684</v>
      </c>
      <c r="V71" s="311">
        <v>0</v>
      </c>
      <c r="W71" s="380"/>
      <c r="X71" s="370"/>
      <c r="Y71" s="2646">
        <v>2732</v>
      </c>
      <c r="Z71" s="2646">
        <v>17360</v>
      </c>
      <c r="AA71" s="2646">
        <v>21116</v>
      </c>
      <c r="AB71" s="2643"/>
      <c r="AC71" s="2646">
        <v>4451</v>
      </c>
      <c r="AD71" s="2646">
        <v>56</v>
      </c>
      <c r="AE71" s="2643"/>
      <c r="AF71" s="2643"/>
      <c r="AG71" s="2643"/>
      <c r="AH71" s="2643"/>
      <c r="AI71" s="2643"/>
      <c r="AJ71" s="2643"/>
      <c r="AK71" s="394">
        <v>42767</v>
      </c>
      <c r="AL71" s="394">
        <v>43038</v>
      </c>
      <c r="AM71" s="2884" t="s">
        <v>1561</v>
      </c>
    </row>
    <row r="72" spans="1:39" s="3" customFormat="1" ht="63.75" customHeight="1" x14ac:dyDescent="0.2">
      <c r="A72" s="2661"/>
      <c r="B72" s="2662"/>
      <c r="C72" s="2663"/>
      <c r="D72" s="2679"/>
      <c r="E72" s="2653"/>
      <c r="F72" s="2654"/>
      <c r="G72" s="2661"/>
      <c r="H72" s="2662"/>
      <c r="I72" s="2663"/>
      <c r="J72" s="370">
        <v>94</v>
      </c>
      <c r="K72" s="381" t="s">
        <v>1685</v>
      </c>
      <c r="L72" s="381" t="s">
        <v>1554</v>
      </c>
      <c r="M72" s="421">
        <v>105</v>
      </c>
      <c r="N72" s="381" t="s">
        <v>1686</v>
      </c>
      <c r="O72" s="2657"/>
      <c r="P72" s="2650"/>
      <c r="Q72" s="400">
        <f>+V72/R71*100</f>
        <v>88</v>
      </c>
      <c r="R72" s="2644"/>
      <c r="S72" s="2650"/>
      <c r="T72" s="381" t="s">
        <v>1687</v>
      </c>
      <c r="U72" s="381" t="s">
        <v>1688</v>
      </c>
      <c r="V72" s="311">
        <v>253000000</v>
      </c>
      <c r="W72" s="380">
        <v>35</v>
      </c>
      <c r="X72" s="370" t="s">
        <v>1560</v>
      </c>
      <c r="Y72" s="2647"/>
      <c r="Z72" s="2647"/>
      <c r="AA72" s="2647"/>
      <c r="AB72" s="2644"/>
      <c r="AC72" s="2647"/>
      <c r="AD72" s="2647"/>
      <c r="AE72" s="2644"/>
      <c r="AF72" s="2644"/>
      <c r="AG72" s="2644"/>
      <c r="AH72" s="2644"/>
      <c r="AI72" s="2644"/>
      <c r="AJ72" s="2644"/>
      <c r="AK72" s="394">
        <v>42767</v>
      </c>
      <c r="AL72" s="394">
        <v>42824</v>
      </c>
      <c r="AM72" s="2885"/>
    </row>
    <row r="73" spans="1:39" s="3" customFormat="1" ht="65.25" customHeight="1" x14ac:dyDescent="0.2">
      <c r="A73" s="2661"/>
      <c r="B73" s="2662"/>
      <c r="C73" s="2663"/>
      <c r="D73" s="2679"/>
      <c r="E73" s="2653"/>
      <c r="F73" s="2654"/>
      <c r="G73" s="2661"/>
      <c r="H73" s="2662"/>
      <c r="I73" s="2663"/>
      <c r="J73" s="2655">
        <v>95</v>
      </c>
      <c r="K73" s="2649" t="s">
        <v>1689</v>
      </c>
      <c r="L73" s="2649" t="s">
        <v>1554</v>
      </c>
      <c r="M73" s="2677">
        <v>500</v>
      </c>
      <c r="N73" s="2649" t="s">
        <v>1690</v>
      </c>
      <c r="O73" s="2657"/>
      <c r="P73" s="2650"/>
      <c r="Q73" s="400">
        <f>+V73/R71*100</f>
        <v>1.5652173913043479</v>
      </c>
      <c r="R73" s="2644"/>
      <c r="S73" s="2650"/>
      <c r="T73" s="2649" t="s">
        <v>1691</v>
      </c>
      <c r="U73" s="2690" t="s">
        <v>1692</v>
      </c>
      <c r="V73" s="311">
        <v>4500000</v>
      </c>
      <c r="W73" s="380">
        <v>35</v>
      </c>
      <c r="X73" s="370" t="s">
        <v>1560</v>
      </c>
      <c r="Y73" s="2647"/>
      <c r="Z73" s="2647"/>
      <c r="AA73" s="2647"/>
      <c r="AB73" s="2644"/>
      <c r="AC73" s="2647"/>
      <c r="AD73" s="2647"/>
      <c r="AE73" s="2644"/>
      <c r="AF73" s="2644"/>
      <c r="AG73" s="2644"/>
      <c r="AH73" s="2644"/>
      <c r="AI73" s="2644"/>
      <c r="AJ73" s="2644"/>
      <c r="AK73" s="2669">
        <v>42767</v>
      </c>
      <c r="AL73" s="2669">
        <v>43038</v>
      </c>
      <c r="AM73" s="2885"/>
    </row>
    <row r="74" spans="1:39" s="3" customFormat="1" ht="102.75" customHeight="1" x14ac:dyDescent="0.2">
      <c r="A74" s="2661"/>
      <c r="B74" s="2662"/>
      <c r="C74" s="2663"/>
      <c r="D74" s="2679"/>
      <c r="E74" s="2653"/>
      <c r="F74" s="2654"/>
      <c r="G74" s="2661"/>
      <c r="H74" s="2662"/>
      <c r="I74" s="2663"/>
      <c r="J74" s="2656"/>
      <c r="K74" s="2651"/>
      <c r="L74" s="2651"/>
      <c r="M74" s="2678"/>
      <c r="N74" s="2651"/>
      <c r="O74" s="2657"/>
      <c r="P74" s="2650"/>
      <c r="Q74" s="400">
        <f>+V74/R71*100</f>
        <v>4.7652173913043478</v>
      </c>
      <c r="R74" s="2644"/>
      <c r="S74" s="2650"/>
      <c r="T74" s="2651"/>
      <c r="U74" s="2691"/>
      <c r="V74" s="311">
        <v>13700000</v>
      </c>
      <c r="W74" s="380">
        <v>20</v>
      </c>
      <c r="X74" s="370" t="s">
        <v>185</v>
      </c>
      <c r="Y74" s="2647"/>
      <c r="Z74" s="2647"/>
      <c r="AA74" s="2647"/>
      <c r="AB74" s="2644"/>
      <c r="AC74" s="2647"/>
      <c r="AD74" s="2647"/>
      <c r="AE74" s="2644"/>
      <c r="AF74" s="2644"/>
      <c r="AG74" s="2644"/>
      <c r="AH74" s="2644"/>
      <c r="AI74" s="2644"/>
      <c r="AJ74" s="2644"/>
      <c r="AK74" s="2670"/>
      <c r="AL74" s="2670"/>
      <c r="AM74" s="2885"/>
    </row>
    <row r="75" spans="1:39" s="3" customFormat="1" ht="127.5" customHeight="1" x14ac:dyDescent="0.2">
      <c r="A75" s="2664"/>
      <c r="B75" s="2665"/>
      <c r="C75" s="2666"/>
      <c r="D75" s="2639"/>
      <c r="E75" s="2640"/>
      <c r="F75" s="2641"/>
      <c r="G75" s="2664"/>
      <c r="H75" s="2665"/>
      <c r="I75" s="2666"/>
      <c r="J75" s="370">
        <v>96</v>
      </c>
      <c r="K75" s="381" t="s">
        <v>1693</v>
      </c>
      <c r="L75" s="381" t="s">
        <v>1554</v>
      </c>
      <c r="M75" s="421">
        <v>3</v>
      </c>
      <c r="N75" s="9"/>
      <c r="O75" s="2656"/>
      <c r="P75" s="2651"/>
      <c r="Q75" s="400">
        <f>+V75/R71*100</f>
        <v>5.6695652173913045</v>
      </c>
      <c r="R75" s="2645"/>
      <c r="S75" s="2651"/>
      <c r="T75" s="381" t="s">
        <v>1694</v>
      </c>
      <c r="U75" s="381" t="s">
        <v>1695</v>
      </c>
      <c r="V75" s="311">
        <v>16300000</v>
      </c>
      <c r="W75" s="380">
        <v>20</v>
      </c>
      <c r="X75" s="370" t="s">
        <v>185</v>
      </c>
      <c r="Y75" s="2648"/>
      <c r="Z75" s="2648"/>
      <c r="AA75" s="2648"/>
      <c r="AB75" s="2645"/>
      <c r="AC75" s="2648"/>
      <c r="AD75" s="2648"/>
      <c r="AE75" s="2645"/>
      <c r="AF75" s="2645"/>
      <c r="AG75" s="2645"/>
      <c r="AH75" s="2645"/>
      <c r="AI75" s="2645"/>
      <c r="AJ75" s="2645"/>
      <c r="AK75" s="394">
        <v>42843</v>
      </c>
      <c r="AL75" s="394">
        <v>42844</v>
      </c>
      <c r="AM75" s="2886"/>
    </row>
    <row r="76" spans="1:39" s="3" customFormat="1" ht="12.75" x14ac:dyDescent="0.2">
      <c r="A76" s="1719"/>
      <c r="B76" s="1720"/>
      <c r="C76" s="1721"/>
      <c r="D76" s="1719"/>
      <c r="E76" s="1721"/>
      <c r="F76" s="1721"/>
      <c r="G76" s="300">
        <v>22</v>
      </c>
      <c r="H76" s="2689" t="s">
        <v>1696</v>
      </c>
      <c r="I76" s="2689"/>
      <c r="J76" s="2652"/>
      <c r="K76" s="2652"/>
      <c r="L76" s="2652"/>
      <c r="M76" s="290"/>
      <c r="N76" s="426"/>
      <c r="O76" s="13"/>
      <c r="P76" s="426"/>
      <c r="Q76" s="13"/>
      <c r="R76" s="13"/>
      <c r="S76" s="426"/>
      <c r="T76" s="426"/>
      <c r="U76" s="426"/>
      <c r="V76" s="251">
        <f>V78</f>
        <v>113000000</v>
      </c>
      <c r="W76" s="13"/>
      <c r="X76" s="13"/>
      <c r="Y76" s="13"/>
      <c r="Z76" s="13"/>
      <c r="AA76" s="13"/>
      <c r="AB76" s="13"/>
      <c r="AC76" s="13"/>
      <c r="AD76" s="13"/>
      <c r="AE76" s="13"/>
      <c r="AF76" s="13"/>
      <c r="AG76" s="13"/>
      <c r="AH76" s="13"/>
      <c r="AI76" s="13"/>
      <c r="AJ76" s="13"/>
      <c r="AK76" s="310"/>
      <c r="AL76" s="310"/>
      <c r="AM76" s="1745"/>
    </row>
    <row r="77" spans="1:39" s="3" customFormat="1" ht="51" customHeight="1" x14ac:dyDescent="0.2">
      <c r="A77" s="1741"/>
      <c r="B77" s="302"/>
      <c r="C77" s="1742"/>
      <c r="D77" s="1741"/>
      <c r="E77" s="1742"/>
      <c r="F77" s="302"/>
      <c r="G77" s="1743"/>
      <c r="H77" s="301"/>
      <c r="I77" s="1744"/>
      <c r="J77" s="2675">
        <v>97</v>
      </c>
      <c r="K77" s="2676" t="s">
        <v>1697</v>
      </c>
      <c r="L77" s="2675" t="s">
        <v>1554</v>
      </c>
      <c r="M77" s="2907">
        <v>26</v>
      </c>
      <c r="N77" s="2675" t="s">
        <v>1698</v>
      </c>
      <c r="O77" s="2714">
        <v>93</v>
      </c>
      <c r="P77" s="2676" t="s">
        <v>1699</v>
      </c>
      <c r="Q77" s="2908">
        <v>100</v>
      </c>
      <c r="R77" s="2902">
        <v>113300000</v>
      </c>
      <c r="S77" s="2676" t="s">
        <v>1700</v>
      </c>
      <c r="T77" s="2676" t="s">
        <v>1701</v>
      </c>
      <c r="U77" s="366" t="s">
        <v>1953</v>
      </c>
      <c r="V77" s="336">
        <f>113000000-113000000</f>
        <v>0</v>
      </c>
      <c r="W77" s="2908">
        <v>35</v>
      </c>
      <c r="X77" s="2675" t="s">
        <v>1560</v>
      </c>
      <c r="Y77" s="2868">
        <v>2732</v>
      </c>
      <c r="Z77" s="2868">
        <v>17360</v>
      </c>
      <c r="AA77" s="2868">
        <v>21116</v>
      </c>
      <c r="AB77" s="2902"/>
      <c r="AC77" s="2868">
        <v>4451</v>
      </c>
      <c r="AD77" s="2868">
        <v>56</v>
      </c>
      <c r="AE77" s="2902"/>
      <c r="AF77" s="2902"/>
      <c r="AG77" s="2902"/>
      <c r="AH77" s="2902"/>
      <c r="AI77" s="2902"/>
      <c r="AJ77" s="2902"/>
      <c r="AK77" s="2903">
        <v>42767</v>
      </c>
      <c r="AL77" s="2903">
        <v>43038</v>
      </c>
      <c r="AM77" s="2904" t="s">
        <v>1561</v>
      </c>
    </row>
    <row r="78" spans="1:39" s="3" customFormat="1" ht="76.5" x14ac:dyDescent="0.2">
      <c r="A78" s="1723"/>
      <c r="B78" s="1723"/>
      <c r="C78" s="1724"/>
      <c r="D78" s="1722"/>
      <c r="E78" s="1724"/>
      <c r="F78" s="1723"/>
      <c r="G78" s="1722"/>
      <c r="H78" s="1723"/>
      <c r="I78" s="1724"/>
      <c r="J78" s="2675"/>
      <c r="K78" s="2676"/>
      <c r="L78" s="2675"/>
      <c r="M78" s="2907"/>
      <c r="N78" s="2675"/>
      <c r="O78" s="2715"/>
      <c r="P78" s="2676"/>
      <c r="Q78" s="2908"/>
      <c r="R78" s="2902"/>
      <c r="S78" s="2676"/>
      <c r="T78" s="2676"/>
      <c r="U78" s="1728" t="s">
        <v>1950</v>
      </c>
      <c r="V78" s="2643">
        <v>113000000</v>
      </c>
      <c r="W78" s="2908"/>
      <c r="X78" s="2675"/>
      <c r="Y78" s="2868"/>
      <c r="Z78" s="2868"/>
      <c r="AA78" s="2868"/>
      <c r="AB78" s="2902"/>
      <c r="AC78" s="2868"/>
      <c r="AD78" s="2868"/>
      <c r="AE78" s="2902"/>
      <c r="AF78" s="2902"/>
      <c r="AG78" s="2902"/>
      <c r="AH78" s="2902"/>
      <c r="AI78" s="2902"/>
      <c r="AJ78" s="2902"/>
      <c r="AK78" s="2903"/>
      <c r="AL78" s="2903"/>
      <c r="AM78" s="2905"/>
    </row>
    <row r="79" spans="1:39" s="3" customFormat="1" ht="38.25" x14ac:dyDescent="0.2">
      <c r="A79" s="1723"/>
      <c r="B79" s="1723"/>
      <c r="C79" s="1724"/>
      <c r="D79" s="1722"/>
      <c r="E79" s="1724"/>
      <c r="F79" s="1723"/>
      <c r="G79" s="1722"/>
      <c r="H79" s="1723"/>
      <c r="I79" s="1724"/>
      <c r="J79" s="2675"/>
      <c r="K79" s="2676"/>
      <c r="L79" s="2675"/>
      <c r="M79" s="2907"/>
      <c r="N79" s="2675"/>
      <c r="O79" s="2715"/>
      <c r="P79" s="2676"/>
      <c r="Q79" s="2908"/>
      <c r="R79" s="2902"/>
      <c r="S79" s="2676"/>
      <c r="T79" s="2676"/>
      <c r="U79" s="1728" t="s">
        <v>1951</v>
      </c>
      <c r="V79" s="2644"/>
      <c r="W79" s="2908"/>
      <c r="X79" s="2675"/>
      <c r="Y79" s="2868"/>
      <c r="Z79" s="2868"/>
      <c r="AA79" s="2868"/>
      <c r="AB79" s="2902"/>
      <c r="AC79" s="2868"/>
      <c r="AD79" s="2868"/>
      <c r="AE79" s="2902"/>
      <c r="AF79" s="2902"/>
      <c r="AG79" s="2902"/>
      <c r="AH79" s="2902"/>
      <c r="AI79" s="2902"/>
      <c r="AJ79" s="2902"/>
      <c r="AK79" s="2903"/>
      <c r="AL79" s="2903"/>
      <c r="AM79" s="2905"/>
    </row>
    <row r="80" spans="1:39" s="3" customFormat="1" ht="63.75" x14ac:dyDescent="0.2">
      <c r="A80" s="1726"/>
      <c r="B80" s="1726"/>
      <c r="C80" s="1727"/>
      <c r="D80" s="1725"/>
      <c r="E80" s="1727"/>
      <c r="F80" s="1723"/>
      <c r="G80" s="1725"/>
      <c r="H80" s="1726"/>
      <c r="I80" s="1727"/>
      <c r="J80" s="2675"/>
      <c r="K80" s="2676"/>
      <c r="L80" s="2675"/>
      <c r="M80" s="2907"/>
      <c r="N80" s="2675"/>
      <c r="O80" s="2716"/>
      <c r="P80" s="2676"/>
      <c r="Q80" s="2908"/>
      <c r="R80" s="2902"/>
      <c r="S80" s="2676"/>
      <c r="T80" s="2676"/>
      <c r="U80" s="1728" t="s">
        <v>1952</v>
      </c>
      <c r="V80" s="2645"/>
      <c r="W80" s="2908"/>
      <c r="X80" s="2675"/>
      <c r="Y80" s="2868"/>
      <c r="Z80" s="2868"/>
      <c r="AA80" s="2868"/>
      <c r="AB80" s="2902"/>
      <c r="AC80" s="2868"/>
      <c r="AD80" s="2868"/>
      <c r="AE80" s="2902"/>
      <c r="AF80" s="2902"/>
      <c r="AG80" s="2902"/>
      <c r="AH80" s="2902"/>
      <c r="AI80" s="2902"/>
      <c r="AJ80" s="2902"/>
      <c r="AK80" s="2903"/>
      <c r="AL80" s="2903"/>
      <c r="AM80" s="2906"/>
    </row>
    <row r="81" spans="1:39" s="3" customFormat="1" ht="12.75" x14ac:dyDescent="0.2">
      <c r="A81" s="2695"/>
      <c r="B81" s="2695"/>
      <c r="C81" s="2696"/>
      <c r="D81" s="1740">
        <v>7</v>
      </c>
      <c r="E81" s="2699" t="s">
        <v>1702</v>
      </c>
      <c r="F81" s="2700"/>
      <c r="G81" s="2700"/>
      <c r="H81" s="2700"/>
      <c r="I81" s="2700"/>
      <c r="J81" s="2635"/>
      <c r="K81" s="2635"/>
      <c r="L81" s="2635"/>
      <c r="M81" s="2635"/>
      <c r="N81" s="11"/>
      <c r="O81" s="12"/>
      <c r="P81" s="11"/>
      <c r="Q81" s="314"/>
      <c r="R81" s="249"/>
      <c r="S81" s="11"/>
      <c r="T81" s="11"/>
      <c r="U81" s="11"/>
      <c r="V81" s="250"/>
      <c r="W81" s="17"/>
      <c r="X81" s="12"/>
      <c r="Y81" s="10"/>
      <c r="Z81" s="10"/>
      <c r="AA81" s="10"/>
      <c r="AB81" s="10"/>
      <c r="AC81" s="10"/>
      <c r="AD81" s="10"/>
      <c r="AE81" s="10"/>
      <c r="AF81" s="10"/>
      <c r="AG81" s="10"/>
      <c r="AH81" s="10"/>
      <c r="AI81" s="10"/>
      <c r="AJ81" s="10"/>
      <c r="AK81" s="315"/>
      <c r="AL81" s="315"/>
      <c r="AM81" s="18"/>
    </row>
    <row r="82" spans="1:39" s="3" customFormat="1" ht="12.75" x14ac:dyDescent="0.2">
      <c r="A82" s="2695"/>
      <c r="B82" s="2695"/>
      <c r="C82" s="2696"/>
      <c r="D82" s="2701"/>
      <c r="E82" s="2702"/>
      <c r="F82" s="2703"/>
      <c r="G82" s="317">
        <v>23</v>
      </c>
      <c r="H82" s="2652" t="s">
        <v>1703</v>
      </c>
      <c r="I82" s="2652"/>
      <c r="J82" s="2652"/>
      <c r="K82" s="2652"/>
      <c r="L82" s="426"/>
      <c r="M82" s="290"/>
      <c r="N82" s="426"/>
      <c r="O82" s="13"/>
      <c r="P82" s="426"/>
      <c r="Q82" s="13"/>
      <c r="R82" s="13"/>
      <c r="S82" s="426"/>
      <c r="T82" s="426"/>
      <c r="U82" s="426"/>
      <c r="V82" s="251">
        <f>SUM(V83:V89)</f>
        <v>103000000</v>
      </c>
      <c r="W82" s="13"/>
      <c r="X82" s="13"/>
      <c r="Y82" s="13"/>
      <c r="Z82" s="13"/>
      <c r="AA82" s="13"/>
      <c r="AB82" s="13"/>
      <c r="AC82" s="13"/>
      <c r="AD82" s="13"/>
      <c r="AE82" s="13"/>
      <c r="AF82" s="13"/>
      <c r="AG82" s="13"/>
      <c r="AH82" s="13"/>
      <c r="AI82" s="13"/>
      <c r="AJ82" s="13"/>
      <c r="AK82" s="310"/>
      <c r="AL82" s="310"/>
      <c r="AM82" s="14"/>
    </row>
    <row r="83" spans="1:39" s="3" customFormat="1" ht="63.75" customHeight="1" x14ac:dyDescent="0.2">
      <c r="A83" s="2695"/>
      <c r="B83" s="2695"/>
      <c r="C83" s="2696"/>
      <c r="D83" s="2704"/>
      <c r="E83" s="2705"/>
      <c r="F83" s="2706"/>
      <c r="G83" s="2680"/>
      <c r="H83" s="2681"/>
      <c r="I83" s="2682"/>
      <c r="J83" s="370">
        <v>98</v>
      </c>
      <c r="K83" s="381" t="s">
        <v>1704</v>
      </c>
      <c r="L83" s="381" t="s">
        <v>1554</v>
      </c>
      <c r="M83" s="421">
        <v>55</v>
      </c>
      <c r="N83" s="2649" t="s">
        <v>1705</v>
      </c>
      <c r="O83" s="2655">
        <v>94</v>
      </c>
      <c r="P83" s="2649" t="s">
        <v>1706</v>
      </c>
      <c r="Q83" s="24">
        <f>+V83/R83*100</f>
        <v>20</v>
      </c>
      <c r="R83" s="2643">
        <f>SUM(V83:V89)</f>
        <v>103000000</v>
      </c>
      <c r="S83" s="2649" t="s">
        <v>1707</v>
      </c>
      <c r="T83" s="381" t="s">
        <v>1708</v>
      </c>
      <c r="U83" s="328" t="s">
        <v>1709</v>
      </c>
      <c r="V83" s="311">
        <v>20600000</v>
      </c>
      <c r="W83" s="380">
        <v>35</v>
      </c>
      <c r="X83" s="370" t="s">
        <v>1560</v>
      </c>
      <c r="Y83" s="2646">
        <v>2732</v>
      </c>
      <c r="Z83" s="2646">
        <v>17360</v>
      </c>
      <c r="AA83" s="2646">
        <v>21116</v>
      </c>
      <c r="AB83" s="2643"/>
      <c r="AC83" s="2646">
        <v>4451</v>
      </c>
      <c r="AD83" s="2646">
        <v>56</v>
      </c>
      <c r="AE83" s="2643"/>
      <c r="AF83" s="2643"/>
      <c r="AG83" s="2643"/>
      <c r="AH83" s="2643"/>
      <c r="AI83" s="2643"/>
      <c r="AJ83" s="2643"/>
      <c r="AK83" s="394">
        <v>42767</v>
      </c>
      <c r="AL83" s="394">
        <v>42769</v>
      </c>
      <c r="AM83" s="2762" t="s">
        <v>1561</v>
      </c>
    </row>
    <row r="84" spans="1:39" s="3" customFormat="1" ht="84" customHeight="1" x14ac:dyDescent="0.2">
      <c r="A84" s="2695"/>
      <c r="B84" s="2695"/>
      <c r="C84" s="2696"/>
      <c r="D84" s="2704"/>
      <c r="E84" s="2705"/>
      <c r="F84" s="2706"/>
      <c r="G84" s="2683"/>
      <c r="H84" s="2684"/>
      <c r="I84" s="2685"/>
      <c r="J84" s="370">
        <v>99</v>
      </c>
      <c r="K84" s="381" t="s">
        <v>1710</v>
      </c>
      <c r="L84" s="381" t="s">
        <v>1554</v>
      </c>
      <c r="M84" s="421">
        <v>150</v>
      </c>
      <c r="N84" s="2650"/>
      <c r="O84" s="2657"/>
      <c r="P84" s="2650"/>
      <c r="Q84" s="24">
        <f>+V84/R83*100</f>
        <v>40</v>
      </c>
      <c r="R84" s="2644"/>
      <c r="S84" s="2650"/>
      <c r="T84" s="381" t="s">
        <v>1711</v>
      </c>
      <c r="U84" s="328" t="s">
        <v>1712</v>
      </c>
      <c r="V84" s="311">
        <v>41200000</v>
      </c>
      <c r="W84" s="380">
        <v>35</v>
      </c>
      <c r="X84" s="370" t="s">
        <v>1560</v>
      </c>
      <c r="Y84" s="2647"/>
      <c r="Z84" s="2647"/>
      <c r="AA84" s="2647"/>
      <c r="AB84" s="2644"/>
      <c r="AC84" s="2647"/>
      <c r="AD84" s="2647"/>
      <c r="AE84" s="2644"/>
      <c r="AF84" s="2644"/>
      <c r="AG84" s="2644"/>
      <c r="AH84" s="2644"/>
      <c r="AI84" s="2644"/>
      <c r="AJ84" s="2644"/>
      <c r="AK84" s="394">
        <v>42767</v>
      </c>
      <c r="AL84" s="394">
        <v>42769</v>
      </c>
      <c r="AM84" s="2736"/>
    </row>
    <row r="85" spans="1:39" s="3" customFormat="1" ht="76.5" x14ac:dyDescent="0.2">
      <c r="A85" s="2695"/>
      <c r="B85" s="2695"/>
      <c r="C85" s="2696"/>
      <c r="D85" s="2704"/>
      <c r="E85" s="2705"/>
      <c r="F85" s="2706"/>
      <c r="G85" s="2683"/>
      <c r="H85" s="2684"/>
      <c r="I85" s="2685"/>
      <c r="J85" s="370">
        <v>100</v>
      </c>
      <c r="K85" s="381" t="s">
        <v>1713</v>
      </c>
      <c r="L85" s="381" t="s">
        <v>1554</v>
      </c>
      <c r="M85" s="421">
        <v>6</v>
      </c>
      <c r="N85" s="2650"/>
      <c r="O85" s="2657"/>
      <c r="P85" s="2650"/>
      <c r="Q85" s="24">
        <f>+V85/R83*100</f>
        <v>0</v>
      </c>
      <c r="R85" s="2644"/>
      <c r="S85" s="2650"/>
      <c r="T85" s="381" t="s">
        <v>1713</v>
      </c>
      <c r="U85" s="328" t="s">
        <v>1712</v>
      </c>
      <c r="V85" s="311">
        <v>0</v>
      </c>
      <c r="W85" s="380"/>
      <c r="X85" s="370"/>
      <c r="Y85" s="2647"/>
      <c r="Z85" s="2647"/>
      <c r="AA85" s="2647"/>
      <c r="AB85" s="2644"/>
      <c r="AC85" s="2647"/>
      <c r="AD85" s="2647"/>
      <c r="AE85" s="2644"/>
      <c r="AF85" s="2644"/>
      <c r="AG85" s="2644"/>
      <c r="AH85" s="2644"/>
      <c r="AI85" s="2644"/>
      <c r="AJ85" s="2644"/>
      <c r="AK85" s="394">
        <v>42767</v>
      </c>
      <c r="AL85" s="394">
        <v>42769</v>
      </c>
      <c r="AM85" s="2736"/>
    </row>
    <row r="86" spans="1:39" s="3" customFormat="1" ht="84.75" customHeight="1" x14ac:dyDescent="0.2">
      <c r="A86" s="2695"/>
      <c r="B86" s="2695"/>
      <c r="C86" s="2696"/>
      <c r="D86" s="2704"/>
      <c r="E86" s="2705"/>
      <c r="F86" s="2706"/>
      <c r="G86" s="2683"/>
      <c r="H86" s="2684"/>
      <c r="I86" s="2685"/>
      <c r="J86" s="370">
        <v>101</v>
      </c>
      <c r="K86" s="381" t="s">
        <v>1714</v>
      </c>
      <c r="L86" s="381" t="s">
        <v>1554</v>
      </c>
      <c r="M86" s="421">
        <v>54</v>
      </c>
      <c r="N86" s="2650"/>
      <c r="O86" s="2657"/>
      <c r="P86" s="2650"/>
      <c r="Q86" s="24">
        <f>+V86/R83*100</f>
        <v>35</v>
      </c>
      <c r="R86" s="2644"/>
      <c r="S86" s="2650"/>
      <c r="T86" s="381" t="s">
        <v>1715</v>
      </c>
      <c r="U86" s="381" t="s">
        <v>1716</v>
      </c>
      <c r="V86" s="311">
        <v>36050000</v>
      </c>
      <c r="W86" s="380">
        <v>35</v>
      </c>
      <c r="X86" s="370" t="s">
        <v>1560</v>
      </c>
      <c r="Y86" s="2647"/>
      <c r="Z86" s="2647"/>
      <c r="AA86" s="2647"/>
      <c r="AB86" s="2644"/>
      <c r="AC86" s="2647"/>
      <c r="AD86" s="2647"/>
      <c r="AE86" s="2644"/>
      <c r="AF86" s="2644"/>
      <c r="AG86" s="2644"/>
      <c r="AH86" s="2644"/>
      <c r="AI86" s="2644"/>
      <c r="AJ86" s="2644"/>
      <c r="AK86" s="394">
        <v>42790</v>
      </c>
      <c r="AL86" s="394">
        <v>42826</v>
      </c>
      <c r="AM86" s="2736"/>
    </row>
    <row r="87" spans="1:39" s="3" customFormat="1" ht="76.5" x14ac:dyDescent="0.2">
      <c r="A87" s="2695"/>
      <c r="B87" s="2695"/>
      <c r="C87" s="2696"/>
      <c r="D87" s="2704"/>
      <c r="E87" s="2705"/>
      <c r="F87" s="2706"/>
      <c r="G87" s="2683"/>
      <c r="H87" s="2684"/>
      <c r="I87" s="2685"/>
      <c r="J87" s="2675">
        <v>102</v>
      </c>
      <c r="K87" s="2676" t="s">
        <v>1717</v>
      </c>
      <c r="L87" s="2649" t="s">
        <v>1554</v>
      </c>
      <c r="M87" s="2692">
        <v>4</v>
      </c>
      <c r="N87" s="2650"/>
      <c r="O87" s="2657"/>
      <c r="P87" s="2650"/>
      <c r="Q87" s="2710">
        <f>+V87/R83*100</f>
        <v>5</v>
      </c>
      <c r="R87" s="2644"/>
      <c r="S87" s="2650"/>
      <c r="T87" s="2649" t="s">
        <v>1718</v>
      </c>
      <c r="U87" s="381" t="s">
        <v>1719</v>
      </c>
      <c r="V87" s="2643">
        <v>5150000</v>
      </c>
      <c r="W87" s="2673">
        <v>35</v>
      </c>
      <c r="X87" s="2643" t="s">
        <v>1560</v>
      </c>
      <c r="Y87" s="2647"/>
      <c r="Z87" s="2647"/>
      <c r="AA87" s="2647"/>
      <c r="AB87" s="2644"/>
      <c r="AC87" s="2647"/>
      <c r="AD87" s="2647"/>
      <c r="AE87" s="2644"/>
      <c r="AF87" s="2644"/>
      <c r="AG87" s="2644"/>
      <c r="AH87" s="2644"/>
      <c r="AI87" s="2644"/>
      <c r="AJ87" s="2644"/>
      <c r="AK87" s="394">
        <v>42878</v>
      </c>
      <c r="AL87" s="394">
        <v>42878</v>
      </c>
      <c r="AM87" s="2736"/>
    </row>
    <row r="88" spans="1:39" s="3" customFormat="1" ht="79.5" customHeight="1" x14ac:dyDescent="0.2">
      <c r="A88" s="2695"/>
      <c r="B88" s="2695"/>
      <c r="C88" s="2696"/>
      <c r="D88" s="2704"/>
      <c r="E88" s="2705"/>
      <c r="F88" s="2706"/>
      <c r="G88" s="2683"/>
      <c r="H88" s="2684"/>
      <c r="I88" s="2685"/>
      <c r="J88" s="2675"/>
      <c r="K88" s="2676"/>
      <c r="L88" s="2650"/>
      <c r="M88" s="2693"/>
      <c r="N88" s="2650"/>
      <c r="O88" s="2657"/>
      <c r="P88" s="2650"/>
      <c r="Q88" s="2711"/>
      <c r="R88" s="2644"/>
      <c r="S88" s="2650"/>
      <c r="T88" s="2650"/>
      <c r="U88" s="381" t="s">
        <v>1720</v>
      </c>
      <c r="V88" s="2644"/>
      <c r="W88" s="2713"/>
      <c r="X88" s="2644"/>
      <c r="Y88" s="2647"/>
      <c r="Z88" s="2647"/>
      <c r="AA88" s="2647"/>
      <c r="AB88" s="2644"/>
      <c r="AC88" s="2647"/>
      <c r="AD88" s="2647"/>
      <c r="AE88" s="2644"/>
      <c r="AF88" s="2644"/>
      <c r="AG88" s="2644"/>
      <c r="AH88" s="2644"/>
      <c r="AI88" s="2644"/>
      <c r="AJ88" s="2644"/>
      <c r="AK88" s="394">
        <v>42880</v>
      </c>
      <c r="AL88" s="394">
        <v>42880</v>
      </c>
      <c r="AM88" s="2736"/>
    </row>
    <row r="89" spans="1:39" s="3" customFormat="1" ht="80.25" customHeight="1" x14ac:dyDescent="0.2">
      <c r="A89" s="2697"/>
      <c r="B89" s="2697"/>
      <c r="C89" s="2698"/>
      <c r="D89" s="2707"/>
      <c r="E89" s="2708"/>
      <c r="F89" s="2709"/>
      <c r="G89" s="2686"/>
      <c r="H89" s="2687"/>
      <c r="I89" s="2688"/>
      <c r="J89" s="2675"/>
      <c r="K89" s="2676"/>
      <c r="L89" s="2651"/>
      <c r="M89" s="2694"/>
      <c r="N89" s="2651"/>
      <c r="O89" s="2656"/>
      <c r="P89" s="2651"/>
      <c r="Q89" s="2712"/>
      <c r="R89" s="2645"/>
      <c r="S89" s="2651"/>
      <c r="T89" s="2651"/>
      <c r="U89" s="381" t="s">
        <v>1721</v>
      </c>
      <c r="V89" s="2645"/>
      <c r="W89" s="2674"/>
      <c r="X89" s="2645"/>
      <c r="Y89" s="2648"/>
      <c r="Z89" s="2648"/>
      <c r="AA89" s="2648"/>
      <c r="AB89" s="2645"/>
      <c r="AC89" s="2648"/>
      <c r="AD89" s="2648"/>
      <c r="AE89" s="2645"/>
      <c r="AF89" s="2645"/>
      <c r="AG89" s="2645"/>
      <c r="AH89" s="2645"/>
      <c r="AI89" s="2645"/>
      <c r="AJ89" s="2645"/>
      <c r="AK89" s="394">
        <v>43032</v>
      </c>
      <c r="AL89" s="394">
        <v>43032</v>
      </c>
      <c r="AM89" s="2763"/>
    </row>
    <row r="90" spans="1:39" s="3" customFormat="1" ht="12.75" x14ac:dyDescent="0.2">
      <c r="A90" s="329"/>
      <c r="B90" s="416"/>
      <c r="C90" s="416"/>
      <c r="D90" s="2636"/>
      <c r="E90" s="2637"/>
      <c r="F90" s="2638"/>
      <c r="G90" s="317">
        <v>24</v>
      </c>
      <c r="H90" s="2642" t="s">
        <v>1722</v>
      </c>
      <c r="I90" s="2642"/>
      <c r="J90" s="2642"/>
      <c r="K90" s="2642"/>
      <c r="L90" s="2642"/>
      <c r="M90" s="290"/>
      <c r="N90" s="426"/>
      <c r="O90" s="410"/>
      <c r="P90" s="426"/>
      <c r="Q90" s="291"/>
      <c r="R90" s="292"/>
      <c r="S90" s="426"/>
      <c r="T90" s="426"/>
      <c r="U90" s="426"/>
      <c r="V90" s="292">
        <f>SUM(V91:V97)</f>
        <v>193000000</v>
      </c>
      <c r="W90" s="293"/>
      <c r="X90" s="410"/>
      <c r="Y90" s="410"/>
      <c r="Z90" s="410"/>
      <c r="AA90" s="410"/>
      <c r="AB90" s="410"/>
      <c r="AC90" s="410"/>
      <c r="AD90" s="410"/>
      <c r="AE90" s="410"/>
      <c r="AF90" s="410"/>
      <c r="AG90" s="410"/>
      <c r="AH90" s="410"/>
      <c r="AI90" s="410"/>
      <c r="AJ90" s="410"/>
      <c r="AK90" s="330"/>
      <c r="AL90" s="330"/>
      <c r="AM90" s="14"/>
    </row>
    <row r="91" spans="1:39" s="3" customFormat="1" ht="75" customHeight="1" x14ac:dyDescent="0.2">
      <c r="A91" s="423"/>
      <c r="B91" s="423"/>
      <c r="C91" s="423"/>
      <c r="D91" s="2679"/>
      <c r="E91" s="2653"/>
      <c r="F91" s="2654"/>
      <c r="G91" s="2680"/>
      <c r="H91" s="2681"/>
      <c r="I91" s="2682"/>
      <c r="J91" s="370">
        <v>103</v>
      </c>
      <c r="K91" s="381" t="s">
        <v>1723</v>
      </c>
      <c r="L91" s="381" t="s">
        <v>1554</v>
      </c>
      <c r="M91" s="421">
        <v>7.5</v>
      </c>
      <c r="N91" s="2649" t="s">
        <v>1724</v>
      </c>
      <c r="O91" s="2655">
        <v>95</v>
      </c>
      <c r="P91" s="2649" t="s">
        <v>1725</v>
      </c>
      <c r="Q91" s="400">
        <f>+V91/R91*100</f>
        <v>11.088082901554404</v>
      </c>
      <c r="R91" s="2643">
        <f>SUM(V91:V97)</f>
        <v>193000000</v>
      </c>
      <c r="S91" s="2649" t="s">
        <v>1726</v>
      </c>
      <c r="T91" s="2649" t="s">
        <v>1727</v>
      </c>
      <c r="U91" s="381" t="s">
        <v>1728</v>
      </c>
      <c r="V91" s="311">
        <v>21400000</v>
      </c>
      <c r="W91" s="380">
        <v>35</v>
      </c>
      <c r="X91" s="370" t="s">
        <v>1560</v>
      </c>
      <c r="Y91" s="2646">
        <v>2732</v>
      </c>
      <c r="Z91" s="2646">
        <v>17360</v>
      </c>
      <c r="AA91" s="2646">
        <v>21116</v>
      </c>
      <c r="AB91" s="2646"/>
      <c r="AC91" s="2646">
        <v>4451</v>
      </c>
      <c r="AD91" s="2646">
        <v>56</v>
      </c>
      <c r="AE91" s="2643"/>
      <c r="AF91" s="2643"/>
      <c r="AG91" s="2643"/>
      <c r="AH91" s="2643"/>
      <c r="AI91" s="2643"/>
      <c r="AJ91" s="2643"/>
      <c r="AK91" s="394">
        <v>42794</v>
      </c>
      <c r="AL91" s="394">
        <v>43038</v>
      </c>
      <c r="AM91" s="2762" t="s">
        <v>1561</v>
      </c>
    </row>
    <row r="92" spans="1:39" s="3" customFormat="1" ht="72.75" customHeight="1" x14ac:dyDescent="0.2">
      <c r="A92" s="423"/>
      <c r="B92" s="423"/>
      <c r="C92" s="423"/>
      <c r="D92" s="2679"/>
      <c r="E92" s="2653"/>
      <c r="F92" s="2654"/>
      <c r="G92" s="2683"/>
      <c r="H92" s="2684"/>
      <c r="I92" s="2685"/>
      <c r="J92" s="370">
        <v>104</v>
      </c>
      <c r="K92" s="381" t="s">
        <v>1729</v>
      </c>
      <c r="L92" s="381" t="s">
        <v>1554</v>
      </c>
      <c r="M92" s="421">
        <v>27</v>
      </c>
      <c r="N92" s="2650"/>
      <c r="O92" s="2657"/>
      <c r="P92" s="2650"/>
      <c r="Q92" s="400">
        <f>+V92/R91*100</f>
        <v>16.632124352331605</v>
      </c>
      <c r="R92" s="2644"/>
      <c r="S92" s="2650"/>
      <c r="T92" s="2650"/>
      <c r="U92" s="381" t="s">
        <v>1730</v>
      </c>
      <c r="V92" s="311">
        <v>32100000</v>
      </c>
      <c r="W92" s="380">
        <v>35</v>
      </c>
      <c r="X92" s="370" t="s">
        <v>1560</v>
      </c>
      <c r="Y92" s="2647"/>
      <c r="Z92" s="2647"/>
      <c r="AA92" s="2647"/>
      <c r="AB92" s="2647"/>
      <c r="AC92" s="2647"/>
      <c r="AD92" s="2647"/>
      <c r="AE92" s="2644"/>
      <c r="AF92" s="2644"/>
      <c r="AG92" s="2644"/>
      <c r="AH92" s="2644"/>
      <c r="AI92" s="2644"/>
      <c r="AJ92" s="2644"/>
      <c r="AK92" s="394">
        <v>42767</v>
      </c>
      <c r="AL92" s="394">
        <v>43069</v>
      </c>
      <c r="AM92" s="2736"/>
    </row>
    <row r="93" spans="1:39" s="3" customFormat="1" ht="60" customHeight="1" x14ac:dyDescent="0.2">
      <c r="A93" s="401"/>
      <c r="B93" s="401"/>
      <c r="C93" s="401"/>
      <c r="D93" s="2679"/>
      <c r="E93" s="2653"/>
      <c r="F93" s="2654"/>
      <c r="G93" s="2683"/>
      <c r="H93" s="2684"/>
      <c r="I93" s="2685"/>
      <c r="J93" s="2655">
        <v>105</v>
      </c>
      <c r="K93" s="2649" t="s">
        <v>1731</v>
      </c>
      <c r="L93" s="2649" t="s">
        <v>1554</v>
      </c>
      <c r="M93" s="2677">
        <v>47</v>
      </c>
      <c r="N93" s="2650"/>
      <c r="O93" s="2657"/>
      <c r="P93" s="2650"/>
      <c r="Q93" s="2671">
        <f>+V93/R91*100</f>
        <v>16.632124352331605</v>
      </c>
      <c r="R93" s="2644"/>
      <c r="S93" s="2650"/>
      <c r="T93" s="2650"/>
      <c r="U93" s="2649" t="s">
        <v>1732</v>
      </c>
      <c r="V93" s="2643">
        <v>32100000</v>
      </c>
      <c r="W93" s="2673">
        <v>20</v>
      </c>
      <c r="X93" s="2655" t="s">
        <v>185</v>
      </c>
      <c r="Y93" s="2647"/>
      <c r="Z93" s="2647"/>
      <c r="AA93" s="2647"/>
      <c r="AB93" s="2647"/>
      <c r="AC93" s="2647"/>
      <c r="AD93" s="2647"/>
      <c r="AE93" s="2644"/>
      <c r="AF93" s="2644"/>
      <c r="AG93" s="2644"/>
      <c r="AH93" s="2644"/>
      <c r="AI93" s="2644"/>
      <c r="AJ93" s="2644"/>
      <c r="AK93" s="2669">
        <v>42775</v>
      </c>
      <c r="AL93" s="2669">
        <v>42775</v>
      </c>
      <c r="AM93" s="2736"/>
    </row>
    <row r="94" spans="1:39" s="3" customFormat="1" ht="12.75" x14ac:dyDescent="0.2">
      <c r="A94" s="401"/>
      <c r="B94" s="401"/>
      <c r="C94" s="401"/>
      <c r="D94" s="2679"/>
      <c r="E94" s="2653"/>
      <c r="F94" s="2654"/>
      <c r="G94" s="2683"/>
      <c r="H94" s="2684"/>
      <c r="I94" s="2685"/>
      <c r="J94" s="2656"/>
      <c r="K94" s="2651"/>
      <c r="L94" s="2651"/>
      <c r="M94" s="2678"/>
      <c r="N94" s="2650"/>
      <c r="O94" s="2657"/>
      <c r="P94" s="2650"/>
      <c r="Q94" s="2672"/>
      <c r="R94" s="2644"/>
      <c r="S94" s="2650"/>
      <c r="T94" s="2650"/>
      <c r="U94" s="2651"/>
      <c r="V94" s="2645"/>
      <c r="W94" s="2674"/>
      <c r="X94" s="2656"/>
      <c r="Y94" s="2647"/>
      <c r="Z94" s="2647"/>
      <c r="AA94" s="2647"/>
      <c r="AB94" s="2647"/>
      <c r="AC94" s="2647"/>
      <c r="AD94" s="2647"/>
      <c r="AE94" s="2644"/>
      <c r="AF94" s="2644"/>
      <c r="AG94" s="2644"/>
      <c r="AH94" s="2644"/>
      <c r="AI94" s="2644"/>
      <c r="AJ94" s="2644"/>
      <c r="AK94" s="2670"/>
      <c r="AL94" s="2670"/>
      <c r="AM94" s="2736"/>
    </row>
    <row r="95" spans="1:39" s="3" customFormat="1" ht="58.5" customHeight="1" x14ac:dyDescent="0.2">
      <c r="A95" s="401"/>
      <c r="B95" s="401"/>
      <c r="C95" s="401"/>
      <c r="D95" s="2679"/>
      <c r="E95" s="2653"/>
      <c r="F95" s="2654"/>
      <c r="G95" s="2683"/>
      <c r="H95" s="2684"/>
      <c r="I95" s="2685"/>
      <c r="J95" s="370">
        <v>106</v>
      </c>
      <c r="K95" s="381" t="s">
        <v>1733</v>
      </c>
      <c r="L95" s="381" t="s">
        <v>1554</v>
      </c>
      <c r="M95" s="421">
        <v>1</v>
      </c>
      <c r="N95" s="2650"/>
      <c r="O95" s="2657"/>
      <c r="P95" s="2650"/>
      <c r="Q95" s="400">
        <f>+V95/R91*100</f>
        <v>27.7720207253886</v>
      </c>
      <c r="R95" s="2644"/>
      <c r="S95" s="2650"/>
      <c r="T95" s="2650"/>
      <c r="U95" s="381" t="s">
        <v>1734</v>
      </c>
      <c r="V95" s="295">
        <v>53600000</v>
      </c>
      <c r="W95" s="380">
        <v>20</v>
      </c>
      <c r="X95" s="370" t="s">
        <v>185</v>
      </c>
      <c r="Y95" s="2647"/>
      <c r="Z95" s="2647"/>
      <c r="AA95" s="2647"/>
      <c r="AB95" s="2647"/>
      <c r="AC95" s="2647"/>
      <c r="AD95" s="2647"/>
      <c r="AE95" s="2644"/>
      <c r="AF95" s="2644"/>
      <c r="AG95" s="2644"/>
      <c r="AH95" s="2644"/>
      <c r="AI95" s="2644"/>
      <c r="AJ95" s="2644"/>
      <c r="AK95" s="394">
        <v>42767</v>
      </c>
      <c r="AL95" s="394">
        <v>42795</v>
      </c>
      <c r="AM95" s="2736"/>
    </row>
    <row r="96" spans="1:39" s="3" customFormat="1" ht="54" customHeight="1" x14ac:dyDescent="0.2">
      <c r="A96" s="409"/>
      <c r="B96" s="409"/>
      <c r="C96" s="409"/>
      <c r="D96" s="2639"/>
      <c r="E96" s="2640"/>
      <c r="F96" s="2641"/>
      <c r="G96" s="2683"/>
      <c r="H96" s="2684"/>
      <c r="I96" s="2685"/>
      <c r="J96" s="2655">
        <v>107</v>
      </c>
      <c r="K96" s="2649" t="s">
        <v>1735</v>
      </c>
      <c r="L96" s="2649" t="s">
        <v>1554</v>
      </c>
      <c r="M96" s="2667">
        <v>1</v>
      </c>
      <c r="N96" s="2650"/>
      <c r="O96" s="2657"/>
      <c r="P96" s="2650"/>
      <c r="Q96" s="400">
        <f>+V96/R91*100</f>
        <v>25.647668393782386</v>
      </c>
      <c r="R96" s="2644"/>
      <c r="S96" s="2650"/>
      <c r="T96" s="2650"/>
      <c r="U96" s="2649" t="s">
        <v>1736</v>
      </c>
      <c r="V96" s="311">
        <v>49500000</v>
      </c>
      <c r="W96" s="380">
        <v>35</v>
      </c>
      <c r="X96" s="370" t="s">
        <v>1560</v>
      </c>
      <c r="Y96" s="2647"/>
      <c r="Z96" s="2647"/>
      <c r="AA96" s="2647"/>
      <c r="AB96" s="2647"/>
      <c r="AC96" s="2647"/>
      <c r="AD96" s="2647"/>
      <c r="AE96" s="2644"/>
      <c r="AF96" s="2644"/>
      <c r="AG96" s="2644"/>
      <c r="AH96" s="2644"/>
      <c r="AI96" s="2644"/>
      <c r="AJ96" s="2644"/>
      <c r="AK96" s="394">
        <v>42767</v>
      </c>
      <c r="AL96" s="394">
        <v>42916</v>
      </c>
      <c r="AM96" s="2736"/>
    </row>
    <row r="97" spans="1:39" s="3" customFormat="1" ht="59.25" customHeight="1" x14ac:dyDescent="0.2">
      <c r="A97" s="401"/>
      <c r="B97" s="401"/>
      <c r="C97" s="401"/>
      <c r="D97" s="417"/>
      <c r="E97" s="417"/>
      <c r="F97" s="418"/>
      <c r="G97" s="2686"/>
      <c r="H97" s="2687"/>
      <c r="I97" s="2688"/>
      <c r="J97" s="2656"/>
      <c r="K97" s="2651"/>
      <c r="L97" s="2651"/>
      <c r="M97" s="2668"/>
      <c r="N97" s="2651"/>
      <c r="O97" s="2656"/>
      <c r="P97" s="2651"/>
      <c r="Q97" s="400">
        <f>+V97/R91*100</f>
        <v>2.2279792746113989</v>
      </c>
      <c r="R97" s="2645"/>
      <c r="S97" s="2651"/>
      <c r="T97" s="2651"/>
      <c r="U97" s="2651"/>
      <c r="V97" s="311">
        <v>4300000</v>
      </c>
      <c r="W97" s="380">
        <v>20</v>
      </c>
      <c r="X97" s="370" t="s">
        <v>185</v>
      </c>
      <c r="Y97" s="2648"/>
      <c r="Z97" s="2648"/>
      <c r="AA97" s="2648"/>
      <c r="AB97" s="2648"/>
      <c r="AC97" s="2648"/>
      <c r="AD97" s="2648"/>
      <c r="AE97" s="2645"/>
      <c r="AF97" s="2645"/>
      <c r="AG97" s="2645"/>
      <c r="AH97" s="2645"/>
      <c r="AI97" s="2645"/>
      <c r="AJ97" s="2645"/>
      <c r="AK97" s="394">
        <v>42767</v>
      </c>
      <c r="AL97" s="394">
        <v>42916</v>
      </c>
      <c r="AM97" s="2763"/>
    </row>
    <row r="98" spans="1:39" s="3" customFormat="1" ht="12.75" x14ac:dyDescent="0.2">
      <c r="A98" s="427"/>
      <c r="B98" s="427"/>
      <c r="C98" s="331"/>
      <c r="D98" s="332">
        <v>8</v>
      </c>
      <c r="E98" s="2634" t="s">
        <v>1737</v>
      </c>
      <c r="F98" s="2635"/>
      <c r="G98" s="2635"/>
      <c r="H98" s="2635"/>
      <c r="I98" s="2635"/>
      <c r="J98" s="2635"/>
      <c r="K98" s="2635"/>
      <c r="L98" s="11"/>
      <c r="M98" s="283"/>
      <c r="N98" s="11"/>
      <c r="O98" s="12"/>
      <c r="P98" s="11"/>
      <c r="Q98" s="314"/>
      <c r="R98" s="249"/>
      <c r="S98" s="11"/>
      <c r="T98" s="11"/>
      <c r="U98" s="11"/>
      <c r="V98" s="250"/>
      <c r="W98" s="17"/>
      <c r="X98" s="12"/>
      <c r="Y98" s="10"/>
      <c r="Z98" s="10"/>
      <c r="AA98" s="10"/>
      <c r="AB98" s="10"/>
      <c r="AC98" s="10"/>
      <c r="AD98" s="10"/>
      <c r="AE98" s="10"/>
      <c r="AF98" s="10"/>
      <c r="AG98" s="10"/>
      <c r="AH98" s="10"/>
      <c r="AI98" s="10"/>
      <c r="AJ98" s="10"/>
      <c r="AK98" s="315"/>
      <c r="AL98" s="315"/>
      <c r="AM98" s="18"/>
    </row>
    <row r="99" spans="1:39" s="3" customFormat="1" ht="12.75" x14ac:dyDescent="0.2">
      <c r="A99" s="414"/>
      <c r="B99" s="414"/>
      <c r="C99" s="333"/>
      <c r="D99" s="2637"/>
      <c r="E99" s="2637"/>
      <c r="F99" s="2638"/>
      <c r="G99" s="317">
        <v>25</v>
      </c>
      <c r="H99" s="2652" t="s">
        <v>1738</v>
      </c>
      <c r="I99" s="2652"/>
      <c r="J99" s="2652"/>
      <c r="K99" s="2652"/>
      <c r="L99" s="426"/>
      <c r="M99" s="290"/>
      <c r="N99" s="426"/>
      <c r="O99" s="13"/>
      <c r="P99" s="426"/>
      <c r="Q99" s="13"/>
      <c r="R99" s="13"/>
      <c r="S99" s="426"/>
      <c r="T99" s="426"/>
      <c r="U99" s="426"/>
      <c r="V99" s="251">
        <f>SUM(V100:V101)</f>
        <v>80000000</v>
      </c>
      <c r="W99" s="13"/>
      <c r="X99" s="13"/>
      <c r="Y99" s="13"/>
      <c r="Z99" s="13"/>
      <c r="AA99" s="13"/>
      <c r="AB99" s="13"/>
      <c r="AC99" s="13"/>
      <c r="AD99" s="13"/>
      <c r="AE99" s="13"/>
      <c r="AF99" s="13"/>
      <c r="AG99" s="13"/>
      <c r="AH99" s="13"/>
      <c r="AI99" s="13"/>
      <c r="AJ99" s="13"/>
      <c r="AK99" s="310"/>
      <c r="AL99" s="310"/>
      <c r="AM99" s="14"/>
    </row>
    <row r="100" spans="1:39" s="3" customFormat="1" ht="89.25" customHeight="1" x14ac:dyDescent="0.2">
      <c r="A100" s="414"/>
      <c r="B100" s="414"/>
      <c r="C100" s="333"/>
      <c r="D100" s="2653"/>
      <c r="E100" s="2653"/>
      <c r="F100" s="2654"/>
      <c r="G100" s="422"/>
      <c r="H100" s="423"/>
      <c r="I100" s="423"/>
      <c r="J100" s="370">
        <v>108</v>
      </c>
      <c r="K100" s="381" t="s">
        <v>1739</v>
      </c>
      <c r="L100" s="381" t="s">
        <v>1554</v>
      </c>
      <c r="M100" s="334">
        <v>4</v>
      </c>
      <c r="N100" s="2649" t="s">
        <v>1740</v>
      </c>
      <c r="O100" s="2655">
        <v>96</v>
      </c>
      <c r="P100" s="2649" t="s">
        <v>1741</v>
      </c>
      <c r="Q100" s="400">
        <f>+V100/R100*100</f>
        <v>12.5</v>
      </c>
      <c r="R100" s="2643">
        <f>SUM(V100:V101)</f>
        <v>80000000</v>
      </c>
      <c r="S100" s="2649" t="s">
        <v>1742</v>
      </c>
      <c r="T100" s="381" t="s">
        <v>1743</v>
      </c>
      <c r="U100" s="381" t="s">
        <v>1744</v>
      </c>
      <c r="V100" s="311">
        <v>10000000</v>
      </c>
      <c r="W100" s="380">
        <v>20</v>
      </c>
      <c r="X100" s="370" t="s">
        <v>185</v>
      </c>
      <c r="Y100" s="2646">
        <v>2732</v>
      </c>
      <c r="Z100" s="2646">
        <v>17360</v>
      </c>
      <c r="AA100" s="2646">
        <v>21116</v>
      </c>
      <c r="AB100" s="2643"/>
      <c r="AC100" s="2646">
        <v>4451</v>
      </c>
      <c r="AD100" s="2646">
        <v>56</v>
      </c>
      <c r="AE100" s="2643"/>
      <c r="AF100" s="2643"/>
      <c r="AG100" s="2643"/>
      <c r="AH100" s="2643"/>
      <c r="AI100" s="2643"/>
      <c r="AJ100" s="2643"/>
      <c r="AK100" s="394">
        <v>43066</v>
      </c>
      <c r="AL100" s="394">
        <v>43069</v>
      </c>
      <c r="AM100" s="328" t="s">
        <v>1561</v>
      </c>
    </row>
    <row r="101" spans="1:39" s="3" customFormat="1" ht="102" customHeight="1" x14ac:dyDescent="0.2">
      <c r="A101" s="414"/>
      <c r="B101" s="414"/>
      <c r="C101" s="333"/>
      <c r="D101" s="2653"/>
      <c r="E101" s="2653"/>
      <c r="F101" s="2654"/>
      <c r="G101" s="424"/>
      <c r="H101" s="425"/>
      <c r="I101" s="425"/>
      <c r="J101" s="370">
        <v>109</v>
      </c>
      <c r="K101" s="381" t="s">
        <v>1745</v>
      </c>
      <c r="L101" s="381" t="s">
        <v>1554</v>
      </c>
      <c r="M101" s="334">
        <v>52</v>
      </c>
      <c r="N101" s="2651"/>
      <c r="O101" s="2656"/>
      <c r="P101" s="2651"/>
      <c r="Q101" s="400">
        <f>+V101/R100*100</f>
        <v>87.5</v>
      </c>
      <c r="R101" s="2645"/>
      <c r="S101" s="2651"/>
      <c r="T101" s="381" t="s">
        <v>1746</v>
      </c>
      <c r="U101" s="378" t="s">
        <v>1747</v>
      </c>
      <c r="V101" s="311">
        <v>70000000</v>
      </c>
      <c r="W101" s="380">
        <v>20</v>
      </c>
      <c r="X101" s="370" t="s">
        <v>185</v>
      </c>
      <c r="Y101" s="2648"/>
      <c r="Z101" s="2648"/>
      <c r="AA101" s="2648"/>
      <c r="AB101" s="2645"/>
      <c r="AC101" s="2648"/>
      <c r="AD101" s="2648"/>
      <c r="AE101" s="2645"/>
      <c r="AF101" s="2645"/>
      <c r="AG101" s="2645"/>
      <c r="AH101" s="2645"/>
      <c r="AI101" s="2645"/>
      <c r="AJ101" s="2645"/>
      <c r="AK101" s="394">
        <v>42767</v>
      </c>
      <c r="AL101" s="394">
        <v>42774</v>
      </c>
      <c r="AM101" s="328"/>
    </row>
    <row r="102" spans="1:39" s="3" customFormat="1" ht="12.75" x14ac:dyDescent="0.2">
      <c r="A102" s="414"/>
      <c r="B102" s="414"/>
      <c r="C102" s="333"/>
      <c r="D102" s="2653"/>
      <c r="E102" s="2653"/>
      <c r="F102" s="2654"/>
      <c r="G102" s="317">
        <v>26</v>
      </c>
      <c r="H102" s="2652" t="s">
        <v>1748</v>
      </c>
      <c r="I102" s="2652"/>
      <c r="J102" s="2652"/>
      <c r="K102" s="2652"/>
      <c r="L102" s="426"/>
      <c r="M102" s="290"/>
      <c r="N102" s="426"/>
      <c r="O102" s="13"/>
      <c r="P102" s="426"/>
      <c r="Q102" s="13"/>
      <c r="R102" s="13"/>
      <c r="S102" s="426"/>
      <c r="T102" s="426"/>
      <c r="U102" s="426"/>
      <c r="V102" s="251">
        <f>+V103</f>
        <v>1200000000</v>
      </c>
      <c r="W102" s="13"/>
      <c r="X102" s="13"/>
      <c r="Y102" s="13"/>
      <c r="Z102" s="13"/>
      <c r="AA102" s="13"/>
      <c r="AB102" s="13"/>
      <c r="AC102" s="13"/>
      <c r="AD102" s="13"/>
      <c r="AE102" s="13"/>
      <c r="AF102" s="13"/>
      <c r="AG102" s="13"/>
      <c r="AH102" s="13"/>
      <c r="AI102" s="13"/>
      <c r="AJ102" s="13"/>
      <c r="AK102" s="310"/>
      <c r="AL102" s="310"/>
      <c r="AM102" s="14"/>
    </row>
    <row r="103" spans="1:39" s="3" customFormat="1" ht="119.25" customHeight="1" x14ac:dyDescent="0.2">
      <c r="A103" s="414" t="s">
        <v>150</v>
      </c>
      <c r="B103" s="414"/>
      <c r="C103" s="333"/>
      <c r="D103" s="2653"/>
      <c r="E103" s="2653"/>
      <c r="F103" s="2654"/>
      <c r="G103" s="424"/>
      <c r="H103" s="425"/>
      <c r="I103" s="425"/>
      <c r="J103" s="370">
        <v>110</v>
      </c>
      <c r="K103" s="381" t="s">
        <v>1749</v>
      </c>
      <c r="L103" s="381" t="s">
        <v>1554</v>
      </c>
      <c r="M103" s="334">
        <v>200</v>
      </c>
      <c r="N103" s="381" t="s">
        <v>1750</v>
      </c>
      <c r="O103" s="335">
        <v>97</v>
      </c>
      <c r="P103" s="9" t="s">
        <v>1751</v>
      </c>
      <c r="Q103" s="400">
        <f>+V103/R103*100</f>
        <v>100</v>
      </c>
      <c r="R103" s="336">
        <f>SUM(V103)</f>
        <v>1200000000</v>
      </c>
      <c r="S103" s="381" t="s">
        <v>1752</v>
      </c>
      <c r="T103" s="381" t="s">
        <v>1753</v>
      </c>
      <c r="U103" s="381" t="s">
        <v>1754</v>
      </c>
      <c r="V103" s="311">
        <v>1200000000</v>
      </c>
      <c r="W103" s="380">
        <v>25</v>
      </c>
      <c r="X103" s="370" t="s">
        <v>1755</v>
      </c>
      <c r="Y103" s="306">
        <v>2732</v>
      </c>
      <c r="Z103" s="306">
        <v>17360</v>
      </c>
      <c r="AA103" s="306">
        <v>21116</v>
      </c>
      <c r="AB103" s="311"/>
      <c r="AC103" s="306">
        <v>4451</v>
      </c>
      <c r="AD103" s="306">
        <v>56</v>
      </c>
      <c r="AE103" s="311"/>
      <c r="AF103" s="311"/>
      <c r="AG103" s="311"/>
      <c r="AH103" s="311"/>
      <c r="AI103" s="311"/>
      <c r="AJ103" s="311"/>
      <c r="AK103" s="394">
        <v>42772</v>
      </c>
      <c r="AL103" s="394">
        <v>43069</v>
      </c>
      <c r="AM103" s="328" t="s">
        <v>1561</v>
      </c>
    </row>
    <row r="104" spans="1:39" s="3" customFormat="1" ht="12.75" x14ac:dyDescent="0.2">
      <c r="A104" s="414"/>
      <c r="B104" s="414"/>
      <c r="C104" s="333"/>
      <c r="D104" s="2653"/>
      <c r="E104" s="2653"/>
      <c r="F104" s="2654"/>
      <c r="G104" s="317">
        <v>27</v>
      </c>
      <c r="H104" s="2652" t="s">
        <v>1756</v>
      </c>
      <c r="I104" s="2652"/>
      <c r="J104" s="2652"/>
      <c r="K104" s="2652"/>
      <c r="L104" s="426"/>
      <c r="M104" s="290"/>
      <c r="N104" s="426"/>
      <c r="O104" s="13"/>
      <c r="P104" s="426"/>
      <c r="Q104" s="13"/>
      <c r="R104" s="13"/>
      <c r="S104" s="426"/>
      <c r="T104" s="426"/>
      <c r="U104" s="426"/>
      <c r="V104" s="251">
        <f>+V105</f>
        <v>17987346928</v>
      </c>
      <c r="W104" s="13"/>
      <c r="X104" s="13"/>
      <c r="Y104" s="13"/>
      <c r="Z104" s="13"/>
      <c r="AA104" s="13"/>
      <c r="AB104" s="13"/>
      <c r="AC104" s="13"/>
      <c r="AD104" s="13"/>
      <c r="AE104" s="13"/>
      <c r="AF104" s="13"/>
      <c r="AG104" s="13"/>
      <c r="AH104" s="13"/>
      <c r="AI104" s="13"/>
      <c r="AJ104" s="13"/>
      <c r="AK104" s="310"/>
      <c r="AL104" s="310"/>
      <c r="AM104" s="14"/>
    </row>
    <row r="105" spans="1:39" s="3" customFormat="1" ht="159" customHeight="1" x14ac:dyDescent="0.2">
      <c r="A105" s="414"/>
      <c r="B105" s="414"/>
      <c r="C105" s="333"/>
      <c r="D105" s="2653"/>
      <c r="E105" s="2653"/>
      <c r="F105" s="2654"/>
      <c r="G105" s="424"/>
      <c r="H105" s="425"/>
      <c r="I105" s="425"/>
      <c r="J105" s="370">
        <v>111</v>
      </c>
      <c r="K105" s="381" t="s">
        <v>1757</v>
      </c>
      <c r="L105" s="381" t="s">
        <v>1758</v>
      </c>
      <c r="M105" s="379">
        <v>1</v>
      </c>
      <c r="N105" s="381" t="s">
        <v>1759</v>
      </c>
      <c r="O105" s="370">
        <v>98</v>
      </c>
      <c r="P105" s="381" t="s">
        <v>1760</v>
      </c>
      <c r="Q105" s="400">
        <f>+V105/R105*100</f>
        <v>100</v>
      </c>
      <c r="R105" s="311">
        <f>SUM(V105)</f>
        <v>17987346928</v>
      </c>
      <c r="S105" s="381" t="s">
        <v>1761</v>
      </c>
      <c r="T105" s="381" t="s">
        <v>1762</v>
      </c>
      <c r="U105" s="381" t="s">
        <v>1763</v>
      </c>
      <c r="V105" s="295">
        <f>3085946928+13636400000+1265000000</f>
        <v>17987346928</v>
      </c>
      <c r="W105" s="380">
        <v>25</v>
      </c>
      <c r="X105" s="370" t="s">
        <v>1755</v>
      </c>
      <c r="Y105" s="306">
        <v>2732</v>
      </c>
      <c r="Z105" s="306">
        <v>17360</v>
      </c>
      <c r="AA105" s="306">
        <v>21116</v>
      </c>
      <c r="AB105" s="311"/>
      <c r="AC105" s="306">
        <v>4451</v>
      </c>
      <c r="AD105" s="306">
        <v>56</v>
      </c>
      <c r="AE105" s="311"/>
      <c r="AF105" s="311"/>
      <c r="AG105" s="311"/>
      <c r="AH105" s="311"/>
      <c r="AI105" s="311"/>
      <c r="AJ105" s="311"/>
      <c r="AK105" s="394">
        <v>42736</v>
      </c>
      <c r="AL105" s="394">
        <v>43100</v>
      </c>
      <c r="AM105" s="328" t="s">
        <v>1561</v>
      </c>
    </row>
    <row r="106" spans="1:39" s="3" customFormat="1" ht="12.75" x14ac:dyDescent="0.2">
      <c r="A106" s="414"/>
      <c r="B106" s="414"/>
      <c r="C106" s="333"/>
      <c r="D106" s="2653"/>
      <c r="E106" s="2653"/>
      <c r="F106" s="2654"/>
      <c r="G106" s="317">
        <v>28</v>
      </c>
      <c r="H106" s="2652" t="s">
        <v>1764</v>
      </c>
      <c r="I106" s="2652"/>
      <c r="J106" s="2652"/>
      <c r="K106" s="2652"/>
      <c r="L106" s="426"/>
      <c r="M106" s="290"/>
      <c r="N106" s="426"/>
      <c r="O106" s="386"/>
      <c r="P106" s="426"/>
      <c r="Q106" s="337"/>
      <c r="R106" s="251"/>
      <c r="S106" s="426"/>
      <c r="T106" s="426"/>
      <c r="U106" s="426"/>
      <c r="V106" s="252">
        <f>SUM(V107:V109)</f>
        <v>42600000</v>
      </c>
      <c r="W106" s="15"/>
      <c r="X106" s="386"/>
      <c r="Y106" s="13"/>
      <c r="Z106" s="13"/>
      <c r="AA106" s="13"/>
      <c r="AB106" s="13"/>
      <c r="AC106" s="13"/>
      <c r="AD106" s="13"/>
      <c r="AE106" s="13"/>
      <c r="AF106" s="13"/>
      <c r="AG106" s="13"/>
      <c r="AH106" s="13"/>
      <c r="AI106" s="13"/>
      <c r="AJ106" s="13"/>
      <c r="AK106" s="338"/>
      <c r="AL106" s="338"/>
      <c r="AM106" s="14"/>
    </row>
    <row r="107" spans="1:39" s="3" customFormat="1" ht="76.5" customHeight="1" x14ac:dyDescent="0.2">
      <c r="A107" s="414"/>
      <c r="B107" s="414"/>
      <c r="C107" s="333"/>
      <c r="D107" s="2653"/>
      <c r="E107" s="2653"/>
      <c r="F107" s="2654"/>
      <c r="G107" s="2658"/>
      <c r="H107" s="2659"/>
      <c r="I107" s="2660"/>
      <c r="J107" s="2655">
        <v>112</v>
      </c>
      <c r="K107" s="2649" t="s">
        <v>1765</v>
      </c>
      <c r="L107" s="2649" t="s">
        <v>1554</v>
      </c>
      <c r="M107" s="2667">
        <v>20</v>
      </c>
      <c r="N107" s="2649" t="s">
        <v>1766</v>
      </c>
      <c r="O107" s="2655">
        <v>100</v>
      </c>
      <c r="P107" s="2649" t="s">
        <v>1767</v>
      </c>
      <c r="Q107" s="400">
        <f>+V107/R107*100</f>
        <v>1.6901408450704223</v>
      </c>
      <c r="R107" s="2643">
        <f>SUM(V107:V109)</f>
        <v>42600000</v>
      </c>
      <c r="S107" s="2649" t="s">
        <v>1768</v>
      </c>
      <c r="T107" s="2649" t="s">
        <v>1769</v>
      </c>
      <c r="U107" s="2649" t="s">
        <v>1770</v>
      </c>
      <c r="V107" s="311">
        <v>720000</v>
      </c>
      <c r="W107" s="380">
        <v>35</v>
      </c>
      <c r="X107" s="370" t="s">
        <v>1560</v>
      </c>
      <c r="Y107" s="2646">
        <v>2732</v>
      </c>
      <c r="Z107" s="2646">
        <v>17360</v>
      </c>
      <c r="AA107" s="2646">
        <v>21116</v>
      </c>
      <c r="AB107" s="2643"/>
      <c r="AC107" s="2646">
        <v>4451</v>
      </c>
      <c r="AD107" s="2646">
        <v>56</v>
      </c>
      <c r="AE107" s="2643"/>
      <c r="AF107" s="2643"/>
      <c r="AG107" s="2643"/>
      <c r="AH107" s="2643"/>
      <c r="AI107" s="2643"/>
      <c r="AJ107" s="2643"/>
      <c r="AK107" s="2643" t="s">
        <v>1771</v>
      </c>
      <c r="AL107" s="2643" t="s">
        <v>1771</v>
      </c>
      <c r="AM107" s="2762" t="s">
        <v>1561</v>
      </c>
    </row>
    <row r="108" spans="1:39" s="3" customFormat="1" ht="59.25" customHeight="1" x14ac:dyDescent="0.2">
      <c r="A108" s="414"/>
      <c r="B108" s="414"/>
      <c r="C108" s="333"/>
      <c r="D108" s="2653"/>
      <c r="E108" s="2653"/>
      <c r="F108" s="2654"/>
      <c r="G108" s="2661"/>
      <c r="H108" s="2662"/>
      <c r="I108" s="2663"/>
      <c r="J108" s="2656"/>
      <c r="K108" s="2651"/>
      <c r="L108" s="2651"/>
      <c r="M108" s="2668"/>
      <c r="N108" s="2650"/>
      <c r="O108" s="2657"/>
      <c r="P108" s="2650"/>
      <c r="Q108" s="400">
        <f>+V108/R107*100</f>
        <v>70.422535211267601</v>
      </c>
      <c r="R108" s="2644"/>
      <c r="S108" s="2650"/>
      <c r="T108" s="2650"/>
      <c r="U108" s="2651"/>
      <c r="V108" s="311">
        <v>30000000</v>
      </c>
      <c r="W108" s="380">
        <v>20</v>
      </c>
      <c r="X108" s="370" t="s">
        <v>185</v>
      </c>
      <c r="Y108" s="2647"/>
      <c r="Z108" s="2647"/>
      <c r="AA108" s="2647"/>
      <c r="AB108" s="2644"/>
      <c r="AC108" s="2647"/>
      <c r="AD108" s="2647"/>
      <c r="AE108" s="2644"/>
      <c r="AF108" s="2644"/>
      <c r="AG108" s="2644"/>
      <c r="AH108" s="2644"/>
      <c r="AI108" s="2644"/>
      <c r="AJ108" s="2644"/>
      <c r="AK108" s="2645"/>
      <c r="AL108" s="2645"/>
      <c r="AM108" s="2736"/>
    </row>
    <row r="109" spans="1:39" s="3" customFormat="1" ht="94.5" customHeight="1" x14ac:dyDescent="0.2">
      <c r="A109" s="428"/>
      <c r="B109" s="428"/>
      <c r="C109" s="339"/>
      <c r="D109" s="2640"/>
      <c r="E109" s="2640"/>
      <c r="F109" s="2641"/>
      <c r="G109" s="2664"/>
      <c r="H109" s="2665"/>
      <c r="I109" s="2666"/>
      <c r="J109" s="370">
        <v>113</v>
      </c>
      <c r="K109" s="381" t="s">
        <v>1772</v>
      </c>
      <c r="L109" s="381" t="s">
        <v>1554</v>
      </c>
      <c r="M109" s="305">
        <v>3</v>
      </c>
      <c r="N109" s="2651"/>
      <c r="O109" s="2656"/>
      <c r="P109" s="2651"/>
      <c r="Q109" s="400">
        <f>+V109/R107*100</f>
        <v>27.887323943661972</v>
      </c>
      <c r="R109" s="2645"/>
      <c r="S109" s="2651"/>
      <c r="T109" s="2651"/>
      <c r="U109" s="381" t="s">
        <v>1773</v>
      </c>
      <c r="V109" s="311">
        <v>11880000</v>
      </c>
      <c r="W109" s="380">
        <v>35</v>
      </c>
      <c r="X109" s="370" t="s">
        <v>1560</v>
      </c>
      <c r="Y109" s="2648"/>
      <c r="Z109" s="2648"/>
      <c r="AA109" s="2648"/>
      <c r="AB109" s="2645"/>
      <c r="AC109" s="2648"/>
      <c r="AD109" s="2648"/>
      <c r="AE109" s="2645"/>
      <c r="AF109" s="2645"/>
      <c r="AG109" s="2645"/>
      <c r="AH109" s="2645"/>
      <c r="AI109" s="2645"/>
      <c r="AJ109" s="2645"/>
      <c r="AK109" s="394">
        <v>43035</v>
      </c>
      <c r="AL109" s="394">
        <v>43035</v>
      </c>
      <c r="AM109" s="2763"/>
    </row>
    <row r="110" spans="1:39" s="3" customFormat="1" ht="12.75" x14ac:dyDescent="0.2">
      <c r="A110" s="2631"/>
      <c r="B110" s="2631"/>
      <c r="C110" s="2631"/>
      <c r="D110" s="313">
        <v>16</v>
      </c>
      <c r="E110" s="2634" t="s">
        <v>538</v>
      </c>
      <c r="F110" s="2635"/>
      <c r="G110" s="2635"/>
      <c r="H110" s="2635"/>
      <c r="I110" s="2635"/>
      <c r="J110" s="2635"/>
      <c r="K110" s="2635"/>
      <c r="L110" s="11"/>
      <c r="M110" s="283"/>
      <c r="N110" s="11"/>
      <c r="O110" s="12"/>
      <c r="P110" s="11"/>
      <c r="Q110" s="314"/>
      <c r="R110" s="249"/>
      <c r="S110" s="11"/>
      <c r="T110" s="11"/>
      <c r="U110" s="11"/>
      <c r="V110" s="250"/>
      <c r="W110" s="17"/>
      <c r="X110" s="12"/>
      <c r="Y110" s="10"/>
      <c r="Z110" s="10"/>
      <c r="AA110" s="10"/>
      <c r="AB110" s="10"/>
      <c r="AC110" s="10"/>
      <c r="AD110" s="10"/>
      <c r="AE110" s="10"/>
      <c r="AF110" s="10"/>
      <c r="AG110" s="10"/>
      <c r="AH110" s="10"/>
      <c r="AI110" s="10"/>
      <c r="AJ110" s="10"/>
      <c r="AK110" s="315"/>
      <c r="AL110" s="315"/>
      <c r="AM110" s="18"/>
    </row>
    <row r="111" spans="1:39" s="3" customFormat="1" ht="12.75" x14ac:dyDescent="0.2">
      <c r="A111" s="2632"/>
      <c r="B111" s="2632"/>
      <c r="C111" s="2632"/>
      <c r="D111" s="2636"/>
      <c r="E111" s="2637"/>
      <c r="F111" s="2638"/>
      <c r="G111" s="317">
        <v>57</v>
      </c>
      <c r="H111" s="2642" t="s">
        <v>1774</v>
      </c>
      <c r="I111" s="2642"/>
      <c r="J111" s="2642"/>
      <c r="K111" s="2642"/>
      <c r="L111" s="426"/>
      <c r="M111" s="290"/>
      <c r="N111" s="426"/>
      <c r="O111" s="386"/>
      <c r="P111" s="426"/>
      <c r="Q111" s="337"/>
      <c r="R111" s="251"/>
      <c r="S111" s="426"/>
      <c r="T111" s="426"/>
      <c r="U111" s="426"/>
      <c r="V111" s="252">
        <f>+V112</f>
        <v>40000000</v>
      </c>
      <c r="W111" s="15"/>
      <c r="X111" s="386"/>
      <c r="Y111" s="13"/>
      <c r="Z111" s="13"/>
      <c r="AA111" s="13"/>
      <c r="AB111" s="13"/>
      <c r="AC111" s="13"/>
      <c r="AD111" s="13"/>
      <c r="AE111" s="13"/>
      <c r="AF111" s="13"/>
      <c r="AG111" s="13"/>
      <c r="AH111" s="13"/>
      <c r="AI111" s="13"/>
      <c r="AJ111" s="13"/>
      <c r="AK111" s="338"/>
      <c r="AL111" s="338"/>
      <c r="AM111" s="14"/>
    </row>
    <row r="112" spans="1:39" s="3" customFormat="1" ht="114" customHeight="1" x14ac:dyDescent="0.2">
      <c r="A112" s="2633"/>
      <c r="B112" s="2633"/>
      <c r="C112" s="2633"/>
      <c r="D112" s="2639"/>
      <c r="E112" s="2640"/>
      <c r="F112" s="2641"/>
      <c r="G112" s="424"/>
      <c r="H112" s="425"/>
      <c r="I112" s="425"/>
      <c r="J112" s="370">
        <v>182</v>
      </c>
      <c r="K112" s="381" t="s">
        <v>1775</v>
      </c>
      <c r="L112" s="381" t="s">
        <v>1554</v>
      </c>
      <c r="M112" s="305">
        <v>1</v>
      </c>
      <c r="N112" s="381" t="s">
        <v>1776</v>
      </c>
      <c r="O112" s="370">
        <v>101</v>
      </c>
      <c r="P112" s="381" t="s">
        <v>1777</v>
      </c>
      <c r="Q112" s="400">
        <f>+V112/R112*100</f>
        <v>100</v>
      </c>
      <c r="R112" s="336">
        <f>SUM(V112)</f>
        <v>40000000</v>
      </c>
      <c r="S112" s="381" t="s">
        <v>1778</v>
      </c>
      <c r="T112" s="381" t="s">
        <v>1775</v>
      </c>
      <c r="U112" s="381" t="s">
        <v>1779</v>
      </c>
      <c r="V112" s="311">
        <v>40000000</v>
      </c>
      <c r="W112" s="380">
        <v>20</v>
      </c>
      <c r="X112" s="370" t="s">
        <v>185</v>
      </c>
      <c r="Y112" s="306">
        <v>2732</v>
      </c>
      <c r="Z112" s="306">
        <v>17360</v>
      </c>
      <c r="AA112" s="306">
        <v>21116</v>
      </c>
      <c r="AB112" s="311"/>
      <c r="AC112" s="306">
        <v>4451</v>
      </c>
      <c r="AD112" s="306">
        <v>56</v>
      </c>
      <c r="AE112" s="311"/>
      <c r="AF112" s="311"/>
      <c r="AG112" s="311"/>
      <c r="AH112" s="311"/>
      <c r="AI112" s="311"/>
      <c r="AJ112" s="311"/>
      <c r="AK112" s="394">
        <v>42767</v>
      </c>
      <c r="AL112" s="394">
        <v>42795</v>
      </c>
      <c r="AM112" s="328" t="s">
        <v>1561</v>
      </c>
    </row>
    <row r="113" spans="1:49" s="353" customFormat="1" ht="27" customHeight="1" x14ac:dyDescent="0.2">
      <c r="A113" s="340"/>
      <c r="B113" s="341"/>
      <c r="C113" s="341"/>
      <c r="D113" s="341"/>
      <c r="E113" s="341"/>
      <c r="F113" s="341"/>
      <c r="G113" s="341"/>
      <c r="H113" s="341"/>
      <c r="I113" s="341"/>
      <c r="J113" s="342"/>
      <c r="K113" s="343"/>
      <c r="L113" s="344"/>
      <c r="M113" s="345"/>
      <c r="N113" s="346"/>
      <c r="O113" s="347"/>
      <c r="P113" s="343"/>
      <c r="Q113" s="348" t="s">
        <v>120</v>
      </c>
      <c r="R113" s="1463">
        <f>+R13+R23+R35+R38+R48+R71+R77+R83+R91+R100+R103+R105+R107+R112</f>
        <v>144727667756</v>
      </c>
      <c r="S113" s="1464"/>
      <c r="T113" s="1465"/>
      <c r="U113" s="1466"/>
      <c r="V113" s="1463">
        <f>+V12+V22+V34+V37+V47+V70+V76+V82+V90+V99+V102+V104+V106+V111</f>
        <v>144727367756</v>
      </c>
      <c r="W113" s="349"/>
      <c r="X113" s="350"/>
      <c r="Y113" s="341"/>
      <c r="Z113" s="341"/>
      <c r="AA113" s="341"/>
      <c r="AB113" s="341"/>
      <c r="AC113" s="341"/>
      <c r="AD113" s="341"/>
      <c r="AE113" s="341"/>
      <c r="AF113" s="341"/>
      <c r="AG113" s="341"/>
      <c r="AH113" s="341"/>
      <c r="AI113" s="341"/>
      <c r="AJ113" s="341"/>
      <c r="AK113" s="351"/>
      <c r="AL113" s="342"/>
      <c r="AM113" s="352"/>
    </row>
    <row r="114" spans="1:49" ht="27" customHeight="1" x14ac:dyDescent="0.2">
      <c r="R114" s="356"/>
      <c r="V114" s="357"/>
    </row>
    <row r="115" spans="1:49" ht="12.75" x14ac:dyDescent="0.2">
      <c r="A115" s="1"/>
      <c r="G115" s="387"/>
      <c r="H115" s="1175"/>
      <c r="K115" s="1175"/>
      <c r="L115" s="387"/>
      <c r="M115" s="1176"/>
      <c r="N115" s="1177"/>
      <c r="O115" s="1"/>
      <c r="P115" s="1178"/>
      <c r="Q115" s="1"/>
      <c r="R115" s="1175"/>
      <c r="S115" s="419"/>
      <c r="T115" s="1179"/>
      <c r="U115" s="1179"/>
      <c r="V115" s="1180"/>
      <c r="W115" s="1181"/>
      <c r="X115" s="30"/>
      <c r="AK115" s="1"/>
      <c r="AL115" s="1"/>
      <c r="AM115" s="1175"/>
      <c r="AW115" s="1182"/>
    </row>
    <row r="116" spans="1:49" ht="18" customHeight="1" x14ac:dyDescent="0.2">
      <c r="A116" s="1"/>
      <c r="G116" s="387"/>
      <c r="H116" s="1175"/>
      <c r="K116" s="1175"/>
      <c r="L116" s="387"/>
      <c r="M116" s="1176"/>
      <c r="N116" s="1183" t="s">
        <v>1780</v>
      </c>
      <c r="O116" s="1184"/>
      <c r="P116" s="1185"/>
      <c r="Q116" s="1"/>
      <c r="R116" s="1175"/>
      <c r="S116" s="419"/>
      <c r="T116" s="1179"/>
      <c r="U116" s="1179"/>
      <c r="V116" s="1180"/>
      <c r="W116" s="1181"/>
      <c r="X116" s="30"/>
      <c r="AK116" s="1"/>
      <c r="AL116" s="1"/>
      <c r="AM116" s="1175"/>
      <c r="AW116" s="1182"/>
    </row>
    <row r="117" spans="1:49" ht="12.75" x14ac:dyDescent="0.2">
      <c r="A117" s="1"/>
      <c r="G117" s="387"/>
      <c r="H117" s="1175"/>
      <c r="K117" s="1175"/>
      <c r="L117" s="387"/>
      <c r="M117" s="1176"/>
      <c r="N117" s="1186" t="s">
        <v>1781</v>
      </c>
      <c r="O117" s="1"/>
      <c r="P117" s="1178"/>
      <c r="Q117" s="1"/>
      <c r="R117" s="1175"/>
      <c r="S117" s="1175"/>
      <c r="T117" s="1187"/>
      <c r="U117" s="1187"/>
      <c r="V117" s="1188"/>
      <c r="W117" s="1189"/>
      <c r="X117" s="30"/>
      <c r="AK117" s="1"/>
      <c r="AL117" s="1"/>
      <c r="AM117" s="1175"/>
      <c r="AW117" s="1182"/>
    </row>
    <row r="118" spans="1:49" ht="12.75" x14ac:dyDescent="0.2">
      <c r="A118" s="1"/>
      <c r="G118" s="387"/>
      <c r="H118" s="1175"/>
      <c r="K118" s="1175"/>
      <c r="L118" s="387"/>
      <c r="M118" s="1176"/>
      <c r="N118" s="1177"/>
      <c r="O118" s="1"/>
      <c r="P118" s="1178"/>
      <c r="Q118" s="1"/>
      <c r="R118" s="1175"/>
      <c r="S118" s="1175"/>
      <c r="T118" s="1187"/>
      <c r="U118" s="1187"/>
      <c r="V118" s="1188"/>
      <c r="W118" s="1189"/>
      <c r="X118" s="30"/>
      <c r="AK118" s="1"/>
      <c r="AL118" s="1"/>
      <c r="AM118" s="1175"/>
      <c r="AW118" s="1182"/>
    </row>
    <row r="119" spans="1:49" ht="12.75" x14ac:dyDescent="0.2">
      <c r="A119" s="1"/>
      <c r="G119" s="387"/>
      <c r="H119" s="1175"/>
      <c r="K119" s="1175"/>
      <c r="L119" s="387"/>
      <c r="M119" s="1176"/>
      <c r="N119" s="1177"/>
      <c r="O119" s="1"/>
      <c r="P119" s="1178"/>
      <c r="Q119" s="1"/>
      <c r="R119" s="1175"/>
      <c r="S119" s="1175"/>
      <c r="T119" s="1190"/>
      <c r="U119" s="1187"/>
      <c r="V119" s="1188"/>
      <c r="W119" s="1189"/>
      <c r="X119" s="30"/>
      <c r="AK119" s="1"/>
      <c r="AL119" s="1"/>
      <c r="AM119" s="1175"/>
      <c r="AW119" s="1182"/>
    </row>
  </sheetData>
  <mergeCells count="396">
    <mergeCell ref="AJ77:AJ80"/>
    <mergeCell ref="AK77:AK80"/>
    <mergeCell ref="AL77:AL80"/>
    <mergeCell ref="AM77:AM80"/>
    <mergeCell ref="J77:J80"/>
    <mergeCell ref="K77:K80"/>
    <mergeCell ref="L77:L80"/>
    <mergeCell ref="M77:M80"/>
    <mergeCell ref="N77:N80"/>
    <mergeCell ref="AA77:AA80"/>
    <mergeCell ref="AB77:AB80"/>
    <mergeCell ref="AC77:AC80"/>
    <mergeCell ref="AD77:AD80"/>
    <mergeCell ref="AE77:AE80"/>
    <mergeCell ref="AF77:AF80"/>
    <mergeCell ref="AG77:AG80"/>
    <mergeCell ref="AH77:AH80"/>
    <mergeCell ref="AI77:AI80"/>
    <mergeCell ref="Q77:Q80"/>
    <mergeCell ref="R77:R80"/>
    <mergeCell ref="S77:S80"/>
    <mergeCell ref="T77:T80"/>
    <mergeCell ref="W77:W80"/>
    <mergeCell ref="X77:X80"/>
    <mergeCell ref="Y77:Y80"/>
    <mergeCell ref="Z77:Z80"/>
    <mergeCell ref="A1:AK4"/>
    <mergeCell ref="AK7:AK9"/>
    <mergeCell ref="AL7:AL9"/>
    <mergeCell ref="AM23:AM29"/>
    <mergeCell ref="AM48:AM69"/>
    <mergeCell ref="AM71:AM75"/>
    <mergeCell ref="A5:M6"/>
    <mergeCell ref="N5:X6"/>
    <mergeCell ref="Y5:AJ6"/>
    <mergeCell ref="AK5:AM6"/>
    <mergeCell ref="A7:A9"/>
    <mergeCell ref="B7:C9"/>
    <mergeCell ref="D7:D9"/>
    <mergeCell ref="E7:F9"/>
    <mergeCell ref="G7:G9"/>
    <mergeCell ref="Z8:Z9"/>
    <mergeCell ref="AA8:AA9"/>
    <mergeCell ref="AB8:AB9"/>
    <mergeCell ref="AC8:AC9"/>
    <mergeCell ref="AD8:AD9"/>
    <mergeCell ref="AE8:AE9"/>
    <mergeCell ref="AF8:AF9"/>
    <mergeCell ref="AM83:AM89"/>
    <mergeCell ref="AM91:AM97"/>
    <mergeCell ref="AM107:AM109"/>
    <mergeCell ref="S7:S9"/>
    <mergeCell ref="T7:T9"/>
    <mergeCell ref="H7:I9"/>
    <mergeCell ref="J7:J9"/>
    <mergeCell ref="K7:K9"/>
    <mergeCell ref="L7:L9"/>
    <mergeCell ref="M7:M8"/>
    <mergeCell ref="N7:N9"/>
    <mergeCell ref="U16:U19"/>
    <mergeCell ref="AM7:AM9"/>
    <mergeCell ref="Y7:AD7"/>
    <mergeCell ref="AE7:AJ7"/>
    <mergeCell ref="U7:U9"/>
    <mergeCell ref="V7:V8"/>
    <mergeCell ref="W7:W9"/>
    <mergeCell ref="X7:X9"/>
    <mergeCell ref="O7:O9"/>
    <mergeCell ref="P7:P9"/>
    <mergeCell ref="Q7:Q9"/>
    <mergeCell ref="R7:R9"/>
    <mergeCell ref="Y8:Y9"/>
    <mergeCell ref="AG8:AG9"/>
    <mergeCell ref="AH8:AH9"/>
    <mergeCell ref="AI8:AI9"/>
    <mergeCell ref="AJ8:AJ9"/>
    <mergeCell ref="P13:P21"/>
    <mergeCell ref="Q13:Q15"/>
    <mergeCell ref="R13:R21"/>
    <mergeCell ref="N16:N20"/>
    <mergeCell ref="Q16:Q20"/>
    <mergeCell ref="Y13:Y21"/>
    <mergeCell ref="Z13:Z21"/>
    <mergeCell ref="B13:C13"/>
    <mergeCell ref="E13:F13"/>
    <mergeCell ref="H13:I13"/>
    <mergeCell ref="J13:J15"/>
    <mergeCell ref="K13:K15"/>
    <mergeCell ref="L13:L15"/>
    <mergeCell ref="M13:M15"/>
    <mergeCell ref="S13:S21"/>
    <mergeCell ref="T13:T15"/>
    <mergeCell ref="T16:T20"/>
    <mergeCell ref="AM13:AM21"/>
    <mergeCell ref="J16:J20"/>
    <mergeCell ref="K16:K20"/>
    <mergeCell ref="L16:L20"/>
    <mergeCell ref="M16:M20"/>
    <mergeCell ref="AJ13:AJ21"/>
    <mergeCell ref="AD13:AD21"/>
    <mergeCell ref="AE13:AE21"/>
    <mergeCell ref="AF13:AF21"/>
    <mergeCell ref="AG13:AG21"/>
    <mergeCell ref="N13:N15"/>
    <mergeCell ref="O13:O21"/>
    <mergeCell ref="AL16:AL20"/>
    <mergeCell ref="W19:W20"/>
    <mergeCell ref="X19:X20"/>
    <mergeCell ref="AH13:AH21"/>
    <mergeCell ref="AI13:AI21"/>
    <mergeCell ref="AA13:AA21"/>
    <mergeCell ref="AB13:AB21"/>
    <mergeCell ref="AC13:AC21"/>
    <mergeCell ref="AL13:AL15"/>
    <mergeCell ref="AK13:AK15"/>
    <mergeCell ref="AK16:AK20"/>
    <mergeCell ref="U13:U15"/>
    <mergeCell ref="A22:F22"/>
    <mergeCell ref="H22:M22"/>
    <mergeCell ref="A23:C33"/>
    <mergeCell ref="D23:F33"/>
    <mergeCell ref="G23:G33"/>
    <mergeCell ref="H23:H33"/>
    <mergeCell ref="I23:I33"/>
    <mergeCell ref="J25:J27"/>
    <mergeCell ref="K25:K27"/>
    <mergeCell ref="L25:L27"/>
    <mergeCell ref="J30:J33"/>
    <mergeCell ref="K30:K33"/>
    <mergeCell ref="L30:L33"/>
    <mergeCell ref="M30:M33"/>
    <mergeCell ref="AL30:AL33"/>
    <mergeCell ref="AM30:AM33"/>
    <mergeCell ref="Q31:Q33"/>
    <mergeCell ref="V31:V33"/>
    <mergeCell ref="W31:W33"/>
    <mergeCell ref="X31:X33"/>
    <mergeCell ref="AI23:AI33"/>
    <mergeCell ref="AJ23:AJ33"/>
    <mergeCell ref="AE23:AE33"/>
    <mergeCell ref="AF23:AF33"/>
    <mergeCell ref="AG23:AG33"/>
    <mergeCell ref="Z23:Z33"/>
    <mergeCell ref="AL25:AL27"/>
    <mergeCell ref="A34:F34"/>
    <mergeCell ref="H34:M34"/>
    <mergeCell ref="A35:C35"/>
    <mergeCell ref="D35:F35"/>
    <mergeCell ref="G35:I35"/>
    <mergeCell ref="A36:C36"/>
    <mergeCell ref="E36:K36"/>
    <mergeCell ref="AK30:AK33"/>
    <mergeCell ref="AA23:AA33"/>
    <mergeCell ref="AB23:AB33"/>
    <mergeCell ref="AC23:AC33"/>
    <mergeCell ref="AD23:AD33"/>
    <mergeCell ref="N23:N33"/>
    <mergeCell ref="O23:O33"/>
    <mergeCell ref="P23:P33"/>
    <mergeCell ref="R23:R33"/>
    <mergeCell ref="S23:S33"/>
    <mergeCell ref="Y23:Y33"/>
    <mergeCell ref="T30:T33"/>
    <mergeCell ref="M25:M27"/>
    <mergeCell ref="Q25:Q27"/>
    <mergeCell ref="T25:T27"/>
    <mergeCell ref="V25:V27"/>
    <mergeCell ref="AH23:AH33"/>
    <mergeCell ref="D37:F46"/>
    <mergeCell ref="H37:K37"/>
    <mergeCell ref="O38:O46"/>
    <mergeCell ref="P38:P46"/>
    <mergeCell ref="R38:R46"/>
    <mergeCell ref="S38:S46"/>
    <mergeCell ref="J39:J40"/>
    <mergeCell ref="K39:K40"/>
    <mergeCell ref="L39:L40"/>
    <mergeCell ref="M39:M40"/>
    <mergeCell ref="Q39:Q40"/>
    <mergeCell ref="T39:T40"/>
    <mergeCell ref="U39:U40"/>
    <mergeCell ref="V39:V40"/>
    <mergeCell ref="AH38:AH46"/>
    <mergeCell ref="AI38:AI46"/>
    <mergeCell ref="AJ38:AJ46"/>
    <mergeCell ref="AL39:AL40"/>
    <mergeCell ref="AE38:AE46"/>
    <mergeCell ref="AF38:AF46"/>
    <mergeCell ref="AG38:AG46"/>
    <mergeCell ref="Y38:Y46"/>
    <mergeCell ref="Z38:Z46"/>
    <mergeCell ref="AA38:AA46"/>
    <mergeCell ref="AB38:AB46"/>
    <mergeCell ref="AC38:AC46"/>
    <mergeCell ref="AD38:AD46"/>
    <mergeCell ref="AM39:AM40"/>
    <mergeCell ref="U42:U44"/>
    <mergeCell ref="H47:K47"/>
    <mergeCell ref="A48:C69"/>
    <mergeCell ref="D48:F69"/>
    <mergeCell ref="G48:I69"/>
    <mergeCell ref="J48:J54"/>
    <mergeCell ref="K48:K54"/>
    <mergeCell ref="AK39:AK40"/>
    <mergeCell ref="W39:W40"/>
    <mergeCell ref="X39:X40"/>
    <mergeCell ref="N39:N40"/>
    <mergeCell ref="T48:T54"/>
    <mergeCell ref="AA48:AA69"/>
    <mergeCell ref="AC48:AC69"/>
    <mergeCell ref="AD48:AD69"/>
    <mergeCell ref="AL57:AL58"/>
    <mergeCell ref="J60:J64"/>
    <mergeCell ref="K60:K64"/>
    <mergeCell ref="L60:L64"/>
    <mergeCell ref="M60:M64"/>
    <mergeCell ref="T60:T64"/>
    <mergeCell ref="AK57:AK58"/>
    <mergeCell ref="J57:J58"/>
    <mergeCell ref="K57:K58"/>
    <mergeCell ref="L57:L58"/>
    <mergeCell ref="M57:M58"/>
    <mergeCell ref="Q57:Q58"/>
    <mergeCell ref="R48:R69"/>
    <mergeCell ref="S48:S69"/>
    <mergeCell ref="J66:J67"/>
    <mergeCell ref="K66:K67"/>
    <mergeCell ref="L66:L67"/>
    <mergeCell ref="M66:M67"/>
    <mergeCell ref="Q66:Q67"/>
    <mergeCell ref="T66:T67"/>
    <mergeCell ref="W66:W67"/>
    <mergeCell ref="X66:X67"/>
    <mergeCell ref="Y48:Y69"/>
    <mergeCell ref="Z48:Z69"/>
    <mergeCell ref="T57:T58"/>
    <mergeCell ref="U57:U58"/>
    <mergeCell ref="L48:L54"/>
    <mergeCell ref="M48:M54"/>
    <mergeCell ref="N48:N69"/>
    <mergeCell ref="O48:O69"/>
    <mergeCell ref="P48:P69"/>
    <mergeCell ref="H70:L70"/>
    <mergeCell ref="A71:C75"/>
    <mergeCell ref="D71:F75"/>
    <mergeCell ref="G71:I75"/>
    <mergeCell ref="O71:O75"/>
    <mergeCell ref="P71:P75"/>
    <mergeCell ref="R71:R75"/>
    <mergeCell ref="S71:S75"/>
    <mergeCell ref="M73:M74"/>
    <mergeCell ref="N73:N74"/>
    <mergeCell ref="AF71:AF75"/>
    <mergeCell ref="AG71:AG75"/>
    <mergeCell ref="A81:C89"/>
    <mergeCell ref="E81:M81"/>
    <mergeCell ref="D82:F89"/>
    <mergeCell ref="H82:K82"/>
    <mergeCell ref="G83:I89"/>
    <mergeCell ref="N83:N89"/>
    <mergeCell ref="AB71:AB75"/>
    <mergeCell ref="AC71:AC75"/>
    <mergeCell ref="AD71:AD75"/>
    <mergeCell ref="AE71:AE75"/>
    <mergeCell ref="Y71:Y75"/>
    <mergeCell ref="Z71:Z75"/>
    <mergeCell ref="AA71:AA75"/>
    <mergeCell ref="T87:T89"/>
    <mergeCell ref="V87:V89"/>
    <mergeCell ref="T73:T74"/>
    <mergeCell ref="Y83:Y89"/>
    <mergeCell ref="Q87:Q89"/>
    <mergeCell ref="W87:W89"/>
    <mergeCell ref="O77:O80"/>
    <mergeCell ref="P77:P80"/>
    <mergeCell ref="V78:V80"/>
    <mergeCell ref="AK73:AK74"/>
    <mergeCell ref="AL73:AL74"/>
    <mergeCell ref="AI71:AI75"/>
    <mergeCell ref="AJ71:AJ75"/>
    <mergeCell ref="H76:L76"/>
    <mergeCell ref="AH71:AH75"/>
    <mergeCell ref="U73:U74"/>
    <mergeCell ref="AH83:AH89"/>
    <mergeCell ref="Z83:Z89"/>
    <mergeCell ref="AA83:AA89"/>
    <mergeCell ref="AB83:AB89"/>
    <mergeCell ref="AC83:AC89"/>
    <mergeCell ref="AD83:AD89"/>
    <mergeCell ref="AE83:AE89"/>
    <mergeCell ref="J73:J74"/>
    <mergeCell ref="K73:K74"/>
    <mergeCell ref="L73:L74"/>
    <mergeCell ref="L87:L89"/>
    <mergeCell ref="M87:M89"/>
    <mergeCell ref="AF83:AF89"/>
    <mergeCell ref="O83:O89"/>
    <mergeCell ref="P83:P89"/>
    <mergeCell ref="R83:R89"/>
    <mergeCell ref="S83:S89"/>
    <mergeCell ref="D90:F96"/>
    <mergeCell ref="H90:L90"/>
    <mergeCell ref="G91:I97"/>
    <mergeCell ref="N91:N97"/>
    <mergeCell ref="O91:O97"/>
    <mergeCell ref="P91:P97"/>
    <mergeCell ref="R91:R97"/>
    <mergeCell ref="X87:X89"/>
    <mergeCell ref="AI83:AI89"/>
    <mergeCell ref="AJ83:AJ89"/>
    <mergeCell ref="J87:J89"/>
    <mergeCell ref="K87:K89"/>
    <mergeCell ref="AJ91:AJ97"/>
    <mergeCell ref="AG83:AG89"/>
    <mergeCell ref="AH91:AH97"/>
    <mergeCell ref="AB91:AB97"/>
    <mergeCell ref="AC91:AC97"/>
    <mergeCell ref="AD91:AD97"/>
    <mergeCell ref="AE91:AE97"/>
    <mergeCell ref="S91:S97"/>
    <mergeCell ref="T91:T97"/>
    <mergeCell ref="Y91:Y97"/>
    <mergeCell ref="Z91:Z97"/>
    <mergeCell ref="AA91:AA97"/>
    <mergeCell ref="J93:J94"/>
    <mergeCell ref="K93:K94"/>
    <mergeCell ref="L93:L94"/>
    <mergeCell ref="M93:M94"/>
    <mergeCell ref="AF91:AF97"/>
    <mergeCell ref="AG91:AG97"/>
    <mergeCell ref="AL93:AL94"/>
    <mergeCell ref="J96:J97"/>
    <mergeCell ref="K96:K97"/>
    <mergeCell ref="L96:L97"/>
    <mergeCell ref="M96:M97"/>
    <mergeCell ref="U96:U97"/>
    <mergeCell ref="AK93:AK94"/>
    <mergeCell ref="Q93:Q94"/>
    <mergeCell ref="U93:U94"/>
    <mergeCell ref="V93:V94"/>
    <mergeCell ref="W93:W94"/>
    <mergeCell ref="X93:X94"/>
    <mergeCell ref="AI91:AI97"/>
    <mergeCell ref="R100:R101"/>
    <mergeCell ref="S100:S101"/>
    <mergeCell ref="Y100:Y101"/>
    <mergeCell ref="Z100:Z101"/>
    <mergeCell ref="H102:K102"/>
    <mergeCell ref="H104:K104"/>
    <mergeCell ref="E98:K98"/>
    <mergeCell ref="D99:F109"/>
    <mergeCell ref="H99:K99"/>
    <mergeCell ref="N100:N101"/>
    <mergeCell ref="O100:O101"/>
    <mergeCell ref="P100:P101"/>
    <mergeCell ref="N107:N109"/>
    <mergeCell ref="O107:O109"/>
    <mergeCell ref="P107:P109"/>
    <mergeCell ref="H106:K106"/>
    <mergeCell ref="G107:I109"/>
    <mergeCell ref="J107:J108"/>
    <mergeCell ref="K107:K108"/>
    <mergeCell ref="L107:L108"/>
    <mergeCell ref="M107:M108"/>
    <mergeCell ref="AH100:AH101"/>
    <mergeCell ref="AI100:AI101"/>
    <mergeCell ref="AJ100:AJ101"/>
    <mergeCell ref="AE100:AE101"/>
    <mergeCell ref="AF100:AF101"/>
    <mergeCell ref="AG100:AG101"/>
    <mergeCell ref="AA100:AA101"/>
    <mergeCell ref="AG107:AG109"/>
    <mergeCell ref="AH107:AH109"/>
    <mergeCell ref="AI107:AI109"/>
    <mergeCell ref="AD107:AD109"/>
    <mergeCell ref="AE107:AE109"/>
    <mergeCell ref="AF107:AF109"/>
    <mergeCell ref="AB100:AB101"/>
    <mergeCell ref="AC100:AC101"/>
    <mergeCell ref="AD100:AD101"/>
    <mergeCell ref="A110:C112"/>
    <mergeCell ref="E110:K110"/>
    <mergeCell ref="D111:F112"/>
    <mergeCell ref="H111:K111"/>
    <mergeCell ref="AJ107:AJ109"/>
    <mergeCell ref="AK107:AK108"/>
    <mergeCell ref="AL107:AL108"/>
    <mergeCell ref="Z107:Z109"/>
    <mergeCell ref="AA107:AA109"/>
    <mergeCell ref="AB107:AB109"/>
    <mergeCell ref="AC107:AC109"/>
    <mergeCell ref="R107:R109"/>
    <mergeCell ref="S107:S109"/>
    <mergeCell ref="T107:T109"/>
    <mergeCell ref="U107:U108"/>
    <mergeCell ref="Y107:Y109"/>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104"/>
  <sheetViews>
    <sheetView showGridLines="0" topLeftCell="K1" zoomScale="40" zoomScaleNormal="40" zoomScaleSheetLayoutView="53" workbookViewId="0">
      <selection activeCell="AI1" sqref="AI1:AJ4"/>
    </sheetView>
  </sheetViews>
  <sheetFormatPr baseColWidth="10" defaultRowHeight="14.25" x14ac:dyDescent="0.2"/>
  <cols>
    <col min="1" max="1" width="10.5703125" style="34" customWidth="1"/>
    <col min="2" max="2" width="11" style="34" customWidth="1"/>
    <col min="3" max="3" width="12.140625" style="34" customWidth="1"/>
    <col min="4" max="4" width="11.28515625" style="34" customWidth="1"/>
    <col min="5" max="5" width="11.42578125" style="34" customWidth="1"/>
    <col min="6" max="6" width="13.85546875" style="118" customWidth="1"/>
    <col min="7" max="7" width="20.5703125" style="34" customWidth="1"/>
    <col min="8" max="8" width="30" style="34" customWidth="1"/>
    <col min="9" max="9" width="29.42578125" style="34" customWidth="1"/>
    <col min="10" max="10" width="22.5703125" style="34" customWidth="1"/>
    <col min="11" max="11" width="31.5703125" style="34" customWidth="1"/>
    <col min="12" max="12" width="12" style="34" customWidth="1"/>
    <col min="13" max="13" width="29.42578125" style="34" customWidth="1"/>
    <col min="14" max="14" width="13.85546875" style="34" customWidth="1"/>
    <col min="15" max="15" width="30" style="114" customWidth="1"/>
    <col min="16" max="16" width="35.5703125" style="34" customWidth="1"/>
    <col min="17" max="17" width="46.7109375" style="34" customWidth="1"/>
    <col min="18" max="18" width="35.140625" style="34" customWidth="1"/>
    <col min="19" max="19" width="25.42578125" style="114" customWidth="1"/>
    <col min="20" max="20" width="12.42578125" style="34" customWidth="1"/>
    <col min="21" max="21" width="15.140625" style="34" customWidth="1"/>
    <col min="22" max="22" width="16" style="34" customWidth="1"/>
    <col min="23" max="23" width="14.85546875" style="34" customWidth="1"/>
    <col min="24" max="24" width="12.5703125" style="34" customWidth="1"/>
    <col min="25" max="25" width="14.140625" style="34" customWidth="1"/>
    <col min="26" max="26" width="9.5703125" style="34" customWidth="1"/>
    <col min="27" max="27" width="11.140625" style="34" customWidth="1"/>
    <col min="28" max="28" width="9.28515625" style="34" customWidth="1"/>
    <col min="29" max="29" width="13.140625" style="34" customWidth="1"/>
    <col min="30" max="30" width="8.5703125" style="34" customWidth="1"/>
    <col min="31" max="31" width="13.42578125" style="34" customWidth="1"/>
    <col min="32" max="32" width="11.42578125" style="34" customWidth="1"/>
    <col min="33" max="33" width="16" style="34" customWidth="1"/>
    <col min="34" max="34" width="18" style="34" customWidth="1"/>
    <col min="35" max="35" width="21.42578125" style="34" customWidth="1"/>
    <col min="36" max="36" width="34.28515625" style="34" customWidth="1"/>
    <col min="37" max="259" width="11.42578125" style="34"/>
    <col min="260" max="260" width="14.140625" style="34" customWidth="1"/>
    <col min="261" max="261" width="11.42578125" style="34"/>
    <col min="262" max="262" width="14.140625" style="34" customWidth="1"/>
    <col min="263" max="263" width="11.42578125" style="34"/>
    <col min="264" max="264" width="14.28515625" style="34" customWidth="1"/>
    <col min="265" max="265" width="11.42578125" style="34"/>
    <col min="266" max="266" width="30" style="34" customWidth="1"/>
    <col min="267" max="267" width="29.42578125" style="34" customWidth="1"/>
    <col min="268" max="268" width="11.42578125" style="34"/>
    <col min="269" max="269" width="18.7109375" style="34" customWidth="1"/>
    <col min="270" max="270" width="28.140625" style="34" customWidth="1"/>
    <col min="271" max="271" width="11.42578125" style="34"/>
    <col min="272" max="272" width="19.5703125" style="34" customWidth="1"/>
    <col min="273" max="273" width="36.42578125" style="34" customWidth="1"/>
    <col min="274" max="274" width="46.7109375" style="34" customWidth="1"/>
    <col min="275" max="275" width="28" style="34" customWidth="1"/>
    <col min="276" max="276" width="16.42578125" style="34" customWidth="1"/>
    <col min="277" max="277" width="12.42578125" style="34" customWidth="1"/>
    <col min="278" max="289" width="11.42578125" style="34"/>
    <col min="290" max="290" width="13" style="34" customWidth="1"/>
    <col min="291" max="291" width="14.7109375" style="34" customWidth="1"/>
    <col min="292" max="292" width="34.28515625" style="34" customWidth="1"/>
    <col min="293" max="515" width="11.42578125" style="34"/>
    <col min="516" max="516" width="14.140625" style="34" customWidth="1"/>
    <col min="517" max="517" width="11.42578125" style="34"/>
    <col min="518" max="518" width="14.140625" style="34" customWidth="1"/>
    <col min="519" max="519" width="11.42578125" style="34"/>
    <col min="520" max="520" width="14.28515625" style="34" customWidth="1"/>
    <col min="521" max="521" width="11.42578125" style="34"/>
    <col min="522" max="522" width="30" style="34" customWidth="1"/>
    <col min="523" max="523" width="29.42578125" style="34" customWidth="1"/>
    <col min="524" max="524" width="11.42578125" style="34"/>
    <col min="525" max="525" width="18.7109375" style="34" customWidth="1"/>
    <col min="526" max="526" width="28.140625" style="34" customWidth="1"/>
    <col min="527" max="527" width="11.42578125" style="34"/>
    <col min="528" max="528" width="19.5703125" style="34" customWidth="1"/>
    <col min="529" max="529" width="36.42578125" style="34" customWidth="1"/>
    <col min="530" max="530" width="46.7109375" style="34" customWidth="1"/>
    <col min="531" max="531" width="28" style="34" customWidth="1"/>
    <col min="532" max="532" width="16.42578125" style="34" customWidth="1"/>
    <col min="533" max="533" width="12.42578125" style="34" customWidth="1"/>
    <col min="534" max="545" width="11.42578125" style="34"/>
    <col min="546" max="546" width="13" style="34" customWidth="1"/>
    <col min="547" max="547" width="14.7109375" style="34" customWidth="1"/>
    <col min="548" max="548" width="34.28515625" style="34" customWidth="1"/>
    <col min="549" max="771" width="11.42578125" style="34"/>
    <col min="772" max="772" width="14.140625" style="34" customWidth="1"/>
    <col min="773" max="773" width="11.42578125" style="34"/>
    <col min="774" max="774" width="14.140625" style="34" customWidth="1"/>
    <col min="775" max="775" width="11.42578125" style="34"/>
    <col min="776" max="776" width="14.28515625" style="34" customWidth="1"/>
    <col min="777" max="777" width="11.42578125" style="34"/>
    <col min="778" max="778" width="30" style="34" customWidth="1"/>
    <col min="779" max="779" width="29.42578125" style="34" customWidth="1"/>
    <col min="780" max="780" width="11.42578125" style="34"/>
    <col min="781" max="781" width="18.7109375" style="34" customWidth="1"/>
    <col min="782" max="782" width="28.140625" style="34" customWidth="1"/>
    <col min="783" max="783" width="11.42578125" style="34"/>
    <col min="784" max="784" width="19.5703125" style="34" customWidth="1"/>
    <col min="785" max="785" width="36.42578125" style="34" customWidth="1"/>
    <col min="786" max="786" width="46.7109375" style="34" customWidth="1"/>
    <col min="787" max="787" width="28" style="34" customWidth="1"/>
    <col min="788" max="788" width="16.42578125" style="34" customWidth="1"/>
    <col min="789" max="789" width="12.42578125" style="34" customWidth="1"/>
    <col min="790" max="801" width="11.42578125" style="34"/>
    <col min="802" max="802" width="13" style="34" customWidth="1"/>
    <col min="803" max="803" width="14.7109375" style="34" customWidth="1"/>
    <col min="804" max="804" width="34.28515625" style="34" customWidth="1"/>
    <col min="805" max="1027" width="11.42578125" style="34"/>
    <col min="1028" max="1028" width="14.140625" style="34" customWidth="1"/>
    <col min="1029" max="1029" width="11.42578125" style="34"/>
    <col min="1030" max="1030" width="14.140625" style="34" customWidth="1"/>
    <col min="1031" max="1031" width="11.42578125" style="34"/>
    <col min="1032" max="1032" width="14.28515625" style="34" customWidth="1"/>
    <col min="1033" max="1033" width="11.42578125" style="34"/>
    <col min="1034" max="1034" width="30" style="34" customWidth="1"/>
    <col min="1035" max="1035" width="29.42578125" style="34" customWidth="1"/>
    <col min="1036" max="1036" width="11.42578125" style="34"/>
    <col min="1037" max="1037" width="18.7109375" style="34" customWidth="1"/>
    <col min="1038" max="1038" width="28.140625" style="34" customWidth="1"/>
    <col min="1039" max="1039" width="11.42578125" style="34"/>
    <col min="1040" max="1040" width="19.5703125" style="34" customWidth="1"/>
    <col min="1041" max="1041" width="36.42578125" style="34" customWidth="1"/>
    <col min="1042" max="1042" width="46.7109375" style="34" customWidth="1"/>
    <col min="1043" max="1043" width="28" style="34" customWidth="1"/>
    <col min="1044" max="1044" width="16.42578125" style="34" customWidth="1"/>
    <col min="1045" max="1045" width="12.42578125" style="34" customWidth="1"/>
    <col min="1046" max="1057" width="11.42578125" style="34"/>
    <col min="1058" max="1058" width="13" style="34" customWidth="1"/>
    <col min="1059" max="1059" width="14.7109375" style="34" customWidth="1"/>
    <col min="1060" max="1060" width="34.28515625" style="34" customWidth="1"/>
    <col min="1061" max="1283" width="11.42578125" style="34"/>
    <col min="1284" max="1284" width="14.140625" style="34" customWidth="1"/>
    <col min="1285" max="1285" width="11.42578125" style="34"/>
    <col min="1286" max="1286" width="14.140625" style="34" customWidth="1"/>
    <col min="1287" max="1287" width="11.42578125" style="34"/>
    <col min="1288" max="1288" width="14.28515625" style="34" customWidth="1"/>
    <col min="1289" max="1289" width="11.42578125" style="34"/>
    <col min="1290" max="1290" width="30" style="34" customWidth="1"/>
    <col min="1291" max="1291" width="29.42578125" style="34" customWidth="1"/>
    <col min="1292" max="1292" width="11.42578125" style="34"/>
    <col min="1293" max="1293" width="18.7109375" style="34" customWidth="1"/>
    <col min="1294" max="1294" width="28.140625" style="34" customWidth="1"/>
    <col min="1295" max="1295" width="11.42578125" style="34"/>
    <col min="1296" max="1296" width="19.5703125" style="34" customWidth="1"/>
    <col min="1297" max="1297" width="36.42578125" style="34" customWidth="1"/>
    <col min="1298" max="1298" width="46.7109375" style="34" customWidth="1"/>
    <col min="1299" max="1299" width="28" style="34" customWidth="1"/>
    <col min="1300" max="1300" width="16.42578125" style="34" customWidth="1"/>
    <col min="1301" max="1301" width="12.42578125" style="34" customWidth="1"/>
    <col min="1302" max="1313" width="11.42578125" style="34"/>
    <col min="1314" max="1314" width="13" style="34" customWidth="1"/>
    <col min="1315" max="1315" width="14.7109375" style="34" customWidth="1"/>
    <col min="1316" max="1316" width="34.28515625" style="34" customWidth="1"/>
    <col min="1317" max="1539" width="11.42578125" style="34"/>
    <col min="1540" max="1540" width="14.140625" style="34" customWidth="1"/>
    <col min="1541" max="1541" width="11.42578125" style="34"/>
    <col min="1542" max="1542" width="14.140625" style="34" customWidth="1"/>
    <col min="1543" max="1543" width="11.42578125" style="34"/>
    <col min="1544" max="1544" width="14.28515625" style="34" customWidth="1"/>
    <col min="1545" max="1545" width="11.42578125" style="34"/>
    <col min="1546" max="1546" width="30" style="34" customWidth="1"/>
    <col min="1547" max="1547" width="29.42578125" style="34" customWidth="1"/>
    <col min="1548" max="1548" width="11.42578125" style="34"/>
    <col min="1549" max="1549" width="18.7109375" style="34" customWidth="1"/>
    <col min="1550" max="1550" width="28.140625" style="34" customWidth="1"/>
    <col min="1551" max="1551" width="11.42578125" style="34"/>
    <col min="1552" max="1552" width="19.5703125" style="34" customWidth="1"/>
    <col min="1553" max="1553" width="36.42578125" style="34" customWidth="1"/>
    <col min="1554" max="1554" width="46.7109375" style="34" customWidth="1"/>
    <col min="1555" max="1555" width="28" style="34" customWidth="1"/>
    <col min="1556" max="1556" width="16.42578125" style="34" customWidth="1"/>
    <col min="1557" max="1557" width="12.42578125" style="34" customWidth="1"/>
    <col min="1558" max="1569" width="11.42578125" style="34"/>
    <col min="1570" max="1570" width="13" style="34" customWidth="1"/>
    <col min="1571" max="1571" width="14.7109375" style="34" customWidth="1"/>
    <col min="1572" max="1572" width="34.28515625" style="34" customWidth="1"/>
    <col min="1573" max="1795" width="11.42578125" style="34"/>
    <col min="1796" max="1796" width="14.140625" style="34" customWidth="1"/>
    <col min="1797" max="1797" width="11.42578125" style="34"/>
    <col min="1798" max="1798" width="14.140625" style="34" customWidth="1"/>
    <col min="1799" max="1799" width="11.42578125" style="34"/>
    <col min="1800" max="1800" width="14.28515625" style="34" customWidth="1"/>
    <col min="1801" max="1801" width="11.42578125" style="34"/>
    <col min="1802" max="1802" width="30" style="34" customWidth="1"/>
    <col min="1803" max="1803" width="29.42578125" style="34" customWidth="1"/>
    <col min="1804" max="1804" width="11.42578125" style="34"/>
    <col min="1805" max="1805" width="18.7109375" style="34" customWidth="1"/>
    <col min="1806" max="1806" width="28.140625" style="34" customWidth="1"/>
    <col min="1807" max="1807" width="11.42578125" style="34"/>
    <col min="1808" max="1808" width="19.5703125" style="34" customWidth="1"/>
    <col min="1809" max="1809" width="36.42578125" style="34" customWidth="1"/>
    <col min="1810" max="1810" width="46.7109375" style="34" customWidth="1"/>
    <col min="1811" max="1811" width="28" style="34" customWidth="1"/>
    <col min="1812" max="1812" width="16.42578125" style="34" customWidth="1"/>
    <col min="1813" max="1813" width="12.42578125" style="34" customWidth="1"/>
    <col min="1814" max="1825" width="11.42578125" style="34"/>
    <col min="1826" max="1826" width="13" style="34" customWidth="1"/>
    <col min="1827" max="1827" width="14.7109375" style="34" customWidth="1"/>
    <col min="1828" max="1828" width="34.28515625" style="34" customWidth="1"/>
    <col min="1829" max="2051" width="11.42578125" style="34"/>
    <col min="2052" max="2052" width="14.140625" style="34" customWidth="1"/>
    <col min="2053" max="2053" width="11.42578125" style="34"/>
    <col min="2054" max="2054" width="14.140625" style="34" customWidth="1"/>
    <col min="2055" max="2055" width="11.42578125" style="34"/>
    <col min="2056" max="2056" width="14.28515625" style="34" customWidth="1"/>
    <col min="2057" max="2057" width="11.42578125" style="34"/>
    <col min="2058" max="2058" width="30" style="34" customWidth="1"/>
    <col min="2059" max="2059" width="29.42578125" style="34" customWidth="1"/>
    <col min="2060" max="2060" width="11.42578125" style="34"/>
    <col min="2061" max="2061" width="18.7109375" style="34" customWidth="1"/>
    <col min="2062" max="2062" width="28.140625" style="34" customWidth="1"/>
    <col min="2063" max="2063" width="11.42578125" style="34"/>
    <col min="2064" max="2064" width="19.5703125" style="34" customWidth="1"/>
    <col min="2065" max="2065" width="36.42578125" style="34" customWidth="1"/>
    <col min="2066" max="2066" width="46.7109375" style="34" customWidth="1"/>
    <col min="2067" max="2067" width="28" style="34" customWidth="1"/>
    <col min="2068" max="2068" width="16.42578125" style="34" customWidth="1"/>
    <col min="2069" max="2069" width="12.42578125" style="34" customWidth="1"/>
    <col min="2070" max="2081" width="11.42578125" style="34"/>
    <col min="2082" max="2082" width="13" style="34" customWidth="1"/>
    <col min="2083" max="2083" width="14.7109375" style="34" customWidth="1"/>
    <col min="2084" max="2084" width="34.28515625" style="34" customWidth="1"/>
    <col min="2085" max="2307" width="11.42578125" style="34"/>
    <col min="2308" max="2308" width="14.140625" style="34" customWidth="1"/>
    <col min="2309" max="2309" width="11.42578125" style="34"/>
    <col min="2310" max="2310" width="14.140625" style="34" customWidth="1"/>
    <col min="2311" max="2311" width="11.42578125" style="34"/>
    <col min="2312" max="2312" width="14.28515625" style="34" customWidth="1"/>
    <col min="2313" max="2313" width="11.42578125" style="34"/>
    <col min="2314" max="2314" width="30" style="34" customWidth="1"/>
    <col min="2315" max="2315" width="29.42578125" style="34" customWidth="1"/>
    <col min="2316" max="2316" width="11.42578125" style="34"/>
    <col min="2317" max="2317" width="18.7109375" style="34" customWidth="1"/>
    <col min="2318" max="2318" width="28.140625" style="34" customWidth="1"/>
    <col min="2319" max="2319" width="11.42578125" style="34"/>
    <col min="2320" max="2320" width="19.5703125" style="34" customWidth="1"/>
    <col min="2321" max="2321" width="36.42578125" style="34" customWidth="1"/>
    <col min="2322" max="2322" width="46.7109375" style="34" customWidth="1"/>
    <col min="2323" max="2323" width="28" style="34" customWidth="1"/>
    <col min="2324" max="2324" width="16.42578125" style="34" customWidth="1"/>
    <col min="2325" max="2325" width="12.42578125" style="34" customWidth="1"/>
    <col min="2326" max="2337" width="11.42578125" style="34"/>
    <col min="2338" max="2338" width="13" style="34" customWidth="1"/>
    <col min="2339" max="2339" width="14.7109375" style="34" customWidth="1"/>
    <col min="2340" max="2340" width="34.28515625" style="34" customWidth="1"/>
    <col min="2341" max="2563" width="11.42578125" style="34"/>
    <col min="2564" max="2564" width="14.140625" style="34" customWidth="1"/>
    <col min="2565" max="2565" width="11.42578125" style="34"/>
    <col min="2566" max="2566" width="14.140625" style="34" customWidth="1"/>
    <col min="2567" max="2567" width="11.42578125" style="34"/>
    <col min="2568" max="2568" width="14.28515625" style="34" customWidth="1"/>
    <col min="2569" max="2569" width="11.42578125" style="34"/>
    <col min="2570" max="2570" width="30" style="34" customWidth="1"/>
    <col min="2571" max="2571" width="29.42578125" style="34" customWidth="1"/>
    <col min="2572" max="2572" width="11.42578125" style="34"/>
    <col min="2573" max="2573" width="18.7109375" style="34" customWidth="1"/>
    <col min="2574" max="2574" width="28.140625" style="34" customWidth="1"/>
    <col min="2575" max="2575" width="11.42578125" style="34"/>
    <col min="2576" max="2576" width="19.5703125" style="34" customWidth="1"/>
    <col min="2577" max="2577" width="36.42578125" style="34" customWidth="1"/>
    <col min="2578" max="2578" width="46.7109375" style="34" customWidth="1"/>
    <col min="2579" max="2579" width="28" style="34" customWidth="1"/>
    <col min="2580" max="2580" width="16.42578125" style="34" customWidth="1"/>
    <col min="2581" max="2581" width="12.42578125" style="34" customWidth="1"/>
    <col min="2582" max="2593" width="11.42578125" style="34"/>
    <col min="2594" max="2594" width="13" style="34" customWidth="1"/>
    <col min="2595" max="2595" width="14.7109375" style="34" customWidth="1"/>
    <col min="2596" max="2596" width="34.28515625" style="34" customWidth="1"/>
    <col min="2597" max="2819" width="11.42578125" style="34"/>
    <col min="2820" max="2820" width="14.140625" style="34" customWidth="1"/>
    <col min="2821" max="2821" width="11.42578125" style="34"/>
    <col min="2822" max="2822" width="14.140625" style="34" customWidth="1"/>
    <col min="2823" max="2823" width="11.42578125" style="34"/>
    <col min="2824" max="2824" width="14.28515625" style="34" customWidth="1"/>
    <col min="2825" max="2825" width="11.42578125" style="34"/>
    <col min="2826" max="2826" width="30" style="34" customWidth="1"/>
    <col min="2827" max="2827" width="29.42578125" style="34" customWidth="1"/>
    <col min="2828" max="2828" width="11.42578125" style="34"/>
    <col min="2829" max="2829" width="18.7109375" style="34" customWidth="1"/>
    <col min="2830" max="2830" width="28.140625" style="34" customWidth="1"/>
    <col min="2831" max="2831" width="11.42578125" style="34"/>
    <col min="2832" max="2832" width="19.5703125" style="34" customWidth="1"/>
    <col min="2833" max="2833" width="36.42578125" style="34" customWidth="1"/>
    <col min="2834" max="2834" width="46.7109375" style="34" customWidth="1"/>
    <col min="2835" max="2835" width="28" style="34" customWidth="1"/>
    <col min="2836" max="2836" width="16.42578125" style="34" customWidth="1"/>
    <col min="2837" max="2837" width="12.42578125" style="34" customWidth="1"/>
    <col min="2838" max="2849" width="11.42578125" style="34"/>
    <col min="2850" max="2850" width="13" style="34" customWidth="1"/>
    <col min="2851" max="2851" width="14.7109375" style="34" customWidth="1"/>
    <col min="2852" max="2852" width="34.28515625" style="34" customWidth="1"/>
    <col min="2853" max="3075" width="11.42578125" style="34"/>
    <col min="3076" max="3076" width="14.140625" style="34" customWidth="1"/>
    <col min="3077" max="3077" width="11.42578125" style="34"/>
    <col min="3078" max="3078" width="14.140625" style="34" customWidth="1"/>
    <col min="3079" max="3079" width="11.42578125" style="34"/>
    <col min="3080" max="3080" width="14.28515625" style="34" customWidth="1"/>
    <col min="3081" max="3081" width="11.42578125" style="34"/>
    <col min="3082" max="3082" width="30" style="34" customWidth="1"/>
    <col min="3083" max="3083" width="29.42578125" style="34" customWidth="1"/>
    <col min="3084" max="3084" width="11.42578125" style="34"/>
    <col min="3085" max="3085" width="18.7109375" style="34" customWidth="1"/>
    <col min="3086" max="3086" width="28.140625" style="34" customWidth="1"/>
    <col min="3087" max="3087" width="11.42578125" style="34"/>
    <col min="3088" max="3088" width="19.5703125" style="34" customWidth="1"/>
    <col min="3089" max="3089" width="36.42578125" style="34" customWidth="1"/>
    <col min="3090" max="3090" width="46.7109375" style="34" customWidth="1"/>
    <col min="3091" max="3091" width="28" style="34" customWidth="1"/>
    <col min="3092" max="3092" width="16.42578125" style="34" customWidth="1"/>
    <col min="3093" max="3093" width="12.42578125" style="34" customWidth="1"/>
    <col min="3094" max="3105" width="11.42578125" style="34"/>
    <col min="3106" max="3106" width="13" style="34" customWidth="1"/>
    <col min="3107" max="3107" width="14.7109375" style="34" customWidth="1"/>
    <col min="3108" max="3108" width="34.28515625" style="34" customWidth="1"/>
    <col min="3109" max="3331" width="11.42578125" style="34"/>
    <col min="3332" max="3332" width="14.140625" style="34" customWidth="1"/>
    <col min="3333" max="3333" width="11.42578125" style="34"/>
    <col min="3334" max="3334" width="14.140625" style="34" customWidth="1"/>
    <col min="3335" max="3335" width="11.42578125" style="34"/>
    <col min="3336" max="3336" width="14.28515625" style="34" customWidth="1"/>
    <col min="3337" max="3337" width="11.42578125" style="34"/>
    <col min="3338" max="3338" width="30" style="34" customWidth="1"/>
    <col min="3339" max="3339" width="29.42578125" style="34" customWidth="1"/>
    <col min="3340" max="3340" width="11.42578125" style="34"/>
    <col min="3341" max="3341" width="18.7109375" style="34" customWidth="1"/>
    <col min="3342" max="3342" width="28.140625" style="34" customWidth="1"/>
    <col min="3343" max="3343" width="11.42578125" style="34"/>
    <col min="3344" max="3344" width="19.5703125" style="34" customWidth="1"/>
    <col min="3345" max="3345" width="36.42578125" style="34" customWidth="1"/>
    <col min="3346" max="3346" width="46.7109375" style="34" customWidth="1"/>
    <col min="3347" max="3347" width="28" style="34" customWidth="1"/>
    <col min="3348" max="3348" width="16.42578125" style="34" customWidth="1"/>
    <col min="3349" max="3349" width="12.42578125" style="34" customWidth="1"/>
    <col min="3350" max="3361" width="11.42578125" style="34"/>
    <col min="3362" max="3362" width="13" style="34" customWidth="1"/>
    <col min="3363" max="3363" width="14.7109375" style="34" customWidth="1"/>
    <col min="3364" max="3364" width="34.28515625" style="34" customWidth="1"/>
    <col min="3365" max="3587" width="11.42578125" style="34"/>
    <col min="3588" max="3588" width="14.140625" style="34" customWidth="1"/>
    <col min="3589" max="3589" width="11.42578125" style="34"/>
    <col min="3590" max="3590" width="14.140625" style="34" customWidth="1"/>
    <col min="3591" max="3591" width="11.42578125" style="34"/>
    <col min="3592" max="3592" width="14.28515625" style="34" customWidth="1"/>
    <col min="3593" max="3593" width="11.42578125" style="34"/>
    <col min="3594" max="3594" width="30" style="34" customWidth="1"/>
    <col min="3595" max="3595" width="29.42578125" style="34" customWidth="1"/>
    <col min="3596" max="3596" width="11.42578125" style="34"/>
    <col min="3597" max="3597" width="18.7109375" style="34" customWidth="1"/>
    <col min="3598" max="3598" width="28.140625" style="34" customWidth="1"/>
    <col min="3599" max="3599" width="11.42578125" style="34"/>
    <col min="3600" max="3600" width="19.5703125" style="34" customWidth="1"/>
    <col min="3601" max="3601" width="36.42578125" style="34" customWidth="1"/>
    <col min="3602" max="3602" width="46.7109375" style="34" customWidth="1"/>
    <col min="3603" max="3603" width="28" style="34" customWidth="1"/>
    <col min="3604" max="3604" width="16.42578125" style="34" customWidth="1"/>
    <col min="3605" max="3605" width="12.42578125" style="34" customWidth="1"/>
    <col min="3606" max="3617" width="11.42578125" style="34"/>
    <col min="3618" max="3618" width="13" style="34" customWidth="1"/>
    <col min="3619" max="3619" width="14.7109375" style="34" customWidth="1"/>
    <col min="3620" max="3620" width="34.28515625" style="34" customWidth="1"/>
    <col min="3621" max="3843" width="11.42578125" style="34"/>
    <col min="3844" max="3844" width="14.140625" style="34" customWidth="1"/>
    <col min="3845" max="3845" width="11.42578125" style="34"/>
    <col min="3846" max="3846" width="14.140625" style="34" customWidth="1"/>
    <col min="3847" max="3847" width="11.42578125" style="34"/>
    <col min="3848" max="3848" width="14.28515625" style="34" customWidth="1"/>
    <col min="3849" max="3849" width="11.42578125" style="34"/>
    <col min="3850" max="3850" width="30" style="34" customWidth="1"/>
    <col min="3851" max="3851" width="29.42578125" style="34" customWidth="1"/>
    <col min="3852" max="3852" width="11.42578125" style="34"/>
    <col min="3853" max="3853" width="18.7109375" style="34" customWidth="1"/>
    <col min="3854" max="3854" width="28.140625" style="34" customWidth="1"/>
    <col min="3855" max="3855" width="11.42578125" style="34"/>
    <col min="3856" max="3856" width="19.5703125" style="34" customWidth="1"/>
    <col min="3857" max="3857" width="36.42578125" style="34" customWidth="1"/>
    <col min="3858" max="3858" width="46.7109375" style="34" customWidth="1"/>
    <col min="3859" max="3859" width="28" style="34" customWidth="1"/>
    <col min="3860" max="3860" width="16.42578125" style="34" customWidth="1"/>
    <col min="3861" max="3861" width="12.42578125" style="34" customWidth="1"/>
    <col min="3862" max="3873" width="11.42578125" style="34"/>
    <col min="3874" max="3874" width="13" style="34" customWidth="1"/>
    <col min="3875" max="3875" width="14.7109375" style="34" customWidth="1"/>
    <col min="3876" max="3876" width="34.28515625" style="34" customWidth="1"/>
    <col min="3877" max="4099" width="11.42578125" style="34"/>
    <col min="4100" max="4100" width="14.140625" style="34" customWidth="1"/>
    <col min="4101" max="4101" width="11.42578125" style="34"/>
    <col min="4102" max="4102" width="14.140625" style="34" customWidth="1"/>
    <col min="4103" max="4103" width="11.42578125" style="34"/>
    <col min="4104" max="4104" width="14.28515625" style="34" customWidth="1"/>
    <col min="4105" max="4105" width="11.42578125" style="34"/>
    <col min="4106" max="4106" width="30" style="34" customWidth="1"/>
    <col min="4107" max="4107" width="29.42578125" style="34" customWidth="1"/>
    <col min="4108" max="4108" width="11.42578125" style="34"/>
    <col min="4109" max="4109" width="18.7109375" style="34" customWidth="1"/>
    <col min="4110" max="4110" width="28.140625" style="34" customWidth="1"/>
    <col min="4111" max="4111" width="11.42578125" style="34"/>
    <col min="4112" max="4112" width="19.5703125" style="34" customWidth="1"/>
    <col min="4113" max="4113" width="36.42578125" style="34" customWidth="1"/>
    <col min="4114" max="4114" width="46.7109375" style="34" customWidth="1"/>
    <col min="4115" max="4115" width="28" style="34" customWidth="1"/>
    <col min="4116" max="4116" width="16.42578125" style="34" customWidth="1"/>
    <col min="4117" max="4117" width="12.42578125" style="34" customWidth="1"/>
    <col min="4118" max="4129" width="11.42578125" style="34"/>
    <col min="4130" max="4130" width="13" style="34" customWidth="1"/>
    <col min="4131" max="4131" width="14.7109375" style="34" customWidth="1"/>
    <col min="4132" max="4132" width="34.28515625" style="34" customWidth="1"/>
    <col min="4133" max="4355" width="11.42578125" style="34"/>
    <col min="4356" max="4356" width="14.140625" style="34" customWidth="1"/>
    <col min="4357" max="4357" width="11.42578125" style="34"/>
    <col min="4358" max="4358" width="14.140625" style="34" customWidth="1"/>
    <col min="4359" max="4359" width="11.42578125" style="34"/>
    <col min="4360" max="4360" width="14.28515625" style="34" customWidth="1"/>
    <col min="4361" max="4361" width="11.42578125" style="34"/>
    <col min="4362" max="4362" width="30" style="34" customWidth="1"/>
    <col min="4363" max="4363" width="29.42578125" style="34" customWidth="1"/>
    <col min="4364" max="4364" width="11.42578125" style="34"/>
    <col min="4365" max="4365" width="18.7109375" style="34" customWidth="1"/>
    <col min="4366" max="4366" width="28.140625" style="34" customWidth="1"/>
    <col min="4367" max="4367" width="11.42578125" style="34"/>
    <col min="4368" max="4368" width="19.5703125" style="34" customWidth="1"/>
    <col min="4369" max="4369" width="36.42578125" style="34" customWidth="1"/>
    <col min="4370" max="4370" width="46.7109375" style="34" customWidth="1"/>
    <col min="4371" max="4371" width="28" style="34" customWidth="1"/>
    <col min="4372" max="4372" width="16.42578125" style="34" customWidth="1"/>
    <col min="4373" max="4373" width="12.42578125" style="34" customWidth="1"/>
    <col min="4374" max="4385" width="11.42578125" style="34"/>
    <col min="4386" max="4386" width="13" style="34" customWidth="1"/>
    <col min="4387" max="4387" width="14.7109375" style="34" customWidth="1"/>
    <col min="4388" max="4388" width="34.28515625" style="34" customWidth="1"/>
    <col min="4389" max="4611" width="11.42578125" style="34"/>
    <col min="4612" max="4612" width="14.140625" style="34" customWidth="1"/>
    <col min="4613" max="4613" width="11.42578125" style="34"/>
    <col min="4614" max="4614" width="14.140625" style="34" customWidth="1"/>
    <col min="4615" max="4615" width="11.42578125" style="34"/>
    <col min="4616" max="4616" width="14.28515625" style="34" customWidth="1"/>
    <col min="4617" max="4617" width="11.42578125" style="34"/>
    <col min="4618" max="4618" width="30" style="34" customWidth="1"/>
    <col min="4619" max="4619" width="29.42578125" style="34" customWidth="1"/>
    <col min="4620" max="4620" width="11.42578125" style="34"/>
    <col min="4621" max="4621" width="18.7109375" style="34" customWidth="1"/>
    <col min="4622" max="4622" width="28.140625" style="34" customWidth="1"/>
    <col min="4623" max="4623" width="11.42578125" style="34"/>
    <col min="4624" max="4624" width="19.5703125" style="34" customWidth="1"/>
    <col min="4625" max="4625" width="36.42578125" style="34" customWidth="1"/>
    <col min="4626" max="4626" width="46.7109375" style="34" customWidth="1"/>
    <col min="4627" max="4627" width="28" style="34" customWidth="1"/>
    <col min="4628" max="4628" width="16.42578125" style="34" customWidth="1"/>
    <col min="4629" max="4629" width="12.42578125" style="34" customWidth="1"/>
    <col min="4630" max="4641" width="11.42578125" style="34"/>
    <col min="4642" max="4642" width="13" style="34" customWidth="1"/>
    <col min="4643" max="4643" width="14.7109375" style="34" customWidth="1"/>
    <col min="4644" max="4644" width="34.28515625" style="34" customWidth="1"/>
    <col min="4645" max="4867" width="11.42578125" style="34"/>
    <col min="4868" max="4868" width="14.140625" style="34" customWidth="1"/>
    <col min="4869" max="4869" width="11.42578125" style="34"/>
    <col min="4870" max="4870" width="14.140625" style="34" customWidth="1"/>
    <col min="4871" max="4871" width="11.42578125" style="34"/>
    <col min="4872" max="4872" width="14.28515625" style="34" customWidth="1"/>
    <col min="4873" max="4873" width="11.42578125" style="34"/>
    <col min="4874" max="4874" width="30" style="34" customWidth="1"/>
    <col min="4875" max="4875" width="29.42578125" style="34" customWidth="1"/>
    <col min="4876" max="4876" width="11.42578125" style="34"/>
    <col min="4877" max="4877" width="18.7109375" style="34" customWidth="1"/>
    <col min="4878" max="4878" width="28.140625" style="34" customWidth="1"/>
    <col min="4879" max="4879" width="11.42578125" style="34"/>
    <col min="4880" max="4880" width="19.5703125" style="34" customWidth="1"/>
    <col min="4881" max="4881" width="36.42578125" style="34" customWidth="1"/>
    <col min="4882" max="4882" width="46.7109375" style="34" customWidth="1"/>
    <col min="4883" max="4883" width="28" style="34" customWidth="1"/>
    <col min="4884" max="4884" width="16.42578125" style="34" customWidth="1"/>
    <col min="4885" max="4885" width="12.42578125" style="34" customWidth="1"/>
    <col min="4886" max="4897" width="11.42578125" style="34"/>
    <col min="4898" max="4898" width="13" style="34" customWidth="1"/>
    <col min="4899" max="4899" width="14.7109375" style="34" customWidth="1"/>
    <col min="4900" max="4900" width="34.28515625" style="34" customWidth="1"/>
    <col min="4901" max="5123" width="11.42578125" style="34"/>
    <col min="5124" max="5124" width="14.140625" style="34" customWidth="1"/>
    <col min="5125" max="5125" width="11.42578125" style="34"/>
    <col min="5126" max="5126" width="14.140625" style="34" customWidth="1"/>
    <col min="5127" max="5127" width="11.42578125" style="34"/>
    <col min="5128" max="5128" width="14.28515625" style="34" customWidth="1"/>
    <col min="5129" max="5129" width="11.42578125" style="34"/>
    <col min="5130" max="5130" width="30" style="34" customWidth="1"/>
    <col min="5131" max="5131" width="29.42578125" style="34" customWidth="1"/>
    <col min="5132" max="5132" width="11.42578125" style="34"/>
    <col min="5133" max="5133" width="18.7109375" style="34" customWidth="1"/>
    <col min="5134" max="5134" width="28.140625" style="34" customWidth="1"/>
    <col min="5135" max="5135" width="11.42578125" style="34"/>
    <col min="5136" max="5136" width="19.5703125" style="34" customWidth="1"/>
    <col min="5137" max="5137" width="36.42578125" style="34" customWidth="1"/>
    <col min="5138" max="5138" width="46.7109375" style="34" customWidth="1"/>
    <col min="5139" max="5139" width="28" style="34" customWidth="1"/>
    <col min="5140" max="5140" width="16.42578125" style="34" customWidth="1"/>
    <col min="5141" max="5141" width="12.42578125" style="34" customWidth="1"/>
    <col min="5142" max="5153" width="11.42578125" style="34"/>
    <col min="5154" max="5154" width="13" style="34" customWidth="1"/>
    <col min="5155" max="5155" width="14.7109375" style="34" customWidth="1"/>
    <col min="5156" max="5156" width="34.28515625" style="34" customWidth="1"/>
    <col min="5157" max="5379" width="11.42578125" style="34"/>
    <col min="5380" max="5380" width="14.140625" style="34" customWidth="1"/>
    <col min="5381" max="5381" width="11.42578125" style="34"/>
    <col min="5382" max="5382" width="14.140625" style="34" customWidth="1"/>
    <col min="5383" max="5383" width="11.42578125" style="34"/>
    <col min="5384" max="5384" width="14.28515625" style="34" customWidth="1"/>
    <col min="5385" max="5385" width="11.42578125" style="34"/>
    <col min="5386" max="5386" width="30" style="34" customWidth="1"/>
    <col min="5387" max="5387" width="29.42578125" style="34" customWidth="1"/>
    <col min="5388" max="5388" width="11.42578125" style="34"/>
    <col min="5389" max="5389" width="18.7109375" style="34" customWidth="1"/>
    <col min="5390" max="5390" width="28.140625" style="34" customWidth="1"/>
    <col min="5391" max="5391" width="11.42578125" style="34"/>
    <col min="5392" max="5392" width="19.5703125" style="34" customWidth="1"/>
    <col min="5393" max="5393" width="36.42578125" style="34" customWidth="1"/>
    <col min="5394" max="5394" width="46.7109375" style="34" customWidth="1"/>
    <col min="5395" max="5395" width="28" style="34" customWidth="1"/>
    <col min="5396" max="5396" width="16.42578125" style="34" customWidth="1"/>
    <col min="5397" max="5397" width="12.42578125" style="34" customWidth="1"/>
    <col min="5398" max="5409" width="11.42578125" style="34"/>
    <col min="5410" max="5410" width="13" style="34" customWidth="1"/>
    <col min="5411" max="5411" width="14.7109375" style="34" customWidth="1"/>
    <col min="5412" max="5412" width="34.28515625" style="34" customWidth="1"/>
    <col min="5413" max="5635" width="11.42578125" style="34"/>
    <col min="5636" max="5636" width="14.140625" style="34" customWidth="1"/>
    <col min="5637" max="5637" width="11.42578125" style="34"/>
    <col min="5638" max="5638" width="14.140625" style="34" customWidth="1"/>
    <col min="5639" max="5639" width="11.42578125" style="34"/>
    <col min="5640" max="5640" width="14.28515625" style="34" customWidth="1"/>
    <col min="5641" max="5641" width="11.42578125" style="34"/>
    <col min="5642" max="5642" width="30" style="34" customWidth="1"/>
    <col min="5643" max="5643" width="29.42578125" style="34" customWidth="1"/>
    <col min="5644" max="5644" width="11.42578125" style="34"/>
    <col min="5645" max="5645" width="18.7109375" style="34" customWidth="1"/>
    <col min="5646" max="5646" width="28.140625" style="34" customWidth="1"/>
    <col min="5647" max="5647" width="11.42578125" style="34"/>
    <col min="5648" max="5648" width="19.5703125" style="34" customWidth="1"/>
    <col min="5649" max="5649" width="36.42578125" style="34" customWidth="1"/>
    <col min="5650" max="5650" width="46.7109375" style="34" customWidth="1"/>
    <col min="5651" max="5651" width="28" style="34" customWidth="1"/>
    <col min="5652" max="5652" width="16.42578125" style="34" customWidth="1"/>
    <col min="5653" max="5653" width="12.42578125" style="34" customWidth="1"/>
    <col min="5654" max="5665" width="11.42578125" style="34"/>
    <col min="5666" max="5666" width="13" style="34" customWidth="1"/>
    <col min="5667" max="5667" width="14.7109375" style="34" customWidth="1"/>
    <col min="5668" max="5668" width="34.28515625" style="34" customWidth="1"/>
    <col min="5669" max="5891" width="11.42578125" style="34"/>
    <col min="5892" max="5892" width="14.140625" style="34" customWidth="1"/>
    <col min="5893" max="5893" width="11.42578125" style="34"/>
    <col min="5894" max="5894" width="14.140625" style="34" customWidth="1"/>
    <col min="5895" max="5895" width="11.42578125" style="34"/>
    <col min="5896" max="5896" width="14.28515625" style="34" customWidth="1"/>
    <col min="5897" max="5897" width="11.42578125" style="34"/>
    <col min="5898" max="5898" width="30" style="34" customWidth="1"/>
    <col min="5899" max="5899" width="29.42578125" style="34" customWidth="1"/>
    <col min="5900" max="5900" width="11.42578125" style="34"/>
    <col min="5901" max="5901" width="18.7109375" style="34" customWidth="1"/>
    <col min="5902" max="5902" width="28.140625" style="34" customWidth="1"/>
    <col min="5903" max="5903" width="11.42578125" style="34"/>
    <col min="5904" max="5904" width="19.5703125" style="34" customWidth="1"/>
    <col min="5905" max="5905" width="36.42578125" style="34" customWidth="1"/>
    <col min="5906" max="5906" width="46.7109375" style="34" customWidth="1"/>
    <col min="5907" max="5907" width="28" style="34" customWidth="1"/>
    <col min="5908" max="5908" width="16.42578125" style="34" customWidth="1"/>
    <col min="5909" max="5909" width="12.42578125" style="34" customWidth="1"/>
    <col min="5910" max="5921" width="11.42578125" style="34"/>
    <col min="5922" max="5922" width="13" style="34" customWidth="1"/>
    <col min="5923" max="5923" width="14.7109375" style="34" customWidth="1"/>
    <col min="5924" max="5924" width="34.28515625" style="34" customWidth="1"/>
    <col min="5925" max="6147" width="11.42578125" style="34"/>
    <col min="6148" max="6148" width="14.140625" style="34" customWidth="1"/>
    <col min="6149" max="6149" width="11.42578125" style="34"/>
    <col min="6150" max="6150" width="14.140625" style="34" customWidth="1"/>
    <col min="6151" max="6151" width="11.42578125" style="34"/>
    <col min="6152" max="6152" width="14.28515625" style="34" customWidth="1"/>
    <col min="6153" max="6153" width="11.42578125" style="34"/>
    <col min="6154" max="6154" width="30" style="34" customWidth="1"/>
    <col min="6155" max="6155" width="29.42578125" style="34" customWidth="1"/>
    <col min="6156" max="6156" width="11.42578125" style="34"/>
    <col min="6157" max="6157" width="18.7109375" style="34" customWidth="1"/>
    <col min="6158" max="6158" width="28.140625" style="34" customWidth="1"/>
    <col min="6159" max="6159" width="11.42578125" style="34"/>
    <col min="6160" max="6160" width="19.5703125" style="34" customWidth="1"/>
    <col min="6161" max="6161" width="36.42578125" style="34" customWidth="1"/>
    <col min="6162" max="6162" width="46.7109375" style="34" customWidth="1"/>
    <col min="6163" max="6163" width="28" style="34" customWidth="1"/>
    <col min="6164" max="6164" width="16.42578125" style="34" customWidth="1"/>
    <col min="6165" max="6165" width="12.42578125" style="34" customWidth="1"/>
    <col min="6166" max="6177" width="11.42578125" style="34"/>
    <col min="6178" max="6178" width="13" style="34" customWidth="1"/>
    <col min="6179" max="6179" width="14.7109375" style="34" customWidth="1"/>
    <col min="6180" max="6180" width="34.28515625" style="34" customWidth="1"/>
    <col min="6181" max="6403" width="11.42578125" style="34"/>
    <col min="6404" max="6404" width="14.140625" style="34" customWidth="1"/>
    <col min="6405" max="6405" width="11.42578125" style="34"/>
    <col min="6406" max="6406" width="14.140625" style="34" customWidth="1"/>
    <col min="6407" max="6407" width="11.42578125" style="34"/>
    <col min="6408" max="6408" width="14.28515625" style="34" customWidth="1"/>
    <col min="6409" max="6409" width="11.42578125" style="34"/>
    <col min="6410" max="6410" width="30" style="34" customWidth="1"/>
    <col min="6411" max="6411" width="29.42578125" style="34" customWidth="1"/>
    <col min="6412" max="6412" width="11.42578125" style="34"/>
    <col min="6413" max="6413" width="18.7109375" style="34" customWidth="1"/>
    <col min="6414" max="6414" width="28.140625" style="34" customWidth="1"/>
    <col min="6415" max="6415" width="11.42578125" style="34"/>
    <col min="6416" max="6416" width="19.5703125" style="34" customWidth="1"/>
    <col min="6417" max="6417" width="36.42578125" style="34" customWidth="1"/>
    <col min="6418" max="6418" width="46.7109375" style="34" customWidth="1"/>
    <col min="6419" max="6419" width="28" style="34" customWidth="1"/>
    <col min="6420" max="6420" width="16.42578125" style="34" customWidth="1"/>
    <col min="6421" max="6421" width="12.42578125" style="34" customWidth="1"/>
    <col min="6422" max="6433" width="11.42578125" style="34"/>
    <col min="6434" max="6434" width="13" style="34" customWidth="1"/>
    <col min="6435" max="6435" width="14.7109375" style="34" customWidth="1"/>
    <col min="6436" max="6436" width="34.28515625" style="34" customWidth="1"/>
    <col min="6437" max="6659" width="11.42578125" style="34"/>
    <col min="6660" max="6660" width="14.140625" style="34" customWidth="1"/>
    <col min="6661" max="6661" width="11.42578125" style="34"/>
    <col min="6662" max="6662" width="14.140625" style="34" customWidth="1"/>
    <col min="6663" max="6663" width="11.42578125" style="34"/>
    <col min="6664" max="6664" width="14.28515625" style="34" customWidth="1"/>
    <col min="6665" max="6665" width="11.42578125" style="34"/>
    <col min="6666" max="6666" width="30" style="34" customWidth="1"/>
    <col min="6667" max="6667" width="29.42578125" style="34" customWidth="1"/>
    <col min="6668" max="6668" width="11.42578125" style="34"/>
    <col min="6669" max="6669" width="18.7109375" style="34" customWidth="1"/>
    <col min="6670" max="6670" width="28.140625" style="34" customWidth="1"/>
    <col min="6671" max="6671" width="11.42578125" style="34"/>
    <col min="6672" max="6672" width="19.5703125" style="34" customWidth="1"/>
    <col min="6673" max="6673" width="36.42578125" style="34" customWidth="1"/>
    <col min="6674" max="6674" width="46.7109375" style="34" customWidth="1"/>
    <col min="6675" max="6675" width="28" style="34" customWidth="1"/>
    <col min="6676" max="6676" width="16.42578125" style="34" customWidth="1"/>
    <col min="6677" max="6677" width="12.42578125" style="34" customWidth="1"/>
    <col min="6678" max="6689" width="11.42578125" style="34"/>
    <col min="6690" max="6690" width="13" style="34" customWidth="1"/>
    <col min="6691" max="6691" width="14.7109375" style="34" customWidth="1"/>
    <col min="6692" max="6692" width="34.28515625" style="34" customWidth="1"/>
    <col min="6693" max="6915" width="11.42578125" style="34"/>
    <col min="6916" max="6916" width="14.140625" style="34" customWidth="1"/>
    <col min="6917" max="6917" width="11.42578125" style="34"/>
    <col min="6918" max="6918" width="14.140625" style="34" customWidth="1"/>
    <col min="6919" max="6919" width="11.42578125" style="34"/>
    <col min="6920" max="6920" width="14.28515625" style="34" customWidth="1"/>
    <col min="6921" max="6921" width="11.42578125" style="34"/>
    <col min="6922" max="6922" width="30" style="34" customWidth="1"/>
    <col min="6923" max="6923" width="29.42578125" style="34" customWidth="1"/>
    <col min="6924" max="6924" width="11.42578125" style="34"/>
    <col min="6925" max="6925" width="18.7109375" style="34" customWidth="1"/>
    <col min="6926" max="6926" width="28.140625" style="34" customWidth="1"/>
    <col min="6927" max="6927" width="11.42578125" style="34"/>
    <col min="6928" max="6928" width="19.5703125" style="34" customWidth="1"/>
    <col min="6929" max="6929" width="36.42578125" style="34" customWidth="1"/>
    <col min="6930" max="6930" width="46.7109375" style="34" customWidth="1"/>
    <col min="6931" max="6931" width="28" style="34" customWidth="1"/>
    <col min="6932" max="6932" width="16.42578125" style="34" customWidth="1"/>
    <col min="6933" max="6933" width="12.42578125" style="34" customWidth="1"/>
    <col min="6934" max="6945" width="11.42578125" style="34"/>
    <col min="6946" max="6946" width="13" style="34" customWidth="1"/>
    <col min="6947" max="6947" width="14.7109375" style="34" customWidth="1"/>
    <col min="6948" max="6948" width="34.28515625" style="34" customWidth="1"/>
    <col min="6949" max="7171" width="11.42578125" style="34"/>
    <col min="7172" max="7172" width="14.140625" style="34" customWidth="1"/>
    <col min="7173" max="7173" width="11.42578125" style="34"/>
    <col min="7174" max="7174" width="14.140625" style="34" customWidth="1"/>
    <col min="7175" max="7175" width="11.42578125" style="34"/>
    <col min="7176" max="7176" width="14.28515625" style="34" customWidth="1"/>
    <col min="7177" max="7177" width="11.42578125" style="34"/>
    <col min="7178" max="7178" width="30" style="34" customWidth="1"/>
    <col min="7179" max="7179" width="29.42578125" style="34" customWidth="1"/>
    <col min="7180" max="7180" width="11.42578125" style="34"/>
    <col min="7181" max="7181" width="18.7109375" style="34" customWidth="1"/>
    <col min="7182" max="7182" width="28.140625" style="34" customWidth="1"/>
    <col min="7183" max="7183" width="11.42578125" style="34"/>
    <col min="7184" max="7184" width="19.5703125" style="34" customWidth="1"/>
    <col min="7185" max="7185" width="36.42578125" style="34" customWidth="1"/>
    <col min="7186" max="7186" width="46.7109375" style="34" customWidth="1"/>
    <col min="7187" max="7187" width="28" style="34" customWidth="1"/>
    <col min="7188" max="7188" width="16.42578125" style="34" customWidth="1"/>
    <col min="7189" max="7189" width="12.42578125" style="34" customWidth="1"/>
    <col min="7190" max="7201" width="11.42578125" style="34"/>
    <col min="7202" max="7202" width="13" style="34" customWidth="1"/>
    <col min="7203" max="7203" width="14.7109375" style="34" customWidth="1"/>
    <col min="7204" max="7204" width="34.28515625" style="34" customWidth="1"/>
    <col min="7205" max="7427" width="11.42578125" style="34"/>
    <col min="7428" max="7428" width="14.140625" style="34" customWidth="1"/>
    <col min="7429" max="7429" width="11.42578125" style="34"/>
    <col min="7430" max="7430" width="14.140625" style="34" customWidth="1"/>
    <col min="7431" max="7431" width="11.42578125" style="34"/>
    <col min="7432" max="7432" width="14.28515625" style="34" customWidth="1"/>
    <col min="7433" max="7433" width="11.42578125" style="34"/>
    <col min="7434" max="7434" width="30" style="34" customWidth="1"/>
    <col min="7435" max="7435" width="29.42578125" style="34" customWidth="1"/>
    <col min="7436" max="7436" width="11.42578125" style="34"/>
    <col min="7437" max="7437" width="18.7109375" style="34" customWidth="1"/>
    <col min="7438" max="7438" width="28.140625" style="34" customWidth="1"/>
    <col min="7439" max="7439" width="11.42578125" style="34"/>
    <col min="7440" max="7440" width="19.5703125" style="34" customWidth="1"/>
    <col min="7441" max="7441" width="36.42578125" style="34" customWidth="1"/>
    <col min="7442" max="7442" width="46.7109375" style="34" customWidth="1"/>
    <col min="7443" max="7443" width="28" style="34" customWidth="1"/>
    <col min="7444" max="7444" width="16.42578125" style="34" customWidth="1"/>
    <col min="7445" max="7445" width="12.42578125" style="34" customWidth="1"/>
    <col min="7446" max="7457" width="11.42578125" style="34"/>
    <col min="7458" max="7458" width="13" style="34" customWidth="1"/>
    <col min="7459" max="7459" width="14.7109375" style="34" customWidth="1"/>
    <col min="7460" max="7460" width="34.28515625" style="34" customWidth="1"/>
    <col min="7461" max="7683" width="11.42578125" style="34"/>
    <col min="7684" max="7684" width="14.140625" style="34" customWidth="1"/>
    <col min="7685" max="7685" width="11.42578125" style="34"/>
    <col min="7686" max="7686" width="14.140625" style="34" customWidth="1"/>
    <col min="7687" max="7687" width="11.42578125" style="34"/>
    <col min="7688" max="7688" width="14.28515625" style="34" customWidth="1"/>
    <col min="7689" max="7689" width="11.42578125" style="34"/>
    <col min="7690" max="7690" width="30" style="34" customWidth="1"/>
    <col min="7691" max="7691" width="29.42578125" style="34" customWidth="1"/>
    <col min="7692" max="7692" width="11.42578125" style="34"/>
    <col min="7693" max="7693" width="18.7109375" style="34" customWidth="1"/>
    <col min="7694" max="7694" width="28.140625" style="34" customWidth="1"/>
    <col min="7695" max="7695" width="11.42578125" style="34"/>
    <col min="7696" max="7696" width="19.5703125" style="34" customWidth="1"/>
    <col min="7697" max="7697" width="36.42578125" style="34" customWidth="1"/>
    <col min="7698" max="7698" width="46.7109375" style="34" customWidth="1"/>
    <col min="7699" max="7699" width="28" style="34" customWidth="1"/>
    <col min="7700" max="7700" width="16.42578125" style="34" customWidth="1"/>
    <col min="7701" max="7701" width="12.42578125" style="34" customWidth="1"/>
    <col min="7702" max="7713" width="11.42578125" style="34"/>
    <col min="7714" max="7714" width="13" style="34" customWidth="1"/>
    <col min="7715" max="7715" width="14.7109375" style="34" customWidth="1"/>
    <col min="7716" max="7716" width="34.28515625" style="34" customWidth="1"/>
    <col min="7717" max="7939" width="11.42578125" style="34"/>
    <col min="7940" max="7940" width="14.140625" style="34" customWidth="1"/>
    <col min="7941" max="7941" width="11.42578125" style="34"/>
    <col min="7942" max="7942" width="14.140625" style="34" customWidth="1"/>
    <col min="7943" max="7943" width="11.42578125" style="34"/>
    <col min="7944" max="7944" width="14.28515625" style="34" customWidth="1"/>
    <col min="7945" max="7945" width="11.42578125" style="34"/>
    <col min="7946" max="7946" width="30" style="34" customWidth="1"/>
    <col min="7947" max="7947" width="29.42578125" style="34" customWidth="1"/>
    <col min="7948" max="7948" width="11.42578125" style="34"/>
    <col min="7949" max="7949" width="18.7109375" style="34" customWidth="1"/>
    <col min="7950" max="7950" width="28.140625" style="34" customWidth="1"/>
    <col min="7951" max="7951" width="11.42578125" style="34"/>
    <col min="7952" max="7952" width="19.5703125" style="34" customWidth="1"/>
    <col min="7953" max="7953" width="36.42578125" style="34" customWidth="1"/>
    <col min="7954" max="7954" width="46.7109375" style="34" customWidth="1"/>
    <col min="7955" max="7955" width="28" style="34" customWidth="1"/>
    <col min="7956" max="7956" width="16.42578125" style="34" customWidth="1"/>
    <col min="7957" max="7957" width="12.42578125" style="34" customWidth="1"/>
    <col min="7958" max="7969" width="11.42578125" style="34"/>
    <col min="7970" max="7970" width="13" style="34" customWidth="1"/>
    <col min="7971" max="7971" width="14.7109375" style="34" customWidth="1"/>
    <col min="7972" max="7972" width="34.28515625" style="34" customWidth="1"/>
    <col min="7973" max="8195" width="11.42578125" style="34"/>
    <col min="8196" max="8196" width="14.140625" style="34" customWidth="1"/>
    <col min="8197" max="8197" width="11.42578125" style="34"/>
    <col min="8198" max="8198" width="14.140625" style="34" customWidth="1"/>
    <col min="8199" max="8199" width="11.42578125" style="34"/>
    <col min="8200" max="8200" width="14.28515625" style="34" customWidth="1"/>
    <col min="8201" max="8201" width="11.42578125" style="34"/>
    <col min="8202" max="8202" width="30" style="34" customWidth="1"/>
    <col min="8203" max="8203" width="29.42578125" style="34" customWidth="1"/>
    <col min="8204" max="8204" width="11.42578125" style="34"/>
    <col min="8205" max="8205" width="18.7109375" style="34" customWidth="1"/>
    <col min="8206" max="8206" width="28.140625" style="34" customWidth="1"/>
    <col min="8207" max="8207" width="11.42578125" style="34"/>
    <col min="8208" max="8208" width="19.5703125" style="34" customWidth="1"/>
    <col min="8209" max="8209" width="36.42578125" style="34" customWidth="1"/>
    <col min="8210" max="8210" width="46.7109375" style="34" customWidth="1"/>
    <col min="8211" max="8211" width="28" style="34" customWidth="1"/>
    <col min="8212" max="8212" width="16.42578125" style="34" customWidth="1"/>
    <col min="8213" max="8213" width="12.42578125" style="34" customWidth="1"/>
    <col min="8214" max="8225" width="11.42578125" style="34"/>
    <col min="8226" max="8226" width="13" style="34" customWidth="1"/>
    <col min="8227" max="8227" width="14.7109375" style="34" customWidth="1"/>
    <col min="8228" max="8228" width="34.28515625" style="34" customWidth="1"/>
    <col min="8229" max="8451" width="11.42578125" style="34"/>
    <col min="8452" max="8452" width="14.140625" style="34" customWidth="1"/>
    <col min="8453" max="8453" width="11.42578125" style="34"/>
    <col min="8454" max="8454" width="14.140625" style="34" customWidth="1"/>
    <col min="8455" max="8455" width="11.42578125" style="34"/>
    <col min="8456" max="8456" width="14.28515625" style="34" customWidth="1"/>
    <col min="8457" max="8457" width="11.42578125" style="34"/>
    <col min="8458" max="8458" width="30" style="34" customWidth="1"/>
    <col min="8459" max="8459" width="29.42578125" style="34" customWidth="1"/>
    <col min="8460" max="8460" width="11.42578125" style="34"/>
    <col min="8461" max="8461" width="18.7109375" style="34" customWidth="1"/>
    <col min="8462" max="8462" width="28.140625" style="34" customWidth="1"/>
    <col min="8463" max="8463" width="11.42578125" style="34"/>
    <col min="8464" max="8464" width="19.5703125" style="34" customWidth="1"/>
    <col min="8465" max="8465" width="36.42578125" style="34" customWidth="1"/>
    <col min="8466" max="8466" width="46.7109375" style="34" customWidth="1"/>
    <col min="8467" max="8467" width="28" style="34" customWidth="1"/>
    <col min="8468" max="8468" width="16.42578125" style="34" customWidth="1"/>
    <col min="8469" max="8469" width="12.42578125" style="34" customWidth="1"/>
    <col min="8470" max="8481" width="11.42578125" style="34"/>
    <col min="8482" max="8482" width="13" style="34" customWidth="1"/>
    <col min="8483" max="8483" width="14.7109375" style="34" customWidth="1"/>
    <col min="8484" max="8484" width="34.28515625" style="34" customWidth="1"/>
    <col min="8485" max="8707" width="11.42578125" style="34"/>
    <col min="8708" max="8708" width="14.140625" style="34" customWidth="1"/>
    <col min="8709" max="8709" width="11.42578125" style="34"/>
    <col min="8710" max="8710" width="14.140625" style="34" customWidth="1"/>
    <col min="8711" max="8711" width="11.42578125" style="34"/>
    <col min="8712" max="8712" width="14.28515625" style="34" customWidth="1"/>
    <col min="8713" max="8713" width="11.42578125" style="34"/>
    <col min="8714" max="8714" width="30" style="34" customWidth="1"/>
    <col min="8715" max="8715" width="29.42578125" style="34" customWidth="1"/>
    <col min="8716" max="8716" width="11.42578125" style="34"/>
    <col min="8717" max="8717" width="18.7109375" style="34" customWidth="1"/>
    <col min="8718" max="8718" width="28.140625" style="34" customWidth="1"/>
    <col min="8719" max="8719" width="11.42578125" style="34"/>
    <col min="8720" max="8720" width="19.5703125" style="34" customWidth="1"/>
    <col min="8721" max="8721" width="36.42578125" style="34" customWidth="1"/>
    <col min="8722" max="8722" width="46.7109375" style="34" customWidth="1"/>
    <col min="8723" max="8723" width="28" style="34" customWidth="1"/>
    <col min="8724" max="8724" width="16.42578125" style="34" customWidth="1"/>
    <col min="8725" max="8725" width="12.42578125" style="34" customWidth="1"/>
    <col min="8726" max="8737" width="11.42578125" style="34"/>
    <col min="8738" max="8738" width="13" style="34" customWidth="1"/>
    <col min="8739" max="8739" width="14.7109375" style="34" customWidth="1"/>
    <col min="8740" max="8740" width="34.28515625" style="34" customWidth="1"/>
    <col min="8741" max="8963" width="11.42578125" style="34"/>
    <col min="8964" max="8964" width="14.140625" style="34" customWidth="1"/>
    <col min="8965" max="8965" width="11.42578125" style="34"/>
    <col min="8966" max="8966" width="14.140625" style="34" customWidth="1"/>
    <col min="8967" max="8967" width="11.42578125" style="34"/>
    <col min="8968" max="8968" width="14.28515625" style="34" customWidth="1"/>
    <col min="8969" max="8969" width="11.42578125" style="34"/>
    <col min="8970" max="8970" width="30" style="34" customWidth="1"/>
    <col min="8971" max="8971" width="29.42578125" style="34" customWidth="1"/>
    <col min="8972" max="8972" width="11.42578125" style="34"/>
    <col min="8973" max="8973" width="18.7109375" style="34" customWidth="1"/>
    <col min="8974" max="8974" width="28.140625" style="34" customWidth="1"/>
    <col min="8975" max="8975" width="11.42578125" style="34"/>
    <col min="8976" max="8976" width="19.5703125" style="34" customWidth="1"/>
    <col min="8977" max="8977" width="36.42578125" style="34" customWidth="1"/>
    <col min="8978" max="8978" width="46.7109375" style="34" customWidth="1"/>
    <col min="8979" max="8979" width="28" style="34" customWidth="1"/>
    <col min="8980" max="8980" width="16.42578125" style="34" customWidth="1"/>
    <col min="8981" max="8981" width="12.42578125" style="34" customWidth="1"/>
    <col min="8982" max="8993" width="11.42578125" style="34"/>
    <col min="8994" max="8994" width="13" style="34" customWidth="1"/>
    <col min="8995" max="8995" width="14.7109375" style="34" customWidth="1"/>
    <col min="8996" max="8996" width="34.28515625" style="34" customWidth="1"/>
    <col min="8997" max="9219" width="11.42578125" style="34"/>
    <col min="9220" max="9220" width="14.140625" style="34" customWidth="1"/>
    <col min="9221" max="9221" width="11.42578125" style="34"/>
    <col min="9222" max="9222" width="14.140625" style="34" customWidth="1"/>
    <col min="9223" max="9223" width="11.42578125" style="34"/>
    <col min="9224" max="9224" width="14.28515625" style="34" customWidth="1"/>
    <col min="9225" max="9225" width="11.42578125" style="34"/>
    <col min="9226" max="9226" width="30" style="34" customWidth="1"/>
    <col min="9227" max="9227" width="29.42578125" style="34" customWidth="1"/>
    <col min="9228" max="9228" width="11.42578125" style="34"/>
    <col min="9229" max="9229" width="18.7109375" style="34" customWidth="1"/>
    <col min="9230" max="9230" width="28.140625" style="34" customWidth="1"/>
    <col min="9231" max="9231" width="11.42578125" style="34"/>
    <col min="9232" max="9232" width="19.5703125" style="34" customWidth="1"/>
    <col min="9233" max="9233" width="36.42578125" style="34" customWidth="1"/>
    <col min="9234" max="9234" width="46.7109375" style="34" customWidth="1"/>
    <col min="9235" max="9235" width="28" style="34" customWidth="1"/>
    <col min="9236" max="9236" width="16.42578125" style="34" customWidth="1"/>
    <col min="9237" max="9237" width="12.42578125" style="34" customWidth="1"/>
    <col min="9238" max="9249" width="11.42578125" style="34"/>
    <col min="9250" max="9250" width="13" style="34" customWidth="1"/>
    <col min="9251" max="9251" width="14.7109375" style="34" customWidth="1"/>
    <col min="9252" max="9252" width="34.28515625" style="34" customWidth="1"/>
    <col min="9253" max="9475" width="11.42578125" style="34"/>
    <col min="9476" max="9476" width="14.140625" style="34" customWidth="1"/>
    <col min="9477" max="9477" width="11.42578125" style="34"/>
    <col min="9478" max="9478" width="14.140625" style="34" customWidth="1"/>
    <col min="9479" max="9479" width="11.42578125" style="34"/>
    <col min="9480" max="9480" width="14.28515625" style="34" customWidth="1"/>
    <col min="9481" max="9481" width="11.42578125" style="34"/>
    <col min="9482" max="9482" width="30" style="34" customWidth="1"/>
    <col min="9483" max="9483" width="29.42578125" style="34" customWidth="1"/>
    <col min="9484" max="9484" width="11.42578125" style="34"/>
    <col min="9485" max="9485" width="18.7109375" style="34" customWidth="1"/>
    <col min="9486" max="9486" width="28.140625" style="34" customWidth="1"/>
    <col min="9487" max="9487" width="11.42578125" style="34"/>
    <col min="9488" max="9488" width="19.5703125" style="34" customWidth="1"/>
    <col min="9489" max="9489" width="36.42578125" style="34" customWidth="1"/>
    <col min="9490" max="9490" width="46.7109375" style="34" customWidth="1"/>
    <col min="9491" max="9491" width="28" style="34" customWidth="1"/>
    <col min="9492" max="9492" width="16.42578125" style="34" customWidth="1"/>
    <col min="9493" max="9493" width="12.42578125" style="34" customWidth="1"/>
    <col min="9494" max="9505" width="11.42578125" style="34"/>
    <col min="9506" max="9506" width="13" style="34" customWidth="1"/>
    <col min="9507" max="9507" width="14.7109375" style="34" customWidth="1"/>
    <col min="9508" max="9508" width="34.28515625" style="34" customWidth="1"/>
    <col min="9509" max="9731" width="11.42578125" style="34"/>
    <col min="9732" max="9732" width="14.140625" style="34" customWidth="1"/>
    <col min="9733" max="9733" width="11.42578125" style="34"/>
    <col min="9734" max="9734" width="14.140625" style="34" customWidth="1"/>
    <col min="9735" max="9735" width="11.42578125" style="34"/>
    <col min="9736" max="9736" width="14.28515625" style="34" customWidth="1"/>
    <col min="9737" max="9737" width="11.42578125" style="34"/>
    <col min="9738" max="9738" width="30" style="34" customWidth="1"/>
    <col min="9739" max="9739" width="29.42578125" style="34" customWidth="1"/>
    <col min="9740" max="9740" width="11.42578125" style="34"/>
    <col min="9741" max="9741" width="18.7109375" style="34" customWidth="1"/>
    <col min="9742" max="9742" width="28.140625" style="34" customWidth="1"/>
    <col min="9743" max="9743" width="11.42578125" style="34"/>
    <col min="9744" max="9744" width="19.5703125" style="34" customWidth="1"/>
    <col min="9745" max="9745" width="36.42578125" style="34" customWidth="1"/>
    <col min="9746" max="9746" width="46.7109375" style="34" customWidth="1"/>
    <col min="9747" max="9747" width="28" style="34" customWidth="1"/>
    <col min="9748" max="9748" width="16.42578125" style="34" customWidth="1"/>
    <col min="9749" max="9749" width="12.42578125" style="34" customWidth="1"/>
    <col min="9750" max="9761" width="11.42578125" style="34"/>
    <col min="9762" max="9762" width="13" style="34" customWidth="1"/>
    <col min="9763" max="9763" width="14.7109375" style="34" customWidth="1"/>
    <col min="9764" max="9764" width="34.28515625" style="34" customWidth="1"/>
    <col min="9765" max="9987" width="11.42578125" style="34"/>
    <col min="9988" max="9988" width="14.140625" style="34" customWidth="1"/>
    <col min="9989" max="9989" width="11.42578125" style="34"/>
    <col min="9990" max="9990" width="14.140625" style="34" customWidth="1"/>
    <col min="9991" max="9991" width="11.42578125" style="34"/>
    <col min="9992" max="9992" width="14.28515625" style="34" customWidth="1"/>
    <col min="9993" max="9993" width="11.42578125" style="34"/>
    <col min="9994" max="9994" width="30" style="34" customWidth="1"/>
    <col min="9995" max="9995" width="29.42578125" style="34" customWidth="1"/>
    <col min="9996" max="9996" width="11.42578125" style="34"/>
    <col min="9997" max="9997" width="18.7109375" style="34" customWidth="1"/>
    <col min="9998" max="9998" width="28.140625" style="34" customWidth="1"/>
    <col min="9999" max="9999" width="11.42578125" style="34"/>
    <col min="10000" max="10000" width="19.5703125" style="34" customWidth="1"/>
    <col min="10001" max="10001" width="36.42578125" style="34" customWidth="1"/>
    <col min="10002" max="10002" width="46.7109375" style="34" customWidth="1"/>
    <col min="10003" max="10003" width="28" style="34" customWidth="1"/>
    <col min="10004" max="10004" width="16.42578125" style="34" customWidth="1"/>
    <col min="10005" max="10005" width="12.42578125" style="34" customWidth="1"/>
    <col min="10006" max="10017" width="11.42578125" style="34"/>
    <col min="10018" max="10018" width="13" style="34" customWidth="1"/>
    <col min="10019" max="10019" width="14.7109375" style="34" customWidth="1"/>
    <col min="10020" max="10020" width="34.28515625" style="34" customWidth="1"/>
    <col min="10021" max="10243" width="11.42578125" style="34"/>
    <col min="10244" max="10244" width="14.140625" style="34" customWidth="1"/>
    <col min="10245" max="10245" width="11.42578125" style="34"/>
    <col min="10246" max="10246" width="14.140625" style="34" customWidth="1"/>
    <col min="10247" max="10247" width="11.42578125" style="34"/>
    <col min="10248" max="10248" width="14.28515625" style="34" customWidth="1"/>
    <col min="10249" max="10249" width="11.42578125" style="34"/>
    <col min="10250" max="10250" width="30" style="34" customWidth="1"/>
    <col min="10251" max="10251" width="29.42578125" style="34" customWidth="1"/>
    <col min="10252" max="10252" width="11.42578125" style="34"/>
    <col min="10253" max="10253" width="18.7109375" style="34" customWidth="1"/>
    <col min="10254" max="10254" width="28.140625" style="34" customWidth="1"/>
    <col min="10255" max="10255" width="11.42578125" style="34"/>
    <col min="10256" max="10256" width="19.5703125" style="34" customWidth="1"/>
    <col min="10257" max="10257" width="36.42578125" style="34" customWidth="1"/>
    <col min="10258" max="10258" width="46.7109375" style="34" customWidth="1"/>
    <col min="10259" max="10259" width="28" style="34" customWidth="1"/>
    <col min="10260" max="10260" width="16.42578125" style="34" customWidth="1"/>
    <col min="10261" max="10261" width="12.42578125" style="34" customWidth="1"/>
    <col min="10262" max="10273" width="11.42578125" style="34"/>
    <col min="10274" max="10274" width="13" style="34" customWidth="1"/>
    <col min="10275" max="10275" width="14.7109375" style="34" customWidth="1"/>
    <col min="10276" max="10276" width="34.28515625" style="34" customWidth="1"/>
    <col min="10277" max="10499" width="11.42578125" style="34"/>
    <col min="10500" max="10500" width="14.140625" style="34" customWidth="1"/>
    <col min="10501" max="10501" width="11.42578125" style="34"/>
    <col min="10502" max="10502" width="14.140625" style="34" customWidth="1"/>
    <col min="10503" max="10503" width="11.42578125" style="34"/>
    <col min="10504" max="10504" width="14.28515625" style="34" customWidth="1"/>
    <col min="10505" max="10505" width="11.42578125" style="34"/>
    <col min="10506" max="10506" width="30" style="34" customWidth="1"/>
    <col min="10507" max="10507" width="29.42578125" style="34" customWidth="1"/>
    <col min="10508" max="10508" width="11.42578125" style="34"/>
    <col min="10509" max="10509" width="18.7109375" style="34" customWidth="1"/>
    <col min="10510" max="10510" width="28.140625" style="34" customWidth="1"/>
    <col min="10511" max="10511" width="11.42578125" style="34"/>
    <col min="10512" max="10512" width="19.5703125" style="34" customWidth="1"/>
    <col min="10513" max="10513" width="36.42578125" style="34" customWidth="1"/>
    <col min="10514" max="10514" width="46.7109375" style="34" customWidth="1"/>
    <col min="10515" max="10515" width="28" style="34" customWidth="1"/>
    <col min="10516" max="10516" width="16.42578125" style="34" customWidth="1"/>
    <col min="10517" max="10517" width="12.42578125" style="34" customWidth="1"/>
    <col min="10518" max="10529" width="11.42578125" style="34"/>
    <col min="10530" max="10530" width="13" style="34" customWidth="1"/>
    <col min="10531" max="10531" width="14.7109375" style="34" customWidth="1"/>
    <col min="10532" max="10532" width="34.28515625" style="34" customWidth="1"/>
    <col min="10533" max="10755" width="11.42578125" style="34"/>
    <col min="10756" max="10756" width="14.140625" style="34" customWidth="1"/>
    <col min="10757" max="10757" width="11.42578125" style="34"/>
    <col min="10758" max="10758" width="14.140625" style="34" customWidth="1"/>
    <col min="10759" max="10759" width="11.42578125" style="34"/>
    <col min="10760" max="10760" width="14.28515625" style="34" customWidth="1"/>
    <col min="10761" max="10761" width="11.42578125" style="34"/>
    <col min="10762" max="10762" width="30" style="34" customWidth="1"/>
    <col min="10763" max="10763" width="29.42578125" style="34" customWidth="1"/>
    <col min="10764" max="10764" width="11.42578125" style="34"/>
    <col min="10765" max="10765" width="18.7109375" style="34" customWidth="1"/>
    <col min="10766" max="10766" width="28.140625" style="34" customWidth="1"/>
    <col min="10767" max="10767" width="11.42578125" style="34"/>
    <col min="10768" max="10768" width="19.5703125" style="34" customWidth="1"/>
    <col min="10769" max="10769" width="36.42578125" style="34" customWidth="1"/>
    <col min="10770" max="10770" width="46.7109375" style="34" customWidth="1"/>
    <col min="10771" max="10771" width="28" style="34" customWidth="1"/>
    <col min="10772" max="10772" width="16.42578125" style="34" customWidth="1"/>
    <col min="10773" max="10773" width="12.42578125" style="34" customWidth="1"/>
    <col min="10774" max="10785" width="11.42578125" style="34"/>
    <col min="10786" max="10786" width="13" style="34" customWidth="1"/>
    <col min="10787" max="10787" width="14.7109375" style="34" customWidth="1"/>
    <col min="10788" max="10788" width="34.28515625" style="34" customWidth="1"/>
    <col min="10789" max="11011" width="11.42578125" style="34"/>
    <col min="11012" max="11012" width="14.140625" style="34" customWidth="1"/>
    <col min="11013" max="11013" width="11.42578125" style="34"/>
    <col min="11014" max="11014" width="14.140625" style="34" customWidth="1"/>
    <col min="11015" max="11015" width="11.42578125" style="34"/>
    <col min="11016" max="11016" width="14.28515625" style="34" customWidth="1"/>
    <col min="11017" max="11017" width="11.42578125" style="34"/>
    <col min="11018" max="11018" width="30" style="34" customWidth="1"/>
    <col min="11019" max="11019" width="29.42578125" style="34" customWidth="1"/>
    <col min="11020" max="11020" width="11.42578125" style="34"/>
    <col min="11021" max="11021" width="18.7109375" style="34" customWidth="1"/>
    <col min="11022" max="11022" width="28.140625" style="34" customWidth="1"/>
    <col min="11023" max="11023" width="11.42578125" style="34"/>
    <col min="11024" max="11024" width="19.5703125" style="34" customWidth="1"/>
    <col min="11025" max="11025" width="36.42578125" style="34" customWidth="1"/>
    <col min="11026" max="11026" width="46.7109375" style="34" customWidth="1"/>
    <col min="11027" max="11027" width="28" style="34" customWidth="1"/>
    <col min="11028" max="11028" width="16.42578125" style="34" customWidth="1"/>
    <col min="11029" max="11029" width="12.42578125" style="34" customWidth="1"/>
    <col min="11030" max="11041" width="11.42578125" style="34"/>
    <col min="11042" max="11042" width="13" style="34" customWidth="1"/>
    <col min="11043" max="11043" width="14.7109375" style="34" customWidth="1"/>
    <col min="11044" max="11044" width="34.28515625" style="34" customWidth="1"/>
    <col min="11045" max="11267" width="11.42578125" style="34"/>
    <col min="11268" max="11268" width="14.140625" style="34" customWidth="1"/>
    <col min="11269" max="11269" width="11.42578125" style="34"/>
    <col min="11270" max="11270" width="14.140625" style="34" customWidth="1"/>
    <col min="11271" max="11271" width="11.42578125" style="34"/>
    <col min="11272" max="11272" width="14.28515625" style="34" customWidth="1"/>
    <col min="11273" max="11273" width="11.42578125" style="34"/>
    <col min="11274" max="11274" width="30" style="34" customWidth="1"/>
    <col min="11275" max="11275" width="29.42578125" style="34" customWidth="1"/>
    <col min="11276" max="11276" width="11.42578125" style="34"/>
    <col min="11277" max="11277" width="18.7109375" style="34" customWidth="1"/>
    <col min="11278" max="11278" width="28.140625" style="34" customWidth="1"/>
    <col min="11279" max="11279" width="11.42578125" style="34"/>
    <col min="11280" max="11280" width="19.5703125" style="34" customWidth="1"/>
    <col min="11281" max="11281" width="36.42578125" style="34" customWidth="1"/>
    <col min="11282" max="11282" width="46.7109375" style="34" customWidth="1"/>
    <col min="11283" max="11283" width="28" style="34" customWidth="1"/>
    <col min="11284" max="11284" width="16.42578125" style="34" customWidth="1"/>
    <col min="11285" max="11285" width="12.42578125" style="34" customWidth="1"/>
    <col min="11286" max="11297" width="11.42578125" style="34"/>
    <col min="11298" max="11298" width="13" style="34" customWidth="1"/>
    <col min="11299" max="11299" width="14.7109375" style="34" customWidth="1"/>
    <col min="11300" max="11300" width="34.28515625" style="34" customWidth="1"/>
    <col min="11301" max="11523" width="11.42578125" style="34"/>
    <col min="11524" max="11524" width="14.140625" style="34" customWidth="1"/>
    <col min="11525" max="11525" width="11.42578125" style="34"/>
    <col min="11526" max="11526" width="14.140625" style="34" customWidth="1"/>
    <col min="11527" max="11527" width="11.42578125" style="34"/>
    <col min="11528" max="11528" width="14.28515625" style="34" customWidth="1"/>
    <col min="11529" max="11529" width="11.42578125" style="34"/>
    <col min="11530" max="11530" width="30" style="34" customWidth="1"/>
    <col min="11531" max="11531" width="29.42578125" style="34" customWidth="1"/>
    <col min="11532" max="11532" width="11.42578125" style="34"/>
    <col min="11533" max="11533" width="18.7109375" style="34" customWidth="1"/>
    <col min="11534" max="11534" width="28.140625" style="34" customWidth="1"/>
    <col min="11535" max="11535" width="11.42578125" style="34"/>
    <col min="11536" max="11536" width="19.5703125" style="34" customWidth="1"/>
    <col min="11537" max="11537" width="36.42578125" style="34" customWidth="1"/>
    <col min="11538" max="11538" width="46.7109375" style="34" customWidth="1"/>
    <col min="11539" max="11539" width="28" style="34" customWidth="1"/>
    <col min="11540" max="11540" width="16.42578125" style="34" customWidth="1"/>
    <col min="11541" max="11541" width="12.42578125" style="34" customWidth="1"/>
    <col min="11542" max="11553" width="11.42578125" style="34"/>
    <col min="11554" max="11554" width="13" style="34" customWidth="1"/>
    <col min="11555" max="11555" width="14.7109375" style="34" customWidth="1"/>
    <col min="11556" max="11556" width="34.28515625" style="34" customWidth="1"/>
    <col min="11557" max="11779" width="11.42578125" style="34"/>
    <col min="11780" max="11780" width="14.140625" style="34" customWidth="1"/>
    <col min="11781" max="11781" width="11.42578125" style="34"/>
    <col min="11782" max="11782" width="14.140625" style="34" customWidth="1"/>
    <col min="11783" max="11783" width="11.42578125" style="34"/>
    <col min="11784" max="11784" width="14.28515625" style="34" customWidth="1"/>
    <col min="11785" max="11785" width="11.42578125" style="34"/>
    <col min="11786" max="11786" width="30" style="34" customWidth="1"/>
    <col min="11787" max="11787" width="29.42578125" style="34" customWidth="1"/>
    <col min="11788" max="11788" width="11.42578125" style="34"/>
    <col min="11789" max="11789" width="18.7109375" style="34" customWidth="1"/>
    <col min="11790" max="11790" width="28.140625" style="34" customWidth="1"/>
    <col min="11791" max="11791" width="11.42578125" style="34"/>
    <col min="11792" max="11792" width="19.5703125" style="34" customWidth="1"/>
    <col min="11793" max="11793" width="36.42578125" style="34" customWidth="1"/>
    <col min="11794" max="11794" width="46.7109375" style="34" customWidth="1"/>
    <col min="11795" max="11795" width="28" style="34" customWidth="1"/>
    <col min="11796" max="11796" width="16.42578125" style="34" customWidth="1"/>
    <col min="11797" max="11797" width="12.42578125" style="34" customWidth="1"/>
    <col min="11798" max="11809" width="11.42578125" style="34"/>
    <col min="11810" max="11810" width="13" style="34" customWidth="1"/>
    <col min="11811" max="11811" width="14.7109375" style="34" customWidth="1"/>
    <col min="11812" max="11812" width="34.28515625" style="34" customWidth="1"/>
    <col min="11813" max="12035" width="11.42578125" style="34"/>
    <col min="12036" max="12036" width="14.140625" style="34" customWidth="1"/>
    <col min="12037" max="12037" width="11.42578125" style="34"/>
    <col min="12038" max="12038" width="14.140625" style="34" customWidth="1"/>
    <col min="12039" max="12039" width="11.42578125" style="34"/>
    <col min="12040" max="12040" width="14.28515625" style="34" customWidth="1"/>
    <col min="12041" max="12041" width="11.42578125" style="34"/>
    <col min="12042" max="12042" width="30" style="34" customWidth="1"/>
    <col min="12043" max="12043" width="29.42578125" style="34" customWidth="1"/>
    <col min="12044" max="12044" width="11.42578125" style="34"/>
    <col min="12045" max="12045" width="18.7109375" style="34" customWidth="1"/>
    <col min="12046" max="12046" width="28.140625" style="34" customWidth="1"/>
    <col min="12047" max="12047" width="11.42578125" style="34"/>
    <col min="12048" max="12048" width="19.5703125" style="34" customWidth="1"/>
    <col min="12049" max="12049" width="36.42578125" style="34" customWidth="1"/>
    <col min="12050" max="12050" width="46.7109375" style="34" customWidth="1"/>
    <col min="12051" max="12051" width="28" style="34" customWidth="1"/>
    <col min="12052" max="12052" width="16.42578125" style="34" customWidth="1"/>
    <col min="12053" max="12053" width="12.42578125" style="34" customWidth="1"/>
    <col min="12054" max="12065" width="11.42578125" style="34"/>
    <col min="12066" max="12066" width="13" style="34" customWidth="1"/>
    <col min="12067" max="12067" width="14.7109375" style="34" customWidth="1"/>
    <col min="12068" max="12068" width="34.28515625" style="34" customWidth="1"/>
    <col min="12069" max="12291" width="11.42578125" style="34"/>
    <col min="12292" max="12292" width="14.140625" style="34" customWidth="1"/>
    <col min="12293" max="12293" width="11.42578125" style="34"/>
    <col min="12294" max="12294" width="14.140625" style="34" customWidth="1"/>
    <col min="12295" max="12295" width="11.42578125" style="34"/>
    <col min="12296" max="12296" width="14.28515625" style="34" customWidth="1"/>
    <col min="12297" max="12297" width="11.42578125" style="34"/>
    <col min="12298" max="12298" width="30" style="34" customWidth="1"/>
    <col min="12299" max="12299" width="29.42578125" style="34" customWidth="1"/>
    <col min="12300" max="12300" width="11.42578125" style="34"/>
    <col min="12301" max="12301" width="18.7109375" style="34" customWidth="1"/>
    <col min="12302" max="12302" width="28.140625" style="34" customWidth="1"/>
    <col min="12303" max="12303" width="11.42578125" style="34"/>
    <col min="12304" max="12304" width="19.5703125" style="34" customWidth="1"/>
    <col min="12305" max="12305" width="36.42578125" style="34" customWidth="1"/>
    <col min="12306" max="12306" width="46.7109375" style="34" customWidth="1"/>
    <col min="12307" max="12307" width="28" style="34" customWidth="1"/>
    <col min="12308" max="12308" width="16.42578125" style="34" customWidth="1"/>
    <col min="12309" max="12309" width="12.42578125" style="34" customWidth="1"/>
    <col min="12310" max="12321" width="11.42578125" style="34"/>
    <col min="12322" max="12322" width="13" style="34" customWidth="1"/>
    <col min="12323" max="12323" width="14.7109375" style="34" customWidth="1"/>
    <col min="12324" max="12324" width="34.28515625" style="34" customWidth="1"/>
    <col min="12325" max="12547" width="11.42578125" style="34"/>
    <col min="12548" max="12548" width="14.140625" style="34" customWidth="1"/>
    <col min="12549" max="12549" width="11.42578125" style="34"/>
    <col min="12550" max="12550" width="14.140625" style="34" customWidth="1"/>
    <col min="12551" max="12551" width="11.42578125" style="34"/>
    <col min="12552" max="12552" width="14.28515625" style="34" customWidth="1"/>
    <col min="12553" max="12553" width="11.42578125" style="34"/>
    <col min="12554" max="12554" width="30" style="34" customWidth="1"/>
    <col min="12555" max="12555" width="29.42578125" style="34" customWidth="1"/>
    <col min="12556" max="12556" width="11.42578125" style="34"/>
    <col min="12557" max="12557" width="18.7109375" style="34" customWidth="1"/>
    <col min="12558" max="12558" width="28.140625" style="34" customWidth="1"/>
    <col min="12559" max="12559" width="11.42578125" style="34"/>
    <col min="12560" max="12560" width="19.5703125" style="34" customWidth="1"/>
    <col min="12561" max="12561" width="36.42578125" style="34" customWidth="1"/>
    <col min="12562" max="12562" width="46.7109375" style="34" customWidth="1"/>
    <col min="12563" max="12563" width="28" style="34" customWidth="1"/>
    <col min="12564" max="12564" width="16.42578125" style="34" customWidth="1"/>
    <col min="12565" max="12565" width="12.42578125" style="34" customWidth="1"/>
    <col min="12566" max="12577" width="11.42578125" style="34"/>
    <col min="12578" max="12578" width="13" style="34" customWidth="1"/>
    <col min="12579" max="12579" width="14.7109375" style="34" customWidth="1"/>
    <col min="12580" max="12580" width="34.28515625" style="34" customWidth="1"/>
    <col min="12581" max="12803" width="11.42578125" style="34"/>
    <col min="12804" max="12804" width="14.140625" style="34" customWidth="1"/>
    <col min="12805" max="12805" width="11.42578125" style="34"/>
    <col min="12806" max="12806" width="14.140625" style="34" customWidth="1"/>
    <col min="12807" max="12807" width="11.42578125" style="34"/>
    <col min="12808" max="12808" width="14.28515625" style="34" customWidth="1"/>
    <col min="12809" max="12809" width="11.42578125" style="34"/>
    <col min="12810" max="12810" width="30" style="34" customWidth="1"/>
    <col min="12811" max="12811" width="29.42578125" style="34" customWidth="1"/>
    <col min="12812" max="12812" width="11.42578125" style="34"/>
    <col min="12813" max="12813" width="18.7109375" style="34" customWidth="1"/>
    <col min="12814" max="12814" width="28.140625" style="34" customWidth="1"/>
    <col min="12815" max="12815" width="11.42578125" style="34"/>
    <col min="12816" max="12816" width="19.5703125" style="34" customWidth="1"/>
    <col min="12817" max="12817" width="36.42578125" style="34" customWidth="1"/>
    <col min="12818" max="12818" width="46.7109375" style="34" customWidth="1"/>
    <col min="12819" max="12819" width="28" style="34" customWidth="1"/>
    <col min="12820" max="12820" width="16.42578125" style="34" customWidth="1"/>
    <col min="12821" max="12821" width="12.42578125" style="34" customWidth="1"/>
    <col min="12822" max="12833" width="11.42578125" style="34"/>
    <col min="12834" max="12834" width="13" style="34" customWidth="1"/>
    <col min="12835" max="12835" width="14.7109375" style="34" customWidth="1"/>
    <col min="12836" max="12836" width="34.28515625" style="34" customWidth="1"/>
    <col min="12837" max="13059" width="11.42578125" style="34"/>
    <col min="13060" max="13060" width="14.140625" style="34" customWidth="1"/>
    <col min="13061" max="13061" width="11.42578125" style="34"/>
    <col min="13062" max="13062" width="14.140625" style="34" customWidth="1"/>
    <col min="13063" max="13063" width="11.42578125" style="34"/>
    <col min="13064" max="13064" width="14.28515625" style="34" customWidth="1"/>
    <col min="13065" max="13065" width="11.42578125" style="34"/>
    <col min="13066" max="13066" width="30" style="34" customWidth="1"/>
    <col min="13067" max="13067" width="29.42578125" style="34" customWidth="1"/>
    <col min="13068" max="13068" width="11.42578125" style="34"/>
    <col min="13069" max="13069" width="18.7109375" style="34" customWidth="1"/>
    <col min="13070" max="13070" width="28.140625" style="34" customWidth="1"/>
    <col min="13071" max="13071" width="11.42578125" style="34"/>
    <col min="13072" max="13072" width="19.5703125" style="34" customWidth="1"/>
    <col min="13073" max="13073" width="36.42578125" style="34" customWidth="1"/>
    <col min="13074" max="13074" width="46.7109375" style="34" customWidth="1"/>
    <col min="13075" max="13075" width="28" style="34" customWidth="1"/>
    <col min="13076" max="13076" width="16.42578125" style="34" customWidth="1"/>
    <col min="13077" max="13077" width="12.42578125" style="34" customWidth="1"/>
    <col min="13078" max="13089" width="11.42578125" style="34"/>
    <col min="13090" max="13090" width="13" style="34" customWidth="1"/>
    <col min="13091" max="13091" width="14.7109375" style="34" customWidth="1"/>
    <col min="13092" max="13092" width="34.28515625" style="34" customWidth="1"/>
    <col min="13093" max="13315" width="11.42578125" style="34"/>
    <col min="13316" max="13316" width="14.140625" style="34" customWidth="1"/>
    <col min="13317" max="13317" width="11.42578125" style="34"/>
    <col min="13318" max="13318" width="14.140625" style="34" customWidth="1"/>
    <col min="13319" max="13319" width="11.42578125" style="34"/>
    <col min="13320" max="13320" width="14.28515625" style="34" customWidth="1"/>
    <col min="13321" max="13321" width="11.42578125" style="34"/>
    <col min="13322" max="13322" width="30" style="34" customWidth="1"/>
    <col min="13323" max="13323" width="29.42578125" style="34" customWidth="1"/>
    <col min="13324" max="13324" width="11.42578125" style="34"/>
    <col min="13325" max="13325" width="18.7109375" style="34" customWidth="1"/>
    <col min="13326" max="13326" width="28.140625" style="34" customWidth="1"/>
    <col min="13327" max="13327" width="11.42578125" style="34"/>
    <col min="13328" max="13328" width="19.5703125" style="34" customWidth="1"/>
    <col min="13329" max="13329" width="36.42578125" style="34" customWidth="1"/>
    <col min="13330" max="13330" width="46.7109375" style="34" customWidth="1"/>
    <col min="13331" max="13331" width="28" style="34" customWidth="1"/>
    <col min="13332" max="13332" width="16.42578125" style="34" customWidth="1"/>
    <col min="13333" max="13333" width="12.42578125" style="34" customWidth="1"/>
    <col min="13334" max="13345" width="11.42578125" style="34"/>
    <col min="13346" max="13346" width="13" style="34" customWidth="1"/>
    <col min="13347" max="13347" width="14.7109375" style="34" customWidth="1"/>
    <col min="13348" max="13348" width="34.28515625" style="34" customWidth="1"/>
    <col min="13349" max="13571" width="11.42578125" style="34"/>
    <col min="13572" max="13572" width="14.140625" style="34" customWidth="1"/>
    <col min="13573" max="13573" width="11.42578125" style="34"/>
    <col min="13574" max="13574" width="14.140625" style="34" customWidth="1"/>
    <col min="13575" max="13575" width="11.42578125" style="34"/>
    <col min="13576" max="13576" width="14.28515625" style="34" customWidth="1"/>
    <col min="13577" max="13577" width="11.42578125" style="34"/>
    <col min="13578" max="13578" width="30" style="34" customWidth="1"/>
    <col min="13579" max="13579" width="29.42578125" style="34" customWidth="1"/>
    <col min="13580" max="13580" width="11.42578125" style="34"/>
    <col min="13581" max="13581" width="18.7109375" style="34" customWidth="1"/>
    <col min="13582" max="13582" width="28.140625" style="34" customWidth="1"/>
    <col min="13583" max="13583" width="11.42578125" style="34"/>
    <col min="13584" max="13584" width="19.5703125" style="34" customWidth="1"/>
    <col min="13585" max="13585" width="36.42578125" style="34" customWidth="1"/>
    <col min="13586" max="13586" width="46.7109375" style="34" customWidth="1"/>
    <col min="13587" max="13587" width="28" style="34" customWidth="1"/>
    <col min="13588" max="13588" width="16.42578125" style="34" customWidth="1"/>
    <col min="13589" max="13589" width="12.42578125" style="34" customWidth="1"/>
    <col min="13590" max="13601" width="11.42578125" style="34"/>
    <col min="13602" max="13602" width="13" style="34" customWidth="1"/>
    <col min="13603" max="13603" width="14.7109375" style="34" customWidth="1"/>
    <col min="13604" max="13604" width="34.28515625" style="34" customWidth="1"/>
    <col min="13605" max="13827" width="11.42578125" style="34"/>
    <col min="13828" max="13828" width="14.140625" style="34" customWidth="1"/>
    <col min="13829" max="13829" width="11.42578125" style="34"/>
    <col min="13830" max="13830" width="14.140625" style="34" customWidth="1"/>
    <col min="13831" max="13831" width="11.42578125" style="34"/>
    <col min="13832" max="13832" width="14.28515625" style="34" customWidth="1"/>
    <col min="13833" max="13833" width="11.42578125" style="34"/>
    <col min="13834" max="13834" width="30" style="34" customWidth="1"/>
    <col min="13835" max="13835" width="29.42578125" style="34" customWidth="1"/>
    <col min="13836" max="13836" width="11.42578125" style="34"/>
    <col min="13837" max="13837" width="18.7109375" style="34" customWidth="1"/>
    <col min="13838" max="13838" width="28.140625" style="34" customWidth="1"/>
    <col min="13839" max="13839" width="11.42578125" style="34"/>
    <col min="13840" max="13840" width="19.5703125" style="34" customWidth="1"/>
    <col min="13841" max="13841" width="36.42578125" style="34" customWidth="1"/>
    <col min="13842" max="13842" width="46.7109375" style="34" customWidth="1"/>
    <col min="13843" max="13843" width="28" style="34" customWidth="1"/>
    <col min="13844" max="13844" width="16.42578125" style="34" customWidth="1"/>
    <col min="13845" max="13845" width="12.42578125" style="34" customWidth="1"/>
    <col min="13846" max="13857" width="11.42578125" style="34"/>
    <col min="13858" max="13858" width="13" style="34" customWidth="1"/>
    <col min="13859" max="13859" width="14.7109375" style="34" customWidth="1"/>
    <col min="13860" max="13860" width="34.28515625" style="34" customWidth="1"/>
    <col min="13861" max="14083" width="11.42578125" style="34"/>
    <col min="14084" max="14084" width="14.140625" style="34" customWidth="1"/>
    <col min="14085" max="14085" width="11.42578125" style="34"/>
    <col min="14086" max="14086" width="14.140625" style="34" customWidth="1"/>
    <col min="14087" max="14087" width="11.42578125" style="34"/>
    <col min="14088" max="14088" width="14.28515625" style="34" customWidth="1"/>
    <col min="14089" max="14089" width="11.42578125" style="34"/>
    <col min="14090" max="14090" width="30" style="34" customWidth="1"/>
    <col min="14091" max="14091" width="29.42578125" style="34" customWidth="1"/>
    <col min="14092" max="14092" width="11.42578125" style="34"/>
    <col min="14093" max="14093" width="18.7109375" style="34" customWidth="1"/>
    <col min="14094" max="14094" width="28.140625" style="34" customWidth="1"/>
    <col min="14095" max="14095" width="11.42578125" style="34"/>
    <col min="14096" max="14096" width="19.5703125" style="34" customWidth="1"/>
    <col min="14097" max="14097" width="36.42578125" style="34" customWidth="1"/>
    <col min="14098" max="14098" width="46.7109375" style="34" customWidth="1"/>
    <col min="14099" max="14099" width="28" style="34" customWidth="1"/>
    <col min="14100" max="14100" width="16.42578125" style="34" customWidth="1"/>
    <col min="14101" max="14101" width="12.42578125" style="34" customWidth="1"/>
    <col min="14102" max="14113" width="11.42578125" style="34"/>
    <col min="14114" max="14114" width="13" style="34" customWidth="1"/>
    <col min="14115" max="14115" width="14.7109375" style="34" customWidth="1"/>
    <col min="14116" max="14116" width="34.28515625" style="34" customWidth="1"/>
    <col min="14117" max="14339" width="11.42578125" style="34"/>
    <col min="14340" max="14340" width="14.140625" style="34" customWidth="1"/>
    <col min="14341" max="14341" width="11.42578125" style="34"/>
    <col min="14342" max="14342" width="14.140625" style="34" customWidth="1"/>
    <col min="14343" max="14343" width="11.42578125" style="34"/>
    <col min="14344" max="14344" width="14.28515625" style="34" customWidth="1"/>
    <col min="14345" max="14345" width="11.42578125" style="34"/>
    <col min="14346" max="14346" width="30" style="34" customWidth="1"/>
    <col min="14347" max="14347" width="29.42578125" style="34" customWidth="1"/>
    <col min="14348" max="14348" width="11.42578125" style="34"/>
    <col min="14349" max="14349" width="18.7109375" style="34" customWidth="1"/>
    <col min="14350" max="14350" width="28.140625" style="34" customWidth="1"/>
    <col min="14351" max="14351" width="11.42578125" style="34"/>
    <col min="14352" max="14352" width="19.5703125" style="34" customWidth="1"/>
    <col min="14353" max="14353" width="36.42578125" style="34" customWidth="1"/>
    <col min="14354" max="14354" width="46.7109375" style="34" customWidth="1"/>
    <col min="14355" max="14355" width="28" style="34" customWidth="1"/>
    <col min="14356" max="14356" width="16.42578125" style="34" customWidth="1"/>
    <col min="14357" max="14357" width="12.42578125" style="34" customWidth="1"/>
    <col min="14358" max="14369" width="11.42578125" style="34"/>
    <col min="14370" max="14370" width="13" style="34" customWidth="1"/>
    <col min="14371" max="14371" width="14.7109375" style="34" customWidth="1"/>
    <col min="14372" max="14372" width="34.28515625" style="34" customWidth="1"/>
    <col min="14373" max="14595" width="11.42578125" style="34"/>
    <col min="14596" max="14596" width="14.140625" style="34" customWidth="1"/>
    <col min="14597" max="14597" width="11.42578125" style="34"/>
    <col min="14598" max="14598" width="14.140625" style="34" customWidth="1"/>
    <col min="14599" max="14599" width="11.42578125" style="34"/>
    <col min="14600" max="14600" width="14.28515625" style="34" customWidth="1"/>
    <col min="14601" max="14601" width="11.42578125" style="34"/>
    <col min="14602" max="14602" width="30" style="34" customWidth="1"/>
    <col min="14603" max="14603" width="29.42578125" style="34" customWidth="1"/>
    <col min="14604" max="14604" width="11.42578125" style="34"/>
    <col min="14605" max="14605" width="18.7109375" style="34" customWidth="1"/>
    <col min="14606" max="14606" width="28.140625" style="34" customWidth="1"/>
    <col min="14607" max="14607" width="11.42578125" style="34"/>
    <col min="14608" max="14608" width="19.5703125" style="34" customWidth="1"/>
    <col min="14609" max="14609" width="36.42578125" style="34" customWidth="1"/>
    <col min="14610" max="14610" width="46.7109375" style="34" customWidth="1"/>
    <col min="14611" max="14611" width="28" style="34" customWidth="1"/>
    <col min="14612" max="14612" width="16.42578125" style="34" customWidth="1"/>
    <col min="14613" max="14613" width="12.42578125" style="34" customWidth="1"/>
    <col min="14614" max="14625" width="11.42578125" style="34"/>
    <col min="14626" max="14626" width="13" style="34" customWidth="1"/>
    <col min="14627" max="14627" width="14.7109375" style="34" customWidth="1"/>
    <col min="14628" max="14628" width="34.28515625" style="34" customWidth="1"/>
    <col min="14629" max="14851" width="11.42578125" style="34"/>
    <col min="14852" max="14852" width="14.140625" style="34" customWidth="1"/>
    <col min="14853" max="14853" width="11.42578125" style="34"/>
    <col min="14854" max="14854" width="14.140625" style="34" customWidth="1"/>
    <col min="14855" max="14855" width="11.42578125" style="34"/>
    <col min="14856" max="14856" width="14.28515625" style="34" customWidth="1"/>
    <col min="14857" max="14857" width="11.42578125" style="34"/>
    <col min="14858" max="14858" width="30" style="34" customWidth="1"/>
    <col min="14859" max="14859" width="29.42578125" style="34" customWidth="1"/>
    <col min="14860" max="14860" width="11.42578125" style="34"/>
    <col min="14861" max="14861" width="18.7109375" style="34" customWidth="1"/>
    <col min="14862" max="14862" width="28.140625" style="34" customWidth="1"/>
    <col min="14863" max="14863" width="11.42578125" style="34"/>
    <col min="14864" max="14864" width="19.5703125" style="34" customWidth="1"/>
    <col min="14865" max="14865" width="36.42578125" style="34" customWidth="1"/>
    <col min="14866" max="14866" width="46.7109375" style="34" customWidth="1"/>
    <col min="14867" max="14867" width="28" style="34" customWidth="1"/>
    <col min="14868" max="14868" width="16.42578125" style="34" customWidth="1"/>
    <col min="14869" max="14869" width="12.42578125" style="34" customWidth="1"/>
    <col min="14870" max="14881" width="11.42578125" style="34"/>
    <col min="14882" max="14882" width="13" style="34" customWidth="1"/>
    <col min="14883" max="14883" width="14.7109375" style="34" customWidth="1"/>
    <col min="14884" max="14884" width="34.28515625" style="34" customWidth="1"/>
    <col min="14885" max="15107" width="11.42578125" style="34"/>
    <col min="15108" max="15108" width="14.140625" style="34" customWidth="1"/>
    <col min="15109" max="15109" width="11.42578125" style="34"/>
    <col min="15110" max="15110" width="14.140625" style="34" customWidth="1"/>
    <col min="15111" max="15111" width="11.42578125" style="34"/>
    <col min="15112" max="15112" width="14.28515625" style="34" customWidth="1"/>
    <col min="15113" max="15113" width="11.42578125" style="34"/>
    <col min="15114" max="15114" width="30" style="34" customWidth="1"/>
    <col min="15115" max="15115" width="29.42578125" style="34" customWidth="1"/>
    <col min="15116" max="15116" width="11.42578125" style="34"/>
    <col min="15117" max="15117" width="18.7109375" style="34" customWidth="1"/>
    <col min="15118" max="15118" width="28.140625" style="34" customWidth="1"/>
    <col min="15119" max="15119" width="11.42578125" style="34"/>
    <col min="15120" max="15120" width="19.5703125" style="34" customWidth="1"/>
    <col min="15121" max="15121" width="36.42578125" style="34" customWidth="1"/>
    <col min="15122" max="15122" width="46.7109375" style="34" customWidth="1"/>
    <col min="15123" max="15123" width="28" style="34" customWidth="1"/>
    <col min="15124" max="15124" width="16.42578125" style="34" customWidth="1"/>
    <col min="15125" max="15125" width="12.42578125" style="34" customWidth="1"/>
    <col min="15126" max="15137" width="11.42578125" style="34"/>
    <col min="15138" max="15138" width="13" style="34" customWidth="1"/>
    <col min="15139" max="15139" width="14.7109375" style="34" customWidth="1"/>
    <col min="15140" max="15140" width="34.28515625" style="34" customWidth="1"/>
    <col min="15141" max="15363" width="11.42578125" style="34"/>
    <col min="15364" max="15364" width="14.140625" style="34" customWidth="1"/>
    <col min="15365" max="15365" width="11.42578125" style="34"/>
    <col min="15366" max="15366" width="14.140625" style="34" customWidth="1"/>
    <col min="15367" max="15367" width="11.42578125" style="34"/>
    <col min="15368" max="15368" width="14.28515625" style="34" customWidth="1"/>
    <col min="15369" max="15369" width="11.42578125" style="34"/>
    <col min="15370" max="15370" width="30" style="34" customWidth="1"/>
    <col min="15371" max="15371" width="29.42578125" style="34" customWidth="1"/>
    <col min="15372" max="15372" width="11.42578125" style="34"/>
    <col min="15373" max="15373" width="18.7109375" style="34" customWidth="1"/>
    <col min="15374" max="15374" width="28.140625" style="34" customWidth="1"/>
    <col min="15375" max="15375" width="11.42578125" style="34"/>
    <col min="15376" max="15376" width="19.5703125" style="34" customWidth="1"/>
    <col min="15377" max="15377" width="36.42578125" style="34" customWidth="1"/>
    <col min="15378" max="15378" width="46.7109375" style="34" customWidth="1"/>
    <col min="15379" max="15379" width="28" style="34" customWidth="1"/>
    <col min="15380" max="15380" width="16.42578125" style="34" customWidth="1"/>
    <col min="15381" max="15381" width="12.42578125" style="34" customWidth="1"/>
    <col min="15382" max="15393" width="11.42578125" style="34"/>
    <col min="15394" max="15394" width="13" style="34" customWidth="1"/>
    <col min="15395" max="15395" width="14.7109375" style="34" customWidth="1"/>
    <col min="15396" max="15396" width="34.28515625" style="34" customWidth="1"/>
    <col min="15397" max="15619" width="11.42578125" style="34"/>
    <col min="15620" max="15620" width="14.140625" style="34" customWidth="1"/>
    <col min="15621" max="15621" width="11.42578125" style="34"/>
    <col min="15622" max="15622" width="14.140625" style="34" customWidth="1"/>
    <col min="15623" max="15623" width="11.42578125" style="34"/>
    <col min="15624" max="15624" width="14.28515625" style="34" customWidth="1"/>
    <col min="15625" max="15625" width="11.42578125" style="34"/>
    <col min="15626" max="15626" width="30" style="34" customWidth="1"/>
    <col min="15627" max="15627" width="29.42578125" style="34" customWidth="1"/>
    <col min="15628" max="15628" width="11.42578125" style="34"/>
    <col min="15629" max="15629" width="18.7109375" style="34" customWidth="1"/>
    <col min="15630" max="15630" width="28.140625" style="34" customWidth="1"/>
    <col min="15631" max="15631" width="11.42578125" style="34"/>
    <col min="15632" max="15632" width="19.5703125" style="34" customWidth="1"/>
    <col min="15633" max="15633" width="36.42578125" style="34" customWidth="1"/>
    <col min="15634" max="15634" width="46.7109375" style="34" customWidth="1"/>
    <col min="15635" max="15635" width="28" style="34" customWidth="1"/>
    <col min="15636" max="15636" width="16.42578125" style="34" customWidth="1"/>
    <col min="15637" max="15637" width="12.42578125" style="34" customWidth="1"/>
    <col min="15638" max="15649" width="11.42578125" style="34"/>
    <col min="15650" max="15650" width="13" style="34" customWidth="1"/>
    <col min="15651" max="15651" width="14.7109375" style="34" customWidth="1"/>
    <col min="15652" max="15652" width="34.28515625" style="34" customWidth="1"/>
    <col min="15653" max="15875" width="11.42578125" style="34"/>
    <col min="15876" max="15876" width="14.140625" style="34" customWidth="1"/>
    <col min="15877" max="15877" width="11.42578125" style="34"/>
    <col min="15878" max="15878" width="14.140625" style="34" customWidth="1"/>
    <col min="15879" max="15879" width="11.42578125" style="34"/>
    <col min="15880" max="15880" width="14.28515625" style="34" customWidth="1"/>
    <col min="15881" max="15881" width="11.42578125" style="34"/>
    <col min="15882" max="15882" width="30" style="34" customWidth="1"/>
    <col min="15883" max="15883" width="29.42578125" style="34" customWidth="1"/>
    <col min="15884" max="15884" width="11.42578125" style="34"/>
    <col min="15885" max="15885" width="18.7109375" style="34" customWidth="1"/>
    <col min="15886" max="15886" width="28.140625" style="34" customWidth="1"/>
    <col min="15887" max="15887" width="11.42578125" style="34"/>
    <col min="15888" max="15888" width="19.5703125" style="34" customWidth="1"/>
    <col min="15889" max="15889" width="36.42578125" style="34" customWidth="1"/>
    <col min="15890" max="15890" width="46.7109375" style="34" customWidth="1"/>
    <col min="15891" max="15891" width="28" style="34" customWidth="1"/>
    <col min="15892" max="15892" width="16.42578125" style="34" customWidth="1"/>
    <col min="15893" max="15893" width="12.42578125" style="34" customWidth="1"/>
    <col min="15894" max="15905" width="11.42578125" style="34"/>
    <col min="15906" max="15906" width="13" style="34" customWidth="1"/>
    <col min="15907" max="15907" width="14.7109375" style="34" customWidth="1"/>
    <col min="15908" max="15908" width="34.28515625" style="34" customWidth="1"/>
    <col min="15909" max="16131" width="11.42578125" style="34"/>
    <col min="16132" max="16132" width="14.140625" style="34" customWidth="1"/>
    <col min="16133" max="16133" width="11.42578125" style="34"/>
    <col min="16134" max="16134" width="14.140625" style="34" customWidth="1"/>
    <col min="16135" max="16135" width="11.42578125" style="34"/>
    <col min="16136" max="16136" width="14.28515625" style="34" customWidth="1"/>
    <col min="16137" max="16137" width="11.42578125" style="34"/>
    <col min="16138" max="16138" width="30" style="34" customWidth="1"/>
    <col min="16139" max="16139" width="29.42578125" style="34" customWidth="1"/>
    <col min="16140" max="16140" width="11.42578125" style="34"/>
    <col min="16141" max="16141" width="18.7109375" style="34" customWidth="1"/>
    <col min="16142" max="16142" width="28.140625" style="34" customWidth="1"/>
    <col min="16143" max="16143" width="11.42578125" style="34"/>
    <col min="16144" max="16144" width="19.5703125" style="34" customWidth="1"/>
    <col min="16145" max="16145" width="36.42578125" style="34" customWidth="1"/>
    <col min="16146" max="16146" width="46.7109375" style="34" customWidth="1"/>
    <col min="16147" max="16147" width="28" style="34" customWidth="1"/>
    <col min="16148" max="16148" width="16.42578125" style="34" customWidth="1"/>
    <col min="16149" max="16149" width="12.42578125" style="34" customWidth="1"/>
    <col min="16150" max="16161" width="11.42578125" style="34"/>
    <col min="16162" max="16162" width="13" style="34" customWidth="1"/>
    <col min="16163" max="16163" width="14.7109375" style="34" customWidth="1"/>
    <col min="16164" max="16164" width="34.28515625" style="34" customWidth="1"/>
    <col min="16165" max="16384" width="11.42578125" style="34"/>
  </cols>
  <sheetData>
    <row r="1" spans="1:37" ht="15" customHeight="1" x14ac:dyDescent="0.25">
      <c r="A1" s="1747" t="s">
        <v>1786</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8"/>
      <c r="AI1" s="769" t="s">
        <v>0</v>
      </c>
      <c r="AJ1" s="245" t="s">
        <v>1784</v>
      </c>
      <c r="AK1" s="33"/>
    </row>
    <row r="2" spans="1:37" ht="15" x14ac:dyDescent="0.25">
      <c r="A2" s="1747"/>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8"/>
      <c r="AI2" s="770" t="s">
        <v>1</v>
      </c>
      <c r="AJ2" s="246">
        <v>5</v>
      </c>
      <c r="AK2" s="33"/>
    </row>
    <row r="3" spans="1:37" ht="21.75" customHeight="1" x14ac:dyDescent="0.25">
      <c r="A3" s="1747" t="s">
        <v>535</v>
      </c>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8"/>
      <c r="AI3" s="769" t="s">
        <v>2</v>
      </c>
      <c r="AJ3" s="247" t="s">
        <v>1785</v>
      </c>
      <c r="AK3" s="33"/>
    </row>
    <row r="4" spans="1:37" s="36" customFormat="1" ht="27.75" customHeight="1" x14ac:dyDescent="0.2">
      <c r="A4" s="1750" t="s">
        <v>119</v>
      </c>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1"/>
      <c r="AI4" s="772" t="s">
        <v>3</v>
      </c>
      <c r="AJ4" s="248" t="s">
        <v>4</v>
      </c>
      <c r="AK4" s="35"/>
    </row>
    <row r="5" spans="1:37" ht="24" customHeight="1" x14ac:dyDescent="0.2">
      <c r="A5" s="1757" t="s">
        <v>536</v>
      </c>
      <c r="B5" s="1758"/>
      <c r="C5" s="1758"/>
      <c r="D5" s="1758"/>
      <c r="E5" s="1758"/>
      <c r="F5" s="1758"/>
      <c r="G5" s="1758"/>
      <c r="H5" s="1758"/>
      <c r="I5" s="1758"/>
      <c r="J5" s="1758"/>
      <c r="K5" s="1757" t="s">
        <v>6</v>
      </c>
      <c r="L5" s="1758"/>
      <c r="M5" s="1758"/>
      <c r="N5" s="1758"/>
      <c r="O5" s="1758"/>
      <c r="P5" s="1758"/>
      <c r="Q5" s="1758"/>
      <c r="R5" s="1758"/>
      <c r="S5" s="1758"/>
      <c r="T5" s="1758"/>
      <c r="U5" s="1758"/>
      <c r="V5" s="1758" t="s">
        <v>7</v>
      </c>
      <c r="W5" s="1758"/>
      <c r="X5" s="1758"/>
      <c r="Y5" s="1758"/>
      <c r="Z5" s="1758"/>
      <c r="AA5" s="1758"/>
      <c r="AB5" s="1758"/>
      <c r="AC5" s="1758"/>
      <c r="AD5" s="1758"/>
      <c r="AE5" s="1758"/>
      <c r="AF5" s="1758"/>
      <c r="AG5" s="1758"/>
      <c r="AH5" s="1758"/>
      <c r="AI5" s="1758"/>
      <c r="AJ5" s="1762"/>
      <c r="AK5" s="37"/>
    </row>
    <row r="6" spans="1:37" ht="24" customHeight="1" x14ac:dyDescent="0.2">
      <c r="A6" s="1759"/>
      <c r="B6" s="1760"/>
      <c r="C6" s="1760"/>
      <c r="D6" s="1760"/>
      <c r="E6" s="1760"/>
      <c r="F6" s="1760"/>
      <c r="G6" s="1760"/>
      <c r="H6" s="1760"/>
      <c r="I6" s="1760"/>
      <c r="J6" s="1760"/>
      <c r="K6" s="1759"/>
      <c r="L6" s="1760"/>
      <c r="M6" s="1760"/>
      <c r="N6" s="1760"/>
      <c r="O6" s="1760"/>
      <c r="P6" s="1760"/>
      <c r="Q6" s="1760"/>
      <c r="R6" s="1760"/>
      <c r="S6" s="1760"/>
      <c r="T6" s="1760"/>
      <c r="U6" s="1760"/>
      <c r="V6" s="1760"/>
      <c r="W6" s="1760"/>
      <c r="X6" s="1760"/>
      <c r="Y6" s="1760"/>
      <c r="Z6" s="1760"/>
      <c r="AA6" s="1760"/>
      <c r="AB6" s="1760"/>
      <c r="AC6" s="1760"/>
      <c r="AD6" s="1760"/>
      <c r="AE6" s="1760"/>
      <c r="AF6" s="1760"/>
      <c r="AG6" s="1760"/>
      <c r="AH6" s="1806"/>
      <c r="AI6" s="1806"/>
      <c r="AJ6" s="2060"/>
    </row>
    <row r="7" spans="1:37" ht="30" customHeight="1" x14ac:dyDescent="0.2">
      <c r="A7" s="2911" t="s">
        <v>8</v>
      </c>
      <c r="B7" s="2909" t="s">
        <v>9</v>
      </c>
      <c r="C7" s="2909" t="s">
        <v>8</v>
      </c>
      <c r="D7" s="2909" t="s">
        <v>10</v>
      </c>
      <c r="E7" s="2909" t="s">
        <v>8</v>
      </c>
      <c r="F7" s="2909" t="s">
        <v>11</v>
      </c>
      <c r="G7" s="2909" t="s">
        <v>8</v>
      </c>
      <c r="H7" s="2909" t="s">
        <v>12</v>
      </c>
      <c r="I7" s="2909" t="s">
        <v>13</v>
      </c>
      <c r="J7" s="2909" t="s">
        <v>14</v>
      </c>
      <c r="K7" s="2909" t="s">
        <v>15</v>
      </c>
      <c r="L7" s="2909" t="s">
        <v>16</v>
      </c>
      <c r="M7" s="2909" t="s">
        <v>6</v>
      </c>
      <c r="N7" s="2909" t="s">
        <v>17</v>
      </c>
      <c r="O7" s="2913" t="s">
        <v>18</v>
      </c>
      <c r="P7" s="2909" t="s">
        <v>19</v>
      </c>
      <c r="Q7" s="2909" t="s">
        <v>20</v>
      </c>
      <c r="R7" s="2909" t="s">
        <v>21</v>
      </c>
      <c r="S7" s="2913" t="s">
        <v>18</v>
      </c>
      <c r="T7" s="2909" t="s">
        <v>8</v>
      </c>
      <c r="U7" s="2602" t="s">
        <v>22</v>
      </c>
      <c r="V7" s="2589" t="s">
        <v>23</v>
      </c>
      <c r="W7" s="2590"/>
      <c r="X7" s="2590"/>
      <c r="Y7" s="2590"/>
      <c r="Z7" s="2590"/>
      <c r="AA7" s="2590"/>
      <c r="AB7" s="2595" t="s">
        <v>24</v>
      </c>
      <c r="AC7" s="2591"/>
      <c r="AD7" s="2591"/>
      <c r="AE7" s="2591"/>
      <c r="AF7" s="2591"/>
      <c r="AG7" s="2591"/>
      <c r="AH7" s="147"/>
      <c r="AI7" s="148"/>
      <c r="AJ7" s="149"/>
    </row>
    <row r="8" spans="1:37" ht="92.25" customHeight="1" x14ac:dyDescent="0.2">
      <c r="A8" s="2912"/>
      <c r="B8" s="2910"/>
      <c r="C8" s="2910"/>
      <c r="D8" s="2910"/>
      <c r="E8" s="2910"/>
      <c r="F8" s="2910"/>
      <c r="G8" s="2910"/>
      <c r="H8" s="2910"/>
      <c r="I8" s="2910"/>
      <c r="J8" s="2910"/>
      <c r="K8" s="2910"/>
      <c r="L8" s="2910"/>
      <c r="M8" s="2910"/>
      <c r="N8" s="2910"/>
      <c r="O8" s="2914"/>
      <c r="P8" s="2910"/>
      <c r="Q8" s="2910"/>
      <c r="R8" s="2910"/>
      <c r="S8" s="2914"/>
      <c r="T8" s="2910"/>
      <c r="U8" s="2603"/>
      <c r="V8" s="1496" t="s">
        <v>28</v>
      </c>
      <c r="W8" s="1496" t="s">
        <v>29</v>
      </c>
      <c r="X8" s="1496" t="s">
        <v>30</v>
      </c>
      <c r="Y8" s="1496" t="s">
        <v>31</v>
      </c>
      <c r="Z8" s="1496" t="s">
        <v>32</v>
      </c>
      <c r="AA8" s="1496" t="s">
        <v>33</v>
      </c>
      <c r="AB8" s="1496" t="s">
        <v>34</v>
      </c>
      <c r="AC8" s="1496" t="s">
        <v>35</v>
      </c>
      <c r="AD8" s="1496" t="s">
        <v>36</v>
      </c>
      <c r="AE8" s="1496" t="s">
        <v>37</v>
      </c>
      <c r="AF8" s="1496" t="s">
        <v>38</v>
      </c>
      <c r="AG8" s="1496" t="s">
        <v>39</v>
      </c>
      <c r="AH8" s="1475" t="s">
        <v>25</v>
      </c>
      <c r="AI8" s="1475" t="s">
        <v>26</v>
      </c>
      <c r="AJ8" s="38" t="s">
        <v>27</v>
      </c>
    </row>
    <row r="9" spans="1:37" s="43" customFormat="1" ht="33" customHeight="1" x14ac:dyDescent="0.2">
      <c r="A9" s="39">
        <v>3</v>
      </c>
      <c r="B9" s="40" t="s">
        <v>537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row>
    <row r="10" spans="1:37" s="43" customFormat="1" ht="33" customHeight="1" x14ac:dyDescent="0.2">
      <c r="A10" s="119"/>
      <c r="B10" s="120"/>
      <c r="C10" s="44">
        <v>16</v>
      </c>
      <c r="D10" s="45" t="s">
        <v>538</v>
      </c>
      <c r="E10" s="45"/>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row>
    <row r="11" spans="1:37" s="43" customFormat="1" ht="33" customHeight="1" x14ac:dyDescent="0.2">
      <c r="A11" s="119"/>
      <c r="B11" s="120"/>
      <c r="C11" s="121"/>
      <c r="D11" s="122"/>
      <c r="E11" s="48">
        <v>56</v>
      </c>
      <c r="F11" s="393" t="s">
        <v>539</v>
      </c>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49"/>
    </row>
    <row r="12" spans="1:37" ht="60.75" customHeight="1" x14ac:dyDescent="0.2">
      <c r="A12" s="119"/>
      <c r="B12" s="120"/>
      <c r="C12" s="121"/>
      <c r="D12" s="122"/>
      <c r="E12" s="123"/>
      <c r="F12" s="124"/>
      <c r="G12" s="1895">
        <v>180</v>
      </c>
      <c r="H12" s="1767" t="s">
        <v>540</v>
      </c>
      <c r="I12" s="1767" t="s">
        <v>541</v>
      </c>
      <c r="J12" s="1861">
        <v>1</v>
      </c>
      <c r="K12" s="2928" t="s">
        <v>542</v>
      </c>
      <c r="L12" s="2921">
        <v>102</v>
      </c>
      <c r="M12" s="1768" t="s">
        <v>543</v>
      </c>
      <c r="N12" s="2924">
        <v>0.95</v>
      </c>
      <c r="O12" s="1821">
        <v>260000000</v>
      </c>
      <c r="P12" s="1768" t="s">
        <v>544</v>
      </c>
      <c r="Q12" s="1767" t="s">
        <v>545</v>
      </c>
      <c r="R12" s="1767" t="s">
        <v>546</v>
      </c>
      <c r="S12" s="2933">
        <f>43500000+200000000</f>
        <v>243500000</v>
      </c>
      <c r="T12" s="1895">
        <v>20</v>
      </c>
      <c r="U12" s="1895" t="s">
        <v>185</v>
      </c>
      <c r="V12" s="2931">
        <v>32074</v>
      </c>
      <c r="W12" s="1770">
        <v>16038</v>
      </c>
      <c r="X12" s="1770">
        <v>16037</v>
      </c>
      <c r="Y12" s="2919"/>
      <c r="Z12" s="2919"/>
      <c r="AA12" s="2919"/>
      <c r="AB12" s="2919"/>
      <c r="AC12" s="2919"/>
      <c r="AD12" s="2919"/>
      <c r="AE12" s="2919"/>
      <c r="AF12" s="2919"/>
      <c r="AG12" s="2919"/>
      <c r="AH12" s="2930">
        <v>42751</v>
      </c>
      <c r="AI12" s="2930">
        <v>43100</v>
      </c>
      <c r="AJ12" s="2915" t="s">
        <v>547</v>
      </c>
      <c r="AK12" s="36"/>
    </row>
    <row r="13" spans="1:37" ht="40.5" customHeight="1" x14ac:dyDescent="0.2">
      <c r="A13" s="119"/>
      <c r="B13" s="120"/>
      <c r="C13" s="121"/>
      <c r="D13" s="122"/>
      <c r="E13" s="125"/>
      <c r="F13" s="126"/>
      <c r="G13" s="1896"/>
      <c r="H13" s="1768"/>
      <c r="I13" s="1768"/>
      <c r="J13" s="1865"/>
      <c r="K13" s="2928"/>
      <c r="L13" s="2922"/>
      <c r="M13" s="1768"/>
      <c r="N13" s="2925"/>
      <c r="O13" s="2927"/>
      <c r="P13" s="1768"/>
      <c r="Q13" s="1768"/>
      <c r="R13" s="1769"/>
      <c r="S13" s="2934"/>
      <c r="T13" s="1896"/>
      <c r="U13" s="1896"/>
      <c r="V13" s="2931"/>
      <c r="W13" s="1771"/>
      <c r="X13" s="1771"/>
      <c r="Y13" s="2919"/>
      <c r="Z13" s="2919"/>
      <c r="AA13" s="2919"/>
      <c r="AB13" s="2919"/>
      <c r="AC13" s="2919"/>
      <c r="AD13" s="2919"/>
      <c r="AE13" s="2919"/>
      <c r="AF13" s="2919"/>
      <c r="AG13" s="2919"/>
      <c r="AH13" s="1831"/>
      <c r="AI13" s="1831"/>
      <c r="AJ13" s="2915"/>
      <c r="AK13" s="36"/>
    </row>
    <row r="14" spans="1:37" ht="66.75" customHeight="1" x14ac:dyDescent="0.2">
      <c r="A14" s="119"/>
      <c r="B14" s="120"/>
      <c r="C14" s="121"/>
      <c r="D14" s="122"/>
      <c r="E14" s="125"/>
      <c r="F14" s="126"/>
      <c r="G14" s="1897"/>
      <c r="H14" s="1769"/>
      <c r="I14" s="1769"/>
      <c r="J14" s="1862"/>
      <c r="K14" s="2928"/>
      <c r="L14" s="2922"/>
      <c r="M14" s="1768"/>
      <c r="N14" s="2926"/>
      <c r="O14" s="2927"/>
      <c r="P14" s="1768"/>
      <c r="Q14" s="1769"/>
      <c r="R14" s="50" t="s">
        <v>548</v>
      </c>
      <c r="S14" s="51">
        <v>4000000</v>
      </c>
      <c r="T14" s="1896"/>
      <c r="U14" s="1896"/>
      <c r="V14" s="2931"/>
      <c r="W14" s="1771"/>
      <c r="X14" s="1771"/>
      <c r="Y14" s="2919"/>
      <c r="Z14" s="2919"/>
      <c r="AA14" s="2919"/>
      <c r="AB14" s="2919"/>
      <c r="AC14" s="2919"/>
      <c r="AD14" s="2919"/>
      <c r="AE14" s="2919"/>
      <c r="AF14" s="2919"/>
      <c r="AG14" s="2919"/>
      <c r="AH14" s="1831"/>
      <c r="AI14" s="1831"/>
      <c r="AJ14" s="2915"/>
      <c r="AK14" s="36"/>
    </row>
    <row r="15" spans="1:37" ht="89.25" customHeight="1" x14ac:dyDescent="0.2">
      <c r="A15" s="119"/>
      <c r="B15" s="120"/>
      <c r="C15" s="127"/>
      <c r="D15" s="128"/>
      <c r="E15" s="129"/>
      <c r="F15" s="130"/>
      <c r="G15" s="52">
        <v>181</v>
      </c>
      <c r="H15" s="53" t="s">
        <v>549</v>
      </c>
      <c r="I15" s="53" t="s">
        <v>550</v>
      </c>
      <c r="J15" s="442">
        <v>6</v>
      </c>
      <c r="K15" s="2929"/>
      <c r="L15" s="2923"/>
      <c r="M15" s="1769"/>
      <c r="N15" s="451">
        <v>0.05</v>
      </c>
      <c r="O15" s="2927"/>
      <c r="P15" s="1769"/>
      <c r="Q15" s="53" t="s">
        <v>551</v>
      </c>
      <c r="R15" s="455" t="s">
        <v>552</v>
      </c>
      <c r="S15" s="51">
        <v>12500000</v>
      </c>
      <c r="T15" s="1897"/>
      <c r="U15" s="1897"/>
      <c r="V15" s="2932"/>
      <c r="W15" s="1772"/>
      <c r="X15" s="1772"/>
      <c r="Y15" s="2920"/>
      <c r="Z15" s="2920"/>
      <c r="AA15" s="2920"/>
      <c r="AB15" s="2920"/>
      <c r="AC15" s="2920"/>
      <c r="AD15" s="2920"/>
      <c r="AE15" s="2920"/>
      <c r="AF15" s="2920"/>
      <c r="AG15" s="2920"/>
      <c r="AH15" s="1831"/>
      <c r="AI15" s="1831"/>
      <c r="AJ15" s="2916"/>
      <c r="AK15" s="36"/>
    </row>
    <row r="16" spans="1:37" ht="32.25" customHeight="1" x14ac:dyDescent="0.2">
      <c r="A16" s="119"/>
      <c r="B16" s="120"/>
      <c r="C16" s="44">
        <v>17</v>
      </c>
      <c r="D16" s="388" t="s">
        <v>553</v>
      </c>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55"/>
      <c r="AK16" s="36"/>
    </row>
    <row r="17" spans="1:37" ht="37.5" customHeight="1" x14ac:dyDescent="0.2">
      <c r="A17" s="119"/>
      <c r="B17" s="120"/>
      <c r="C17" s="125"/>
      <c r="D17" s="126"/>
      <c r="E17" s="48">
        <v>58</v>
      </c>
      <c r="F17" s="393" t="s">
        <v>554</v>
      </c>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57"/>
      <c r="AK17" s="36"/>
    </row>
    <row r="18" spans="1:37" ht="58.5" customHeight="1" x14ac:dyDescent="0.2">
      <c r="A18" s="119"/>
      <c r="B18" s="120"/>
      <c r="C18" s="125"/>
      <c r="D18" s="126"/>
      <c r="E18" s="131"/>
      <c r="F18" s="132"/>
      <c r="G18" s="1941">
        <v>183</v>
      </c>
      <c r="H18" s="1926" t="s">
        <v>555</v>
      </c>
      <c r="I18" s="1926" t="s">
        <v>556</v>
      </c>
      <c r="J18" s="2917">
        <v>1</v>
      </c>
      <c r="K18" s="2928" t="s">
        <v>557</v>
      </c>
      <c r="L18" s="2922">
        <v>103</v>
      </c>
      <c r="M18" s="1768" t="s">
        <v>558</v>
      </c>
      <c r="N18" s="1994">
        <v>1</v>
      </c>
      <c r="O18" s="1821">
        <v>180000000</v>
      </c>
      <c r="P18" s="1768" t="s">
        <v>559</v>
      </c>
      <c r="Q18" s="58" t="s">
        <v>560</v>
      </c>
      <c r="R18" s="441" t="s">
        <v>561</v>
      </c>
      <c r="S18" s="465">
        <v>154000000</v>
      </c>
      <c r="T18" s="1896">
        <v>20</v>
      </c>
      <c r="U18" s="1896" t="s">
        <v>185</v>
      </c>
      <c r="V18" s="2937">
        <v>19245</v>
      </c>
      <c r="W18" s="2936">
        <v>21667</v>
      </c>
      <c r="X18" s="2935">
        <v>8243</v>
      </c>
      <c r="Y18" s="2053">
        <v>38793</v>
      </c>
      <c r="Z18" s="2936">
        <v>58189</v>
      </c>
      <c r="AA18" s="2935">
        <v>24415</v>
      </c>
      <c r="AB18" s="2943"/>
      <c r="AC18" s="2943"/>
      <c r="AD18" s="2943"/>
      <c r="AE18" s="2943"/>
      <c r="AF18" s="2943"/>
      <c r="AG18" s="2943"/>
      <c r="AH18" s="2941">
        <v>42745</v>
      </c>
      <c r="AI18" s="2941">
        <v>43100</v>
      </c>
      <c r="AJ18" s="2939" t="s">
        <v>547</v>
      </c>
      <c r="AK18" s="36"/>
    </row>
    <row r="19" spans="1:37" ht="74.25" customHeight="1" x14ac:dyDescent="0.2">
      <c r="A19" s="119"/>
      <c r="B19" s="120"/>
      <c r="C19" s="125"/>
      <c r="D19" s="126"/>
      <c r="E19" s="133"/>
      <c r="F19" s="134"/>
      <c r="G19" s="1941"/>
      <c r="H19" s="1926"/>
      <c r="I19" s="1926"/>
      <c r="J19" s="2918"/>
      <c r="K19" s="2928"/>
      <c r="L19" s="2922"/>
      <c r="M19" s="1768"/>
      <c r="N19" s="1994"/>
      <c r="O19" s="2927"/>
      <c r="P19" s="1768"/>
      <c r="Q19" s="58" t="s">
        <v>562</v>
      </c>
      <c r="R19" s="59" t="s">
        <v>563</v>
      </c>
      <c r="S19" s="51">
        <v>26000000</v>
      </c>
      <c r="T19" s="1896"/>
      <c r="U19" s="1896"/>
      <c r="V19" s="2938"/>
      <c r="W19" s="2936"/>
      <c r="X19" s="2935"/>
      <c r="Y19" s="2053"/>
      <c r="Z19" s="2936"/>
      <c r="AA19" s="2935"/>
      <c r="AB19" s="2943"/>
      <c r="AC19" s="2943"/>
      <c r="AD19" s="2943"/>
      <c r="AE19" s="2943"/>
      <c r="AF19" s="2943"/>
      <c r="AG19" s="2943"/>
      <c r="AH19" s="2942"/>
      <c r="AI19" s="2942"/>
      <c r="AJ19" s="2939"/>
      <c r="AK19" s="36"/>
    </row>
    <row r="20" spans="1:37" ht="33" customHeight="1" x14ac:dyDescent="0.2">
      <c r="A20" s="119"/>
      <c r="B20" s="120"/>
      <c r="C20" s="125"/>
      <c r="D20" s="126"/>
      <c r="E20" s="48">
        <v>59</v>
      </c>
      <c r="F20" s="393" t="s">
        <v>564</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2"/>
      <c r="AK20" s="36"/>
    </row>
    <row r="21" spans="1:37" ht="53.25" customHeight="1" x14ac:dyDescent="0.2">
      <c r="A21" s="119"/>
      <c r="B21" s="120"/>
      <c r="C21" s="125"/>
      <c r="D21" s="126"/>
      <c r="E21" s="135"/>
      <c r="F21" s="136"/>
      <c r="G21" s="1895">
        <v>184</v>
      </c>
      <c r="H21" s="1830" t="s">
        <v>565</v>
      </c>
      <c r="I21" s="1861" t="s">
        <v>566</v>
      </c>
      <c r="J21" s="1982">
        <v>1</v>
      </c>
      <c r="K21" s="2940" t="s">
        <v>567</v>
      </c>
      <c r="L21" s="2921">
        <v>109</v>
      </c>
      <c r="M21" s="1778" t="s">
        <v>568</v>
      </c>
      <c r="N21" s="1993">
        <v>0.9</v>
      </c>
      <c r="O21" s="2927">
        <v>470000000</v>
      </c>
      <c r="P21" s="1767" t="s">
        <v>559</v>
      </c>
      <c r="Q21" s="1895" t="s">
        <v>569</v>
      </c>
      <c r="R21" s="1830" t="s">
        <v>570</v>
      </c>
      <c r="S21" s="2933">
        <v>123000000</v>
      </c>
      <c r="T21" s="1895">
        <v>20</v>
      </c>
      <c r="U21" s="1895" t="s">
        <v>185</v>
      </c>
      <c r="V21" s="2946">
        <v>32074</v>
      </c>
      <c r="W21" s="1982">
        <v>36113</v>
      </c>
      <c r="X21" s="1982">
        <v>13738</v>
      </c>
      <c r="Y21" s="1909"/>
      <c r="Z21" s="1909"/>
      <c r="AA21" s="1909"/>
      <c r="AB21" s="2945"/>
      <c r="AC21" s="2945"/>
      <c r="AD21" s="2945"/>
      <c r="AE21" s="2945"/>
      <c r="AF21" s="2945"/>
      <c r="AG21" s="2945"/>
      <c r="AH21" s="2942">
        <v>42736</v>
      </c>
      <c r="AI21" s="2942">
        <v>43100</v>
      </c>
      <c r="AJ21" s="2944" t="s">
        <v>547</v>
      </c>
      <c r="AK21" s="36"/>
    </row>
    <row r="22" spans="1:37" ht="63" customHeight="1" x14ac:dyDescent="0.2">
      <c r="A22" s="119"/>
      <c r="B22" s="120"/>
      <c r="C22" s="125"/>
      <c r="D22" s="126"/>
      <c r="E22" s="135"/>
      <c r="F22" s="136"/>
      <c r="G22" s="1896"/>
      <c r="H22" s="1926"/>
      <c r="I22" s="1865"/>
      <c r="J22" s="1978"/>
      <c r="K22" s="2928"/>
      <c r="L22" s="2922"/>
      <c r="M22" s="1778"/>
      <c r="N22" s="1994"/>
      <c r="O22" s="2927"/>
      <c r="P22" s="1768"/>
      <c r="Q22" s="1896"/>
      <c r="R22" s="1927"/>
      <c r="S22" s="2934"/>
      <c r="T22" s="1896"/>
      <c r="U22" s="1896"/>
      <c r="V22" s="2946"/>
      <c r="W22" s="1978"/>
      <c r="X22" s="1978"/>
      <c r="Y22" s="1910"/>
      <c r="Z22" s="1910"/>
      <c r="AA22" s="1910"/>
      <c r="AB22" s="2919"/>
      <c r="AC22" s="2919"/>
      <c r="AD22" s="2919"/>
      <c r="AE22" s="2919"/>
      <c r="AF22" s="2919"/>
      <c r="AG22" s="2919"/>
      <c r="AH22" s="2942"/>
      <c r="AI22" s="2942"/>
      <c r="AJ22" s="2944"/>
      <c r="AK22" s="36"/>
    </row>
    <row r="23" spans="1:37" ht="59.25" customHeight="1" x14ac:dyDescent="0.2">
      <c r="A23" s="119"/>
      <c r="B23" s="120"/>
      <c r="C23" s="125"/>
      <c r="D23" s="126"/>
      <c r="E23" s="135"/>
      <c r="F23" s="136"/>
      <c r="G23" s="1896"/>
      <c r="H23" s="1926"/>
      <c r="I23" s="1865"/>
      <c r="J23" s="1978"/>
      <c r="K23" s="2928"/>
      <c r="L23" s="2922"/>
      <c r="M23" s="1778"/>
      <c r="N23" s="1994"/>
      <c r="O23" s="2927"/>
      <c r="P23" s="1768"/>
      <c r="Q23" s="1897"/>
      <c r="R23" s="50" t="s">
        <v>571</v>
      </c>
      <c r="S23" s="51">
        <f>2000000+300000000</f>
        <v>302000000</v>
      </c>
      <c r="T23" s="1896"/>
      <c r="U23" s="1896"/>
      <c r="V23" s="2946"/>
      <c r="W23" s="1978"/>
      <c r="X23" s="1978"/>
      <c r="Y23" s="1910"/>
      <c r="Z23" s="1910"/>
      <c r="AA23" s="1910"/>
      <c r="AB23" s="2919"/>
      <c r="AC23" s="2919"/>
      <c r="AD23" s="2919"/>
      <c r="AE23" s="2919"/>
      <c r="AF23" s="2919"/>
      <c r="AG23" s="2919"/>
      <c r="AH23" s="2942"/>
      <c r="AI23" s="2942"/>
      <c r="AJ23" s="2944"/>
      <c r="AK23" s="36"/>
    </row>
    <row r="24" spans="1:37" ht="76.5" customHeight="1" x14ac:dyDescent="0.2">
      <c r="A24" s="119"/>
      <c r="B24" s="120"/>
      <c r="C24" s="125"/>
      <c r="D24" s="126"/>
      <c r="E24" s="135"/>
      <c r="F24" s="136"/>
      <c r="G24" s="457">
        <v>185</v>
      </c>
      <c r="H24" s="50" t="s">
        <v>572</v>
      </c>
      <c r="I24" s="455" t="s">
        <v>573</v>
      </c>
      <c r="J24" s="461">
        <v>1</v>
      </c>
      <c r="K24" s="2928"/>
      <c r="L24" s="2922"/>
      <c r="M24" s="1778"/>
      <c r="N24" s="454">
        <v>0.04</v>
      </c>
      <c r="O24" s="2927"/>
      <c r="P24" s="1768"/>
      <c r="Q24" s="436" t="s">
        <v>574</v>
      </c>
      <c r="R24" s="50" t="s">
        <v>572</v>
      </c>
      <c r="S24" s="51">
        <v>16500000</v>
      </c>
      <c r="T24" s="1896"/>
      <c r="U24" s="1896"/>
      <c r="V24" s="2946"/>
      <c r="W24" s="1978"/>
      <c r="X24" s="1978"/>
      <c r="Y24" s="1910"/>
      <c r="Z24" s="1910"/>
      <c r="AA24" s="1910"/>
      <c r="AB24" s="2919"/>
      <c r="AC24" s="2919"/>
      <c r="AD24" s="2919"/>
      <c r="AE24" s="2919"/>
      <c r="AF24" s="2919"/>
      <c r="AG24" s="2919"/>
      <c r="AH24" s="2942"/>
      <c r="AI24" s="2942"/>
      <c r="AJ24" s="2944"/>
      <c r="AK24" s="36"/>
    </row>
    <row r="25" spans="1:37" ht="123" customHeight="1" x14ac:dyDescent="0.2">
      <c r="A25" s="119"/>
      <c r="B25" s="120"/>
      <c r="C25" s="125"/>
      <c r="D25" s="126"/>
      <c r="E25" s="135"/>
      <c r="F25" s="136"/>
      <c r="G25" s="52">
        <v>186</v>
      </c>
      <c r="H25" s="433" t="s">
        <v>575</v>
      </c>
      <c r="I25" s="440" t="s">
        <v>576</v>
      </c>
      <c r="J25" s="453">
        <v>1</v>
      </c>
      <c r="K25" s="2928"/>
      <c r="L25" s="2922"/>
      <c r="M25" s="1778"/>
      <c r="N25" s="454">
        <v>0.06</v>
      </c>
      <c r="O25" s="2927"/>
      <c r="P25" s="1768"/>
      <c r="Q25" s="430" t="s">
        <v>577</v>
      </c>
      <c r="R25" s="63" t="s">
        <v>578</v>
      </c>
      <c r="S25" s="51">
        <v>28500000</v>
      </c>
      <c r="T25" s="1896"/>
      <c r="U25" s="1896"/>
      <c r="V25" s="2947"/>
      <c r="W25" s="1979"/>
      <c r="X25" s="1979"/>
      <c r="Y25" s="1910"/>
      <c r="Z25" s="1910"/>
      <c r="AA25" s="1910"/>
      <c r="AB25" s="2919"/>
      <c r="AC25" s="2919"/>
      <c r="AD25" s="2919"/>
      <c r="AE25" s="2919"/>
      <c r="AF25" s="2919"/>
      <c r="AG25" s="2919"/>
      <c r="AH25" s="2053"/>
      <c r="AI25" s="2053"/>
      <c r="AJ25" s="2944"/>
      <c r="AK25" s="36"/>
    </row>
    <row r="26" spans="1:37" ht="37.5" customHeight="1" x14ac:dyDescent="0.2">
      <c r="A26" s="119"/>
      <c r="B26" s="120"/>
      <c r="C26" s="125"/>
      <c r="D26" s="126"/>
      <c r="E26" s="48">
        <v>60</v>
      </c>
      <c r="F26" s="393" t="s">
        <v>579</v>
      </c>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64"/>
      <c r="AK26" s="36"/>
    </row>
    <row r="27" spans="1:37" ht="92.25" customHeight="1" x14ac:dyDescent="0.2">
      <c r="A27" s="119"/>
      <c r="B27" s="120"/>
      <c r="C27" s="125"/>
      <c r="D27" s="126"/>
      <c r="E27" s="131"/>
      <c r="F27" s="132"/>
      <c r="G27" s="449">
        <v>187</v>
      </c>
      <c r="H27" s="441" t="s">
        <v>580</v>
      </c>
      <c r="I27" s="441" t="s">
        <v>581</v>
      </c>
      <c r="J27" s="464">
        <v>1</v>
      </c>
      <c r="K27" s="2928" t="s">
        <v>582</v>
      </c>
      <c r="L27" s="2922">
        <v>110</v>
      </c>
      <c r="M27" s="1768" t="s">
        <v>583</v>
      </c>
      <c r="N27" s="452">
        <v>0.1521875</v>
      </c>
      <c r="O27" s="1821">
        <v>160000000</v>
      </c>
      <c r="P27" s="1768" t="s">
        <v>559</v>
      </c>
      <c r="Q27" s="65" t="s">
        <v>584</v>
      </c>
      <c r="R27" s="441" t="s">
        <v>585</v>
      </c>
      <c r="S27" s="66">
        <v>24350000</v>
      </c>
      <c r="T27" s="1896">
        <v>20</v>
      </c>
      <c r="U27" s="1896" t="s">
        <v>185</v>
      </c>
      <c r="V27" s="1771"/>
      <c r="W27" s="1978"/>
      <c r="X27" s="1978">
        <v>27447</v>
      </c>
      <c r="Y27" s="1978">
        <v>86600</v>
      </c>
      <c r="Z27" s="1910"/>
      <c r="AA27" s="1910"/>
      <c r="AB27" s="1978">
        <v>170</v>
      </c>
      <c r="AC27" s="1978">
        <v>103</v>
      </c>
      <c r="AD27" s="1910"/>
      <c r="AE27" s="2919"/>
      <c r="AF27" s="2919"/>
      <c r="AG27" s="2919"/>
      <c r="AH27" s="2941">
        <v>42736</v>
      </c>
      <c r="AI27" s="2941">
        <v>43100</v>
      </c>
      <c r="AJ27" s="2916" t="s">
        <v>547</v>
      </c>
      <c r="AK27" s="36"/>
    </row>
    <row r="28" spans="1:37" ht="105" customHeight="1" x14ac:dyDescent="0.2">
      <c r="A28" s="119"/>
      <c r="B28" s="120"/>
      <c r="C28" s="125"/>
      <c r="D28" s="126"/>
      <c r="E28" s="133"/>
      <c r="F28" s="134"/>
      <c r="G28" s="442">
        <v>188</v>
      </c>
      <c r="H28" s="455" t="s">
        <v>586</v>
      </c>
      <c r="I28" s="455" t="s">
        <v>587</v>
      </c>
      <c r="J28" s="453">
        <v>2</v>
      </c>
      <c r="K28" s="2928"/>
      <c r="L28" s="2922"/>
      <c r="M28" s="1768"/>
      <c r="N28" s="452">
        <v>0.1978125</v>
      </c>
      <c r="O28" s="2927"/>
      <c r="P28" s="1768"/>
      <c r="Q28" s="67" t="s">
        <v>586</v>
      </c>
      <c r="R28" s="455" t="s">
        <v>588</v>
      </c>
      <c r="S28" s="66">
        <v>31650000</v>
      </c>
      <c r="T28" s="1896"/>
      <c r="U28" s="1896"/>
      <c r="V28" s="1771"/>
      <c r="W28" s="1978"/>
      <c r="X28" s="1978"/>
      <c r="Y28" s="1978"/>
      <c r="Z28" s="1910"/>
      <c r="AA28" s="1910"/>
      <c r="AB28" s="1978"/>
      <c r="AC28" s="1978"/>
      <c r="AD28" s="1910"/>
      <c r="AE28" s="2919"/>
      <c r="AF28" s="2919"/>
      <c r="AG28" s="2919"/>
      <c r="AH28" s="2053"/>
      <c r="AI28" s="2053"/>
      <c r="AJ28" s="2944"/>
      <c r="AK28" s="36"/>
    </row>
    <row r="29" spans="1:37" ht="74.25" customHeight="1" x14ac:dyDescent="0.2">
      <c r="A29" s="119"/>
      <c r="B29" s="120"/>
      <c r="C29" s="125"/>
      <c r="D29" s="126"/>
      <c r="E29" s="133"/>
      <c r="F29" s="134"/>
      <c r="G29" s="1861">
        <v>189</v>
      </c>
      <c r="H29" s="1767" t="s">
        <v>589</v>
      </c>
      <c r="I29" s="1767" t="s">
        <v>590</v>
      </c>
      <c r="J29" s="1982">
        <v>1</v>
      </c>
      <c r="K29" s="2928"/>
      <c r="L29" s="2922"/>
      <c r="M29" s="1768"/>
      <c r="N29" s="1994">
        <v>0.65</v>
      </c>
      <c r="O29" s="2927"/>
      <c r="P29" s="1768"/>
      <c r="Q29" s="1830" t="s">
        <v>589</v>
      </c>
      <c r="R29" s="68" t="s">
        <v>591</v>
      </c>
      <c r="S29" s="66">
        <f>25000000+60000000</f>
        <v>85000000</v>
      </c>
      <c r="T29" s="1896"/>
      <c r="U29" s="1896"/>
      <c r="V29" s="1771"/>
      <c r="W29" s="1978"/>
      <c r="X29" s="1978"/>
      <c r="Y29" s="1978"/>
      <c r="Z29" s="1910"/>
      <c r="AA29" s="1910"/>
      <c r="AB29" s="1978"/>
      <c r="AC29" s="1978"/>
      <c r="AD29" s="1910"/>
      <c r="AE29" s="2919"/>
      <c r="AF29" s="2919"/>
      <c r="AG29" s="2919"/>
      <c r="AH29" s="2053"/>
      <c r="AI29" s="2053"/>
      <c r="AJ29" s="2944"/>
      <c r="AK29" s="36"/>
    </row>
    <row r="30" spans="1:37" ht="92.25" customHeight="1" x14ac:dyDescent="0.2">
      <c r="A30" s="119"/>
      <c r="B30" s="120"/>
      <c r="C30" s="125"/>
      <c r="D30" s="126"/>
      <c r="E30" s="137"/>
      <c r="F30" s="138"/>
      <c r="G30" s="1862"/>
      <c r="H30" s="1769"/>
      <c r="I30" s="1769"/>
      <c r="J30" s="1979"/>
      <c r="K30" s="2928"/>
      <c r="L30" s="2922"/>
      <c r="M30" s="1768"/>
      <c r="N30" s="1995"/>
      <c r="O30" s="2927"/>
      <c r="P30" s="1768"/>
      <c r="Q30" s="1927"/>
      <c r="R30" s="455" t="s">
        <v>592</v>
      </c>
      <c r="S30" s="66">
        <v>19000000</v>
      </c>
      <c r="T30" s="1896"/>
      <c r="U30" s="1896"/>
      <c r="V30" s="1771"/>
      <c r="W30" s="1978"/>
      <c r="X30" s="1978"/>
      <c r="Y30" s="1978"/>
      <c r="Z30" s="1910"/>
      <c r="AA30" s="1910"/>
      <c r="AB30" s="1978"/>
      <c r="AC30" s="1978"/>
      <c r="AD30" s="1910"/>
      <c r="AE30" s="2919"/>
      <c r="AF30" s="2919"/>
      <c r="AG30" s="2919"/>
      <c r="AH30" s="2053"/>
      <c r="AI30" s="2053"/>
      <c r="AJ30" s="2944"/>
      <c r="AK30" s="36"/>
    </row>
    <row r="31" spans="1:37" ht="34.5" customHeight="1" x14ac:dyDescent="0.2">
      <c r="A31" s="119"/>
      <c r="B31" s="120"/>
      <c r="C31" s="125"/>
      <c r="D31" s="126"/>
      <c r="E31" s="48">
        <v>61</v>
      </c>
      <c r="F31" s="393" t="s">
        <v>593</v>
      </c>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70"/>
      <c r="AK31" s="36"/>
    </row>
    <row r="32" spans="1:37" ht="38.25" customHeight="1" x14ac:dyDescent="0.2">
      <c r="A32" s="119"/>
      <c r="B32" s="120"/>
      <c r="C32" s="125"/>
      <c r="D32" s="126"/>
      <c r="E32" s="123"/>
      <c r="F32" s="124"/>
      <c r="G32" s="1895">
        <v>190</v>
      </c>
      <c r="H32" s="1830" t="s">
        <v>594</v>
      </c>
      <c r="I32" s="1830" t="s">
        <v>595</v>
      </c>
      <c r="J32" s="2950">
        <v>1</v>
      </c>
      <c r="K32" s="2940" t="s">
        <v>596</v>
      </c>
      <c r="L32" s="2921">
        <v>114</v>
      </c>
      <c r="M32" s="1767" t="s">
        <v>597</v>
      </c>
      <c r="N32" s="1993">
        <v>1</v>
      </c>
      <c r="O32" s="1819">
        <v>190000000</v>
      </c>
      <c r="P32" s="2948" t="s">
        <v>559</v>
      </c>
      <c r="Q32" s="1775" t="s">
        <v>598</v>
      </c>
      <c r="R32" s="71" t="s">
        <v>599</v>
      </c>
      <c r="S32" s="72">
        <v>17000000</v>
      </c>
      <c r="T32" s="1895">
        <v>20</v>
      </c>
      <c r="U32" s="1861" t="s">
        <v>185</v>
      </c>
      <c r="V32" s="2959">
        <v>137</v>
      </c>
      <c r="W32" s="2959">
        <v>1365</v>
      </c>
      <c r="X32" s="2959">
        <v>2122</v>
      </c>
      <c r="Y32" s="2959">
        <v>5382</v>
      </c>
      <c r="Z32" s="2959">
        <v>7891</v>
      </c>
      <c r="AA32" s="2957"/>
      <c r="AB32" s="1982">
        <v>6</v>
      </c>
      <c r="AC32" s="1982">
        <v>7</v>
      </c>
      <c r="AD32" s="1982"/>
      <c r="AE32" s="1982"/>
      <c r="AF32" s="1982">
        <v>16910</v>
      </c>
      <c r="AG32" s="1982"/>
      <c r="AH32" s="2953">
        <v>42736</v>
      </c>
      <c r="AI32" s="2955">
        <v>43100</v>
      </c>
      <c r="AJ32" s="2939" t="s">
        <v>547</v>
      </c>
      <c r="AK32" s="36"/>
    </row>
    <row r="33" spans="1:37" ht="63" customHeight="1" x14ac:dyDescent="0.2">
      <c r="A33" s="119"/>
      <c r="B33" s="120"/>
      <c r="C33" s="125"/>
      <c r="D33" s="126"/>
      <c r="E33" s="125"/>
      <c r="F33" s="126"/>
      <c r="G33" s="1896"/>
      <c r="H33" s="1926"/>
      <c r="I33" s="1926"/>
      <c r="J33" s="2951"/>
      <c r="K33" s="2928"/>
      <c r="L33" s="2922"/>
      <c r="M33" s="1768"/>
      <c r="N33" s="1994"/>
      <c r="O33" s="1820"/>
      <c r="P33" s="2949"/>
      <c r="Q33" s="1775"/>
      <c r="R33" s="455" t="s">
        <v>600</v>
      </c>
      <c r="S33" s="72">
        <v>49000000</v>
      </c>
      <c r="T33" s="1896"/>
      <c r="U33" s="1865"/>
      <c r="V33" s="2960"/>
      <c r="W33" s="2960"/>
      <c r="X33" s="2960"/>
      <c r="Y33" s="2960"/>
      <c r="Z33" s="2960"/>
      <c r="AA33" s="2958"/>
      <c r="AB33" s="1978"/>
      <c r="AC33" s="1978"/>
      <c r="AD33" s="1978"/>
      <c r="AE33" s="1978"/>
      <c r="AF33" s="1978"/>
      <c r="AG33" s="1978"/>
      <c r="AH33" s="2954"/>
      <c r="AI33" s="2956"/>
      <c r="AJ33" s="2939"/>
      <c r="AK33" s="36"/>
    </row>
    <row r="34" spans="1:37" ht="63" customHeight="1" x14ac:dyDescent="0.2">
      <c r="A34" s="119"/>
      <c r="B34" s="120"/>
      <c r="C34" s="125"/>
      <c r="D34" s="126"/>
      <c r="E34" s="125"/>
      <c r="F34" s="126"/>
      <c r="G34" s="1896"/>
      <c r="H34" s="1926"/>
      <c r="I34" s="1926"/>
      <c r="J34" s="2951"/>
      <c r="K34" s="2928"/>
      <c r="L34" s="2922"/>
      <c r="M34" s="1768"/>
      <c r="N34" s="1994"/>
      <c r="O34" s="1820"/>
      <c r="P34" s="2949"/>
      <c r="Q34" s="1775"/>
      <c r="R34" s="455" t="s">
        <v>601</v>
      </c>
      <c r="S34" s="72">
        <v>5000000</v>
      </c>
      <c r="T34" s="1896"/>
      <c r="U34" s="1865"/>
      <c r="V34" s="2960"/>
      <c r="W34" s="2960"/>
      <c r="X34" s="2960"/>
      <c r="Y34" s="2960"/>
      <c r="Z34" s="2960"/>
      <c r="AA34" s="2958"/>
      <c r="AB34" s="1978"/>
      <c r="AC34" s="1978"/>
      <c r="AD34" s="1978"/>
      <c r="AE34" s="1978"/>
      <c r="AF34" s="1978"/>
      <c r="AG34" s="1978"/>
      <c r="AH34" s="2954"/>
      <c r="AI34" s="2956"/>
      <c r="AJ34" s="2939"/>
      <c r="AK34" s="36"/>
    </row>
    <row r="35" spans="1:37" ht="48.75" customHeight="1" x14ac:dyDescent="0.2">
      <c r="A35" s="119"/>
      <c r="B35" s="120"/>
      <c r="C35" s="125"/>
      <c r="D35" s="126"/>
      <c r="E35" s="125"/>
      <c r="F35" s="126"/>
      <c r="G35" s="1896"/>
      <c r="H35" s="1926"/>
      <c r="I35" s="1926"/>
      <c r="J35" s="2951"/>
      <c r="K35" s="2928"/>
      <c r="L35" s="2922"/>
      <c r="M35" s="1768"/>
      <c r="N35" s="1994"/>
      <c r="O35" s="1820"/>
      <c r="P35" s="2949"/>
      <c r="Q35" s="1775" t="s">
        <v>602</v>
      </c>
      <c r="R35" s="441" t="s">
        <v>603</v>
      </c>
      <c r="S35" s="73">
        <v>65000000</v>
      </c>
      <c r="T35" s="1896"/>
      <c r="U35" s="1865"/>
      <c r="V35" s="2960"/>
      <c r="W35" s="2960"/>
      <c r="X35" s="2960"/>
      <c r="Y35" s="2960"/>
      <c r="Z35" s="2960"/>
      <c r="AA35" s="2958"/>
      <c r="AB35" s="1978"/>
      <c r="AC35" s="1978"/>
      <c r="AD35" s="1978"/>
      <c r="AE35" s="1978"/>
      <c r="AF35" s="1978"/>
      <c r="AG35" s="1978"/>
      <c r="AH35" s="2954"/>
      <c r="AI35" s="2956"/>
      <c r="AJ35" s="2939"/>
      <c r="AK35" s="36"/>
    </row>
    <row r="36" spans="1:37" ht="46.5" customHeight="1" x14ac:dyDescent="0.2">
      <c r="A36" s="119"/>
      <c r="B36" s="120"/>
      <c r="C36" s="125"/>
      <c r="D36" s="126"/>
      <c r="E36" s="125"/>
      <c r="F36" s="126"/>
      <c r="G36" s="1896"/>
      <c r="H36" s="1926"/>
      <c r="I36" s="1926"/>
      <c r="J36" s="2951"/>
      <c r="K36" s="2928"/>
      <c r="L36" s="2922"/>
      <c r="M36" s="1768"/>
      <c r="N36" s="1994"/>
      <c r="O36" s="1820"/>
      <c r="P36" s="2949"/>
      <c r="Q36" s="1775"/>
      <c r="R36" s="71" t="s">
        <v>604</v>
      </c>
      <c r="S36" s="72">
        <v>24000000</v>
      </c>
      <c r="T36" s="1896"/>
      <c r="U36" s="1865"/>
      <c r="V36" s="2960"/>
      <c r="W36" s="2960"/>
      <c r="X36" s="2960"/>
      <c r="Y36" s="2960"/>
      <c r="Z36" s="2960"/>
      <c r="AA36" s="2958"/>
      <c r="AB36" s="1978"/>
      <c r="AC36" s="1978"/>
      <c r="AD36" s="1978"/>
      <c r="AE36" s="1978"/>
      <c r="AF36" s="1978"/>
      <c r="AG36" s="1978"/>
      <c r="AH36" s="2954"/>
      <c r="AI36" s="2956"/>
      <c r="AJ36" s="2939"/>
      <c r="AK36" s="36"/>
    </row>
    <row r="37" spans="1:37" ht="46.5" customHeight="1" x14ac:dyDescent="0.2">
      <c r="A37" s="119"/>
      <c r="B37" s="120"/>
      <c r="C37" s="125"/>
      <c r="D37" s="126"/>
      <c r="E37" s="125"/>
      <c r="F37" s="126"/>
      <c r="G37" s="1896"/>
      <c r="H37" s="1926"/>
      <c r="I37" s="1926"/>
      <c r="J37" s="2951"/>
      <c r="K37" s="2928"/>
      <c r="L37" s="2922"/>
      <c r="M37" s="1768"/>
      <c r="N37" s="1994"/>
      <c r="O37" s="1820"/>
      <c r="P37" s="2949"/>
      <c r="Q37" s="1895"/>
      <c r="R37" s="74" t="s">
        <v>605</v>
      </c>
      <c r="S37" s="75">
        <v>30000000</v>
      </c>
      <c r="T37" s="1896"/>
      <c r="U37" s="1865"/>
      <c r="V37" s="2960"/>
      <c r="W37" s="2960"/>
      <c r="X37" s="2960"/>
      <c r="Y37" s="2960"/>
      <c r="Z37" s="2960"/>
      <c r="AA37" s="2958"/>
      <c r="AB37" s="1978"/>
      <c r="AC37" s="1978"/>
      <c r="AD37" s="1978"/>
      <c r="AE37" s="1978"/>
      <c r="AF37" s="1978"/>
      <c r="AG37" s="1978"/>
      <c r="AH37" s="2954"/>
      <c r="AI37" s="2956"/>
      <c r="AJ37" s="2965"/>
      <c r="AK37" s="36"/>
    </row>
    <row r="38" spans="1:37" s="78" customFormat="1" ht="37.5" customHeight="1" x14ac:dyDescent="0.25">
      <c r="A38" s="119"/>
      <c r="B38" s="120"/>
      <c r="C38" s="44">
        <v>18</v>
      </c>
      <c r="D38" s="45" t="s">
        <v>606</v>
      </c>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76"/>
      <c r="AK38" s="77"/>
    </row>
    <row r="39" spans="1:37" ht="31.5" customHeight="1" x14ac:dyDescent="0.2">
      <c r="A39" s="119"/>
      <c r="B39" s="120"/>
      <c r="C39" s="125"/>
      <c r="D39" s="126"/>
      <c r="E39" s="48">
        <v>62</v>
      </c>
      <c r="F39" s="79" t="s">
        <v>607</v>
      </c>
      <c r="G39" s="80"/>
      <c r="H39" s="80"/>
      <c r="I39" s="80"/>
      <c r="J39" s="80"/>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64"/>
      <c r="AK39" s="36"/>
    </row>
    <row r="40" spans="1:37" ht="69.75" customHeight="1" x14ac:dyDescent="0.2">
      <c r="A40" s="119"/>
      <c r="B40" s="120"/>
      <c r="C40" s="125"/>
      <c r="D40" s="126"/>
      <c r="E40" s="123"/>
      <c r="F40" s="124"/>
      <c r="G40" s="1796">
        <v>191</v>
      </c>
      <c r="H40" s="2952" t="s">
        <v>608</v>
      </c>
      <c r="I40" s="1778" t="s">
        <v>609</v>
      </c>
      <c r="J40" s="1797">
        <v>1</v>
      </c>
      <c r="K40" s="2928" t="s">
        <v>610</v>
      </c>
      <c r="L40" s="2922">
        <v>117</v>
      </c>
      <c r="M40" s="1769" t="s">
        <v>611</v>
      </c>
      <c r="N40" s="1995">
        <v>1</v>
      </c>
      <c r="O40" s="1821">
        <v>1100000000</v>
      </c>
      <c r="P40" s="1768" t="s">
        <v>612</v>
      </c>
      <c r="Q40" s="1830" t="s">
        <v>613</v>
      </c>
      <c r="R40" s="2961" t="s">
        <v>614</v>
      </c>
      <c r="S40" s="2963">
        <v>85000000</v>
      </c>
      <c r="T40" s="1895">
        <v>20</v>
      </c>
      <c r="U40" s="1895" t="s">
        <v>185</v>
      </c>
      <c r="V40" s="2919"/>
      <c r="W40" s="1770"/>
      <c r="X40" s="1770"/>
      <c r="Y40" s="2969"/>
      <c r="Z40" s="2969"/>
      <c r="AA40" s="2969"/>
      <c r="AB40" s="1771"/>
      <c r="AC40" s="1771"/>
      <c r="AD40" s="2919"/>
      <c r="AE40" s="2919"/>
      <c r="AF40" s="2919"/>
      <c r="AG40" s="2919"/>
      <c r="AH40" s="2941">
        <v>42736</v>
      </c>
      <c r="AI40" s="2941">
        <v>43100</v>
      </c>
      <c r="AJ40" s="2916" t="s">
        <v>547</v>
      </c>
      <c r="AK40" s="36"/>
    </row>
    <row r="41" spans="1:37" ht="53.25" customHeight="1" x14ac:dyDescent="0.2">
      <c r="A41" s="119"/>
      <c r="B41" s="120"/>
      <c r="C41" s="125"/>
      <c r="D41" s="126"/>
      <c r="E41" s="125"/>
      <c r="F41" s="126"/>
      <c r="G41" s="1796"/>
      <c r="H41" s="2952"/>
      <c r="I41" s="1778"/>
      <c r="J41" s="1797"/>
      <c r="K41" s="2928"/>
      <c r="L41" s="2922"/>
      <c r="M41" s="1778"/>
      <c r="N41" s="1825"/>
      <c r="O41" s="2927"/>
      <c r="P41" s="1768"/>
      <c r="Q41" s="1926"/>
      <c r="R41" s="2962"/>
      <c r="S41" s="2964"/>
      <c r="T41" s="1896"/>
      <c r="U41" s="1896"/>
      <c r="V41" s="2919"/>
      <c r="W41" s="1771"/>
      <c r="X41" s="1771"/>
      <c r="Y41" s="2969"/>
      <c r="Z41" s="2969"/>
      <c r="AA41" s="2969"/>
      <c r="AB41" s="1771"/>
      <c r="AC41" s="1771"/>
      <c r="AD41" s="2919"/>
      <c r="AE41" s="2919"/>
      <c r="AF41" s="2919"/>
      <c r="AG41" s="2919"/>
      <c r="AH41" s="2053"/>
      <c r="AI41" s="2053"/>
      <c r="AJ41" s="2944"/>
      <c r="AK41" s="36"/>
    </row>
    <row r="42" spans="1:37" ht="90" customHeight="1" x14ac:dyDescent="0.2">
      <c r="A42" s="119"/>
      <c r="B42" s="120"/>
      <c r="C42" s="125"/>
      <c r="D42" s="126"/>
      <c r="E42" s="125"/>
      <c r="F42" s="126"/>
      <c r="G42" s="1796"/>
      <c r="H42" s="2952"/>
      <c r="I42" s="1778"/>
      <c r="J42" s="1797"/>
      <c r="K42" s="2928"/>
      <c r="L42" s="2922"/>
      <c r="M42" s="1778"/>
      <c r="N42" s="1825"/>
      <c r="O42" s="2927"/>
      <c r="P42" s="1768"/>
      <c r="Q42" s="1927"/>
      <c r="R42" s="82" t="s">
        <v>615</v>
      </c>
      <c r="S42" s="458">
        <v>0</v>
      </c>
      <c r="T42" s="1896"/>
      <c r="U42" s="1896"/>
      <c r="V42" s="2919"/>
      <c r="W42" s="1771"/>
      <c r="X42" s="1771"/>
      <c r="Y42" s="2969"/>
      <c r="Z42" s="2969"/>
      <c r="AA42" s="2969"/>
      <c r="AB42" s="1771"/>
      <c r="AC42" s="1771"/>
      <c r="AD42" s="2919"/>
      <c r="AE42" s="2919"/>
      <c r="AF42" s="2919"/>
      <c r="AG42" s="2919"/>
      <c r="AH42" s="2053"/>
      <c r="AI42" s="2053"/>
      <c r="AJ42" s="2944"/>
      <c r="AK42" s="36"/>
    </row>
    <row r="43" spans="1:37" ht="63" customHeight="1" x14ac:dyDescent="0.2">
      <c r="A43" s="119"/>
      <c r="B43" s="120"/>
      <c r="C43" s="125"/>
      <c r="D43" s="126"/>
      <c r="E43" s="125"/>
      <c r="F43" s="126"/>
      <c r="G43" s="1796"/>
      <c r="H43" s="2952"/>
      <c r="I43" s="1778"/>
      <c r="J43" s="1797"/>
      <c r="K43" s="2928"/>
      <c r="L43" s="2922"/>
      <c r="M43" s="1778"/>
      <c r="N43" s="1825"/>
      <c r="O43" s="2927"/>
      <c r="P43" s="1768"/>
      <c r="Q43" s="1830" t="s">
        <v>616</v>
      </c>
      <c r="R43" s="2961" t="s">
        <v>617</v>
      </c>
      <c r="S43" s="1819">
        <v>1015000000</v>
      </c>
      <c r="T43" s="1896"/>
      <c r="U43" s="1896"/>
      <c r="V43" s="2919"/>
      <c r="W43" s="1771"/>
      <c r="X43" s="1771"/>
      <c r="Y43" s="2969"/>
      <c r="Z43" s="2969"/>
      <c r="AA43" s="2969"/>
      <c r="AB43" s="1771"/>
      <c r="AC43" s="1771"/>
      <c r="AD43" s="2919"/>
      <c r="AE43" s="2919"/>
      <c r="AF43" s="2919"/>
      <c r="AG43" s="2919"/>
      <c r="AH43" s="2053"/>
      <c r="AI43" s="2053"/>
      <c r="AJ43" s="2944"/>
      <c r="AK43" s="36"/>
    </row>
    <row r="44" spans="1:37" ht="89.25" customHeight="1" x14ac:dyDescent="0.2">
      <c r="A44" s="119"/>
      <c r="B44" s="120"/>
      <c r="C44" s="125"/>
      <c r="D44" s="126"/>
      <c r="E44" s="125"/>
      <c r="F44" s="126"/>
      <c r="G44" s="1796"/>
      <c r="H44" s="2952"/>
      <c r="I44" s="1778"/>
      <c r="J44" s="1797"/>
      <c r="K44" s="2929"/>
      <c r="L44" s="2923"/>
      <c r="M44" s="1778"/>
      <c r="N44" s="1825"/>
      <c r="O44" s="2927"/>
      <c r="P44" s="1768"/>
      <c r="Q44" s="1927"/>
      <c r="R44" s="2962"/>
      <c r="S44" s="1821"/>
      <c r="T44" s="1897"/>
      <c r="U44" s="1897"/>
      <c r="V44" s="2920"/>
      <c r="W44" s="1772"/>
      <c r="X44" s="1772"/>
      <c r="Y44" s="2970"/>
      <c r="Z44" s="2970"/>
      <c r="AA44" s="2970"/>
      <c r="AB44" s="1772"/>
      <c r="AC44" s="1772"/>
      <c r="AD44" s="2920"/>
      <c r="AE44" s="2920"/>
      <c r="AF44" s="2920"/>
      <c r="AG44" s="2920"/>
      <c r="AH44" s="2053"/>
      <c r="AI44" s="2053"/>
      <c r="AJ44" s="2944"/>
      <c r="AK44" s="36"/>
    </row>
    <row r="45" spans="1:37" ht="85.5" x14ac:dyDescent="0.2">
      <c r="A45" s="119"/>
      <c r="B45" s="120"/>
      <c r="C45" s="125"/>
      <c r="D45" s="126"/>
      <c r="E45" s="125"/>
      <c r="F45" s="126"/>
      <c r="G45" s="1796">
        <v>192</v>
      </c>
      <c r="H45" s="2966" t="s">
        <v>618</v>
      </c>
      <c r="I45" s="1830" t="s">
        <v>619</v>
      </c>
      <c r="J45" s="2968">
        <v>1</v>
      </c>
      <c r="K45" s="2940" t="s">
        <v>620</v>
      </c>
      <c r="L45" s="2921">
        <v>118</v>
      </c>
      <c r="M45" s="1767" t="s">
        <v>621</v>
      </c>
      <c r="N45" s="1825">
        <v>1</v>
      </c>
      <c r="O45" s="2927">
        <v>75000000</v>
      </c>
      <c r="P45" s="1778" t="s">
        <v>612</v>
      </c>
      <c r="Q45" s="1830" t="s">
        <v>622</v>
      </c>
      <c r="R45" s="455" t="s">
        <v>623</v>
      </c>
      <c r="S45" s="51">
        <f>30000000+15000000</f>
        <v>45000000</v>
      </c>
      <c r="T45" s="1895">
        <v>20</v>
      </c>
      <c r="U45" s="1895" t="s">
        <v>185</v>
      </c>
      <c r="V45" s="1909"/>
      <c r="W45" s="2945"/>
      <c r="X45" s="1770"/>
      <c r="Y45" s="1770"/>
      <c r="Z45" s="1770"/>
      <c r="AA45" s="1770"/>
      <c r="AB45" s="2945"/>
      <c r="AC45" s="2945"/>
      <c r="AD45" s="2945"/>
      <c r="AE45" s="2945"/>
      <c r="AF45" s="2945"/>
      <c r="AG45" s="2945"/>
      <c r="AH45" s="2942">
        <v>42736</v>
      </c>
      <c r="AI45" s="2942">
        <v>43100</v>
      </c>
      <c r="AJ45" s="2915" t="s">
        <v>547</v>
      </c>
      <c r="AK45" s="36"/>
    </row>
    <row r="46" spans="1:37" ht="69" customHeight="1" x14ac:dyDescent="0.2">
      <c r="A46" s="119"/>
      <c r="B46" s="120"/>
      <c r="C46" s="125"/>
      <c r="D46" s="126"/>
      <c r="E46" s="125"/>
      <c r="F46" s="126"/>
      <c r="G46" s="1796"/>
      <c r="H46" s="2967"/>
      <c r="I46" s="1927"/>
      <c r="J46" s="2968"/>
      <c r="K46" s="2929"/>
      <c r="L46" s="2923"/>
      <c r="M46" s="1769"/>
      <c r="N46" s="1825"/>
      <c r="O46" s="2927"/>
      <c r="P46" s="1778"/>
      <c r="Q46" s="1927"/>
      <c r="R46" s="455" t="s">
        <v>624</v>
      </c>
      <c r="S46" s="51">
        <v>30000000</v>
      </c>
      <c r="T46" s="1897"/>
      <c r="U46" s="1897"/>
      <c r="V46" s="2971"/>
      <c r="W46" s="2920"/>
      <c r="X46" s="1772"/>
      <c r="Y46" s="1772"/>
      <c r="Z46" s="1772"/>
      <c r="AA46" s="1772"/>
      <c r="AB46" s="2920"/>
      <c r="AC46" s="2920"/>
      <c r="AD46" s="2920"/>
      <c r="AE46" s="2920"/>
      <c r="AF46" s="2920"/>
      <c r="AG46" s="2920"/>
      <c r="AH46" s="2053"/>
      <c r="AI46" s="2053"/>
      <c r="AJ46" s="2915"/>
      <c r="AK46" s="36"/>
    </row>
    <row r="47" spans="1:37" ht="41.25" customHeight="1" x14ac:dyDescent="0.2">
      <c r="A47" s="119"/>
      <c r="B47" s="120"/>
      <c r="C47" s="125"/>
      <c r="D47" s="126"/>
      <c r="E47" s="48">
        <v>63</v>
      </c>
      <c r="F47" s="393" t="s">
        <v>625</v>
      </c>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64"/>
      <c r="AK47" s="36"/>
    </row>
    <row r="48" spans="1:37" ht="114.75" customHeight="1" x14ac:dyDescent="0.2">
      <c r="A48" s="119"/>
      <c r="B48" s="120"/>
      <c r="C48" s="125"/>
      <c r="D48" s="126"/>
      <c r="E48" s="123"/>
      <c r="F48" s="124"/>
      <c r="G48" s="1891">
        <v>193</v>
      </c>
      <c r="H48" s="1768" t="s">
        <v>626</v>
      </c>
      <c r="I48" s="1768" t="s">
        <v>627</v>
      </c>
      <c r="J48" s="1858">
        <v>1</v>
      </c>
      <c r="K48" s="2928" t="s">
        <v>628</v>
      </c>
      <c r="L48" s="2922">
        <v>121</v>
      </c>
      <c r="M48" s="1768" t="s">
        <v>629</v>
      </c>
      <c r="N48" s="1995">
        <v>1</v>
      </c>
      <c r="O48" s="1821">
        <v>15000000</v>
      </c>
      <c r="P48" s="1778" t="s">
        <v>612</v>
      </c>
      <c r="Q48" s="1774" t="s">
        <v>630</v>
      </c>
      <c r="R48" s="441" t="s">
        <v>631</v>
      </c>
      <c r="S48" s="73">
        <v>5000000</v>
      </c>
      <c r="T48" s="1775">
        <v>20</v>
      </c>
      <c r="U48" s="1775" t="s">
        <v>185</v>
      </c>
      <c r="V48" s="2920"/>
      <c r="W48" s="2920"/>
      <c r="X48" s="2920"/>
      <c r="Y48" s="2920"/>
      <c r="Z48" s="2920"/>
      <c r="AA48" s="2920"/>
      <c r="AB48" s="2920"/>
      <c r="AC48" s="1771">
        <v>32</v>
      </c>
      <c r="AD48" s="2920"/>
      <c r="AE48" s="2920"/>
      <c r="AF48" s="2920"/>
      <c r="AG48" s="2920"/>
      <c r="AH48" s="2953">
        <v>42736</v>
      </c>
      <c r="AI48" s="2953" t="s">
        <v>632</v>
      </c>
      <c r="AJ48" s="2939" t="s">
        <v>547</v>
      </c>
      <c r="AK48" s="36"/>
    </row>
    <row r="49" spans="1:37" ht="90.75" customHeight="1" x14ac:dyDescent="0.2">
      <c r="A49" s="119"/>
      <c r="B49" s="120"/>
      <c r="C49" s="125"/>
      <c r="D49" s="126"/>
      <c r="E49" s="125"/>
      <c r="F49" s="126"/>
      <c r="G49" s="2309"/>
      <c r="H49" s="1769"/>
      <c r="I49" s="1769"/>
      <c r="J49" s="1797"/>
      <c r="K49" s="2929"/>
      <c r="L49" s="2923"/>
      <c r="M49" s="1769"/>
      <c r="N49" s="1825"/>
      <c r="O49" s="2927"/>
      <c r="P49" s="1778"/>
      <c r="Q49" s="1774"/>
      <c r="R49" s="455" t="s">
        <v>633</v>
      </c>
      <c r="S49" s="72">
        <v>10000000</v>
      </c>
      <c r="T49" s="1775"/>
      <c r="U49" s="1775"/>
      <c r="V49" s="2943"/>
      <c r="W49" s="2943"/>
      <c r="X49" s="2943"/>
      <c r="Y49" s="2943"/>
      <c r="Z49" s="2943"/>
      <c r="AA49" s="2943"/>
      <c r="AB49" s="2943"/>
      <c r="AC49" s="1772"/>
      <c r="AD49" s="2943"/>
      <c r="AE49" s="2943"/>
      <c r="AF49" s="2943"/>
      <c r="AG49" s="2943"/>
      <c r="AH49" s="2941"/>
      <c r="AI49" s="2941"/>
      <c r="AJ49" s="2939"/>
      <c r="AK49" s="36"/>
    </row>
    <row r="50" spans="1:37" ht="96" customHeight="1" x14ac:dyDescent="0.2">
      <c r="A50" s="119"/>
      <c r="B50" s="120"/>
      <c r="C50" s="125"/>
      <c r="D50" s="126"/>
      <c r="E50" s="125"/>
      <c r="F50" s="126"/>
      <c r="G50" s="2308">
        <v>194</v>
      </c>
      <c r="H50" s="1767" t="s">
        <v>634</v>
      </c>
      <c r="I50" s="2972" t="s">
        <v>635</v>
      </c>
      <c r="J50" s="1797">
        <v>1</v>
      </c>
      <c r="K50" s="2940" t="s">
        <v>636</v>
      </c>
      <c r="L50" s="2921">
        <v>122</v>
      </c>
      <c r="M50" s="1767" t="s">
        <v>637</v>
      </c>
      <c r="N50" s="1825">
        <v>1</v>
      </c>
      <c r="O50" s="2927">
        <v>90000000</v>
      </c>
      <c r="P50" s="1767" t="s">
        <v>612</v>
      </c>
      <c r="Q50" s="1775" t="s">
        <v>638</v>
      </c>
      <c r="R50" s="455" t="s">
        <v>639</v>
      </c>
      <c r="S50" s="51">
        <v>19320575</v>
      </c>
      <c r="T50" s="1775">
        <v>20</v>
      </c>
      <c r="U50" s="1775" t="s">
        <v>185</v>
      </c>
      <c r="V50" s="2943"/>
      <c r="W50" s="2943"/>
      <c r="X50" s="2943"/>
      <c r="Y50" s="2943"/>
      <c r="Z50" s="2943"/>
      <c r="AA50" s="2943"/>
      <c r="AB50" s="2943"/>
      <c r="AC50" s="1770">
        <v>909</v>
      </c>
      <c r="AD50" s="2943"/>
      <c r="AE50" s="2943"/>
      <c r="AF50" s="2943"/>
      <c r="AG50" s="2943"/>
      <c r="AH50" s="2953">
        <v>42736</v>
      </c>
      <c r="AI50" s="2953">
        <v>43100</v>
      </c>
      <c r="AJ50" s="2915" t="s">
        <v>547</v>
      </c>
      <c r="AK50" s="36"/>
    </row>
    <row r="51" spans="1:37" ht="96" customHeight="1" x14ac:dyDescent="0.2">
      <c r="A51" s="119"/>
      <c r="B51" s="120"/>
      <c r="C51" s="125"/>
      <c r="D51" s="126"/>
      <c r="E51" s="125"/>
      <c r="F51" s="126"/>
      <c r="G51" s="1891"/>
      <c r="H51" s="1768"/>
      <c r="I51" s="2972"/>
      <c r="J51" s="1797"/>
      <c r="K51" s="2928"/>
      <c r="L51" s="2922"/>
      <c r="M51" s="1768"/>
      <c r="N51" s="1825"/>
      <c r="O51" s="2927"/>
      <c r="P51" s="1768"/>
      <c r="Q51" s="1775"/>
      <c r="R51" s="455" t="s">
        <v>640</v>
      </c>
      <c r="S51" s="83">
        <f>15679425+10000000</f>
        <v>25679425</v>
      </c>
      <c r="T51" s="1775"/>
      <c r="U51" s="1775"/>
      <c r="V51" s="2943"/>
      <c r="W51" s="2943"/>
      <c r="X51" s="2943"/>
      <c r="Y51" s="2943"/>
      <c r="Z51" s="2943"/>
      <c r="AA51" s="2943"/>
      <c r="AB51" s="2943"/>
      <c r="AC51" s="1771"/>
      <c r="AD51" s="2943"/>
      <c r="AE51" s="2943"/>
      <c r="AF51" s="2943"/>
      <c r="AG51" s="2943"/>
      <c r="AH51" s="2954"/>
      <c r="AI51" s="2954"/>
      <c r="AJ51" s="2915"/>
      <c r="AK51" s="36"/>
    </row>
    <row r="52" spans="1:37" ht="87" customHeight="1" x14ac:dyDescent="0.2">
      <c r="A52" s="119"/>
      <c r="B52" s="120"/>
      <c r="C52" s="125"/>
      <c r="D52" s="126"/>
      <c r="E52" s="129"/>
      <c r="F52" s="130"/>
      <c r="G52" s="1891"/>
      <c r="H52" s="1768"/>
      <c r="I52" s="2972"/>
      <c r="J52" s="1797"/>
      <c r="K52" s="2928"/>
      <c r="L52" s="2922"/>
      <c r="M52" s="1768"/>
      <c r="N52" s="1825"/>
      <c r="O52" s="2927"/>
      <c r="P52" s="1769"/>
      <c r="Q52" s="437" t="s">
        <v>641</v>
      </c>
      <c r="R52" s="455" t="s">
        <v>642</v>
      </c>
      <c r="S52" s="83">
        <v>45000000</v>
      </c>
      <c r="T52" s="1775"/>
      <c r="U52" s="1775"/>
      <c r="V52" s="2943"/>
      <c r="W52" s="2943"/>
      <c r="X52" s="2943"/>
      <c r="Y52" s="2943"/>
      <c r="Z52" s="2943"/>
      <c r="AA52" s="2943"/>
      <c r="AB52" s="2943"/>
      <c r="AC52" s="1771"/>
      <c r="AD52" s="2943"/>
      <c r="AE52" s="2943"/>
      <c r="AF52" s="2943"/>
      <c r="AG52" s="2943"/>
      <c r="AH52" s="2941"/>
      <c r="AI52" s="2941"/>
      <c r="AJ52" s="2915"/>
      <c r="AK52" s="36"/>
    </row>
    <row r="53" spans="1:37" ht="36.75" customHeight="1" x14ac:dyDescent="0.2">
      <c r="A53" s="119"/>
      <c r="B53" s="120"/>
      <c r="C53" s="125"/>
      <c r="D53" s="126"/>
      <c r="E53" s="48">
        <v>64</v>
      </c>
      <c r="F53" s="81" t="s">
        <v>643</v>
      </c>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64"/>
      <c r="AK53" s="36"/>
    </row>
    <row r="54" spans="1:37" ht="52.5" customHeight="1" x14ac:dyDescent="0.2">
      <c r="A54" s="119"/>
      <c r="B54" s="120"/>
      <c r="C54" s="125"/>
      <c r="D54" s="126"/>
      <c r="E54" s="139"/>
      <c r="F54" s="140"/>
      <c r="G54" s="2308">
        <v>195</v>
      </c>
      <c r="H54" s="1767" t="s">
        <v>644</v>
      </c>
      <c r="I54" s="2973" t="s">
        <v>645</v>
      </c>
      <c r="J54" s="1797">
        <v>1</v>
      </c>
      <c r="K54" s="2940" t="s">
        <v>646</v>
      </c>
      <c r="L54" s="2921">
        <v>124</v>
      </c>
      <c r="M54" s="1767" t="s">
        <v>647</v>
      </c>
      <c r="N54" s="1825">
        <v>1</v>
      </c>
      <c r="O54" s="2927">
        <v>100000000</v>
      </c>
      <c r="P54" s="1767" t="s">
        <v>612</v>
      </c>
      <c r="Q54" s="1767" t="s">
        <v>648</v>
      </c>
      <c r="R54" s="455" t="s">
        <v>649</v>
      </c>
      <c r="S54" s="51">
        <f>15000000+20000000</f>
        <v>35000000</v>
      </c>
      <c r="T54" s="1895">
        <v>20</v>
      </c>
      <c r="U54" s="1896" t="s">
        <v>185</v>
      </c>
      <c r="V54" s="1770"/>
      <c r="W54" s="2945"/>
      <c r="X54" s="2945"/>
      <c r="Y54" s="2945"/>
      <c r="Z54" s="2945"/>
      <c r="AA54" s="2945"/>
      <c r="AB54" s="1770">
        <v>13208</v>
      </c>
      <c r="AC54" s="2945"/>
      <c r="AD54" s="2945"/>
      <c r="AE54" s="2945"/>
      <c r="AF54" s="2945"/>
      <c r="AG54" s="2945"/>
      <c r="AH54" s="2976">
        <v>42736</v>
      </c>
      <c r="AI54" s="2953">
        <v>43100</v>
      </c>
      <c r="AJ54" s="2915" t="s">
        <v>547</v>
      </c>
      <c r="AK54" s="36"/>
    </row>
    <row r="55" spans="1:37" ht="76.5" customHeight="1" x14ac:dyDescent="0.2">
      <c r="A55" s="119"/>
      <c r="B55" s="120"/>
      <c r="C55" s="125"/>
      <c r="D55" s="126"/>
      <c r="E55" s="121"/>
      <c r="F55" s="122"/>
      <c r="G55" s="1891"/>
      <c r="H55" s="1768"/>
      <c r="I55" s="2974"/>
      <c r="J55" s="1797"/>
      <c r="K55" s="2928"/>
      <c r="L55" s="2922"/>
      <c r="M55" s="1768"/>
      <c r="N55" s="1825"/>
      <c r="O55" s="2927"/>
      <c r="P55" s="1768"/>
      <c r="Q55" s="1768"/>
      <c r="R55" s="455" t="s">
        <v>650</v>
      </c>
      <c r="S55" s="51">
        <f>35000000+20000000</f>
        <v>55000000</v>
      </c>
      <c r="T55" s="1896"/>
      <c r="U55" s="1896"/>
      <c r="V55" s="1771"/>
      <c r="W55" s="2919"/>
      <c r="X55" s="2919"/>
      <c r="Y55" s="2919"/>
      <c r="Z55" s="2919"/>
      <c r="AA55" s="2919"/>
      <c r="AB55" s="1771"/>
      <c r="AC55" s="2919"/>
      <c r="AD55" s="2919"/>
      <c r="AE55" s="2919"/>
      <c r="AF55" s="2919"/>
      <c r="AG55" s="2919"/>
      <c r="AH55" s="2977"/>
      <c r="AI55" s="2954"/>
      <c r="AJ55" s="2915"/>
      <c r="AK55" s="36"/>
    </row>
    <row r="56" spans="1:37" ht="49.5" customHeight="1" x14ac:dyDescent="0.2">
      <c r="A56" s="119"/>
      <c r="B56" s="120"/>
      <c r="C56" s="125"/>
      <c r="D56" s="126"/>
      <c r="E56" s="127"/>
      <c r="F56" s="128"/>
      <c r="G56" s="2309"/>
      <c r="H56" s="1769"/>
      <c r="I56" s="2975"/>
      <c r="J56" s="1797"/>
      <c r="K56" s="2929"/>
      <c r="L56" s="2923"/>
      <c r="M56" s="1769"/>
      <c r="N56" s="1825"/>
      <c r="O56" s="2927"/>
      <c r="P56" s="1769"/>
      <c r="Q56" s="1769"/>
      <c r="R56" s="50" t="s">
        <v>651</v>
      </c>
      <c r="S56" s="51">
        <v>10000000</v>
      </c>
      <c r="T56" s="1897"/>
      <c r="U56" s="1897"/>
      <c r="V56" s="1772"/>
      <c r="W56" s="2920"/>
      <c r="X56" s="2920"/>
      <c r="Y56" s="2920"/>
      <c r="Z56" s="2920"/>
      <c r="AA56" s="2920"/>
      <c r="AB56" s="1772"/>
      <c r="AC56" s="2920"/>
      <c r="AD56" s="2920"/>
      <c r="AE56" s="2920"/>
      <c r="AF56" s="2920"/>
      <c r="AG56" s="2920"/>
      <c r="AH56" s="2978"/>
      <c r="AI56" s="2941"/>
      <c r="AJ56" s="2915"/>
      <c r="AK56" s="36"/>
    </row>
    <row r="57" spans="1:37" ht="39.75" customHeight="1" x14ac:dyDescent="0.2">
      <c r="A57" s="119"/>
      <c r="B57" s="120"/>
      <c r="C57" s="125"/>
      <c r="D57" s="126"/>
      <c r="E57" s="48">
        <v>65</v>
      </c>
      <c r="F57" s="393" t="s">
        <v>652</v>
      </c>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64"/>
      <c r="AK57" s="36"/>
    </row>
    <row r="58" spans="1:37" ht="65.25" customHeight="1" x14ac:dyDescent="0.2">
      <c r="A58" s="119"/>
      <c r="B58" s="120"/>
      <c r="C58" s="125"/>
      <c r="D58" s="126"/>
      <c r="E58" s="123"/>
      <c r="F58" s="124"/>
      <c r="G58" s="2308">
        <v>196</v>
      </c>
      <c r="H58" s="1767" t="s">
        <v>653</v>
      </c>
      <c r="I58" s="1767" t="s">
        <v>654</v>
      </c>
      <c r="J58" s="2918">
        <v>1</v>
      </c>
      <c r="K58" s="2940" t="s">
        <v>655</v>
      </c>
      <c r="L58" s="2921">
        <v>125</v>
      </c>
      <c r="M58" s="1767" t="s">
        <v>656</v>
      </c>
      <c r="N58" s="1825">
        <v>1</v>
      </c>
      <c r="O58" s="2927">
        <v>70000000</v>
      </c>
      <c r="P58" s="1767" t="s">
        <v>612</v>
      </c>
      <c r="Q58" s="1830" t="s">
        <v>657</v>
      </c>
      <c r="R58" s="84" t="s">
        <v>658</v>
      </c>
      <c r="S58" s="85">
        <f>20000000+49000000</f>
        <v>69000000</v>
      </c>
      <c r="T58" s="1895">
        <v>20</v>
      </c>
      <c r="U58" s="1896" t="s">
        <v>185</v>
      </c>
      <c r="V58" s="2945"/>
      <c r="W58" s="1982">
        <v>755</v>
      </c>
      <c r="X58" s="1982">
        <v>1500</v>
      </c>
      <c r="Y58" s="1982">
        <v>95</v>
      </c>
      <c r="Z58" s="1982"/>
      <c r="AA58" s="1982"/>
      <c r="AB58" s="1982">
        <f>W58+X58+Y58+AC58</f>
        <v>2360</v>
      </c>
      <c r="AC58" s="1982">
        <v>10</v>
      </c>
      <c r="AD58" s="2945"/>
      <c r="AE58" s="2945"/>
      <c r="AF58" s="2945"/>
      <c r="AG58" s="2945"/>
      <c r="AH58" s="2953">
        <v>42736</v>
      </c>
      <c r="AI58" s="2953">
        <v>43100</v>
      </c>
      <c r="AJ58" s="2915" t="s">
        <v>547</v>
      </c>
      <c r="AK58" s="36"/>
    </row>
    <row r="59" spans="1:37" ht="72" customHeight="1" x14ac:dyDescent="0.2">
      <c r="A59" s="119"/>
      <c r="B59" s="120"/>
      <c r="C59" s="125"/>
      <c r="D59" s="126"/>
      <c r="E59" s="129"/>
      <c r="F59" s="130"/>
      <c r="G59" s="1891"/>
      <c r="H59" s="1768"/>
      <c r="I59" s="1768"/>
      <c r="J59" s="2918"/>
      <c r="K59" s="2928"/>
      <c r="L59" s="2922"/>
      <c r="M59" s="1768"/>
      <c r="N59" s="1825"/>
      <c r="O59" s="2927"/>
      <c r="P59" s="1768"/>
      <c r="Q59" s="1926"/>
      <c r="R59" s="455" t="s">
        <v>659</v>
      </c>
      <c r="S59" s="85">
        <v>1000000</v>
      </c>
      <c r="T59" s="1896"/>
      <c r="U59" s="1896"/>
      <c r="V59" s="2919"/>
      <c r="W59" s="1978"/>
      <c r="X59" s="1978"/>
      <c r="Y59" s="1978"/>
      <c r="Z59" s="1978"/>
      <c r="AA59" s="1978"/>
      <c r="AB59" s="1978"/>
      <c r="AC59" s="1978"/>
      <c r="AD59" s="2919"/>
      <c r="AE59" s="2919"/>
      <c r="AF59" s="2919"/>
      <c r="AG59" s="2919"/>
      <c r="AH59" s="2941"/>
      <c r="AI59" s="2941"/>
      <c r="AJ59" s="2915"/>
      <c r="AK59" s="36"/>
    </row>
    <row r="60" spans="1:37" ht="37.5" customHeight="1" x14ac:dyDescent="0.2">
      <c r="A60" s="119"/>
      <c r="B60" s="120"/>
      <c r="C60" s="125"/>
      <c r="D60" s="126"/>
      <c r="E60" s="86">
        <v>66</v>
      </c>
      <c r="F60" s="393" t="s">
        <v>660</v>
      </c>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64"/>
      <c r="AK60" s="36"/>
    </row>
    <row r="61" spans="1:37" ht="75.75" customHeight="1" x14ac:dyDescent="0.2">
      <c r="A61" s="119"/>
      <c r="B61" s="120"/>
      <c r="C61" s="125"/>
      <c r="D61" s="126"/>
      <c r="E61" s="141"/>
      <c r="F61" s="142"/>
      <c r="G61" s="2308">
        <v>197</v>
      </c>
      <c r="H61" s="1767" t="s">
        <v>661</v>
      </c>
      <c r="I61" s="1767" t="s">
        <v>662</v>
      </c>
      <c r="J61" s="1797">
        <v>1</v>
      </c>
      <c r="K61" s="2928" t="s">
        <v>663</v>
      </c>
      <c r="L61" s="2922">
        <v>128</v>
      </c>
      <c r="M61" s="1767" t="s">
        <v>664</v>
      </c>
      <c r="N61" s="1993">
        <v>1</v>
      </c>
      <c r="O61" s="2927">
        <v>82000000</v>
      </c>
      <c r="P61" s="1767" t="s">
        <v>612</v>
      </c>
      <c r="Q61" s="1775" t="s">
        <v>665</v>
      </c>
      <c r="R61" s="455" t="s">
        <v>666</v>
      </c>
      <c r="S61" s="51">
        <v>6500000</v>
      </c>
      <c r="T61" s="1895">
        <v>20</v>
      </c>
      <c r="U61" s="1895" t="s">
        <v>185</v>
      </c>
      <c r="V61" s="2979"/>
      <c r="W61" s="2982">
        <v>16975</v>
      </c>
      <c r="X61" s="2982">
        <v>34764</v>
      </c>
      <c r="Y61" s="2982">
        <v>38285</v>
      </c>
      <c r="Z61" s="2982">
        <v>69532</v>
      </c>
      <c r="AA61" s="2982">
        <v>103</v>
      </c>
      <c r="AB61" s="1982">
        <v>213</v>
      </c>
      <c r="AC61" s="1982">
        <v>12</v>
      </c>
      <c r="AD61" s="1770"/>
      <c r="AE61" s="2945"/>
      <c r="AF61" s="2945"/>
      <c r="AG61" s="2945"/>
      <c r="AH61" s="2942">
        <v>42736</v>
      </c>
      <c r="AI61" s="2942">
        <v>43100</v>
      </c>
      <c r="AJ61" s="2944" t="s">
        <v>547</v>
      </c>
      <c r="AK61" s="36"/>
    </row>
    <row r="62" spans="1:37" ht="81" customHeight="1" x14ac:dyDescent="0.2">
      <c r="A62" s="119"/>
      <c r="B62" s="120"/>
      <c r="C62" s="125"/>
      <c r="D62" s="126"/>
      <c r="E62" s="143"/>
      <c r="F62" s="144"/>
      <c r="G62" s="1891"/>
      <c r="H62" s="1768"/>
      <c r="I62" s="1768"/>
      <c r="J62" s="1797"/>
      <c r="K62" s="2928"/>
      <c r="L62" s="2922"/>
      <c r="M62" s="1768"/>
      <c r="N62" s="1994"/>
      <c r="O62" s="2927"/>
      <c r="P62" s="1768"/>
      <c r="Q62" s="1775"/>
      <c r="R62" s="455" t="s">
        <v>667</v>
      </c>
      <c r="S62" s="51">
        <v>1500000</v>
      </c>
      <c r="T62" s="1896"/>
      <c r="U62" s="1896"/>
      <c r="V62" s="2980"/>
      <c r="W62" s="2983"/>
      <c r="X62" s="2983"/>
      <c r="Y62" s="2983"/>
      <c r="Z62" s="2983"/>
      <c r="AA62" s="2983"/>
      <c r="AB62" s="1978"/>
      <c r="AC62" s="1978"/>
      <c r="AD62" s="1771"/>
      <c r="AE62" s="2919"/>
      <c r="AF62" s="2919"/>
      <c r="AG62" s="2919"/>
      <c r="AH62" s="2942"/>
      <c r="AI62" s="2942"/>
      <c r="AJ62" s="2944"/>
      <c r="AK62" s="36"/>
    </row>
    <row r="63" spans="1:37" ht="67.5" customHeight="1" x14ac:dyDescent="0.2">
      <c r="A63" s="119"/>
      <c r="B63" s="120"/>
      <c r="C63" s="125"/>
      <c r="D63" s="126"/>
      <c r="E63" s="143"/>
      <c r="F63" s="144"/>
      <c r="G63" s="1891"/>
      <c r="H63" s="1768"/>
      <c r="I63" s="1768"/>
      <c r="J63" s="1797"/>
      <c r="K63" s="2928"/>
      <c r="L63" s="2922"/>
      <c r="M63" s="1768"/>
      <c r="N63" s="1994"/>
      <c r="O63" s="2927"/>
      <c r="P63" s="1768"/>
      <c r="Q63" s="1896" t="s">
        <v>668</v>
      </c>
      <c r="R63" s="455" t="s">
        <v>669</v>
      </c>
      <c r="S63" s="51">
        <f>25000000+40000000</f>
        <v>65000000</v>
      </c>
      <c r="T63" s="1896"/>
      <c r="U63" s="1896"/>
      <c r="V63" s="2980"/>
      <c r="W63" s="2983"/>
      <c r="X63" s="2983"/>
      <c r="Y63" s="2983"/>
      <c r="Z63" s="2983"/>
      <c r="AA63" s="2983"/>
      <c r="AB63" s="1978"/>
      <c r="AC63" s="1978"/>
      <c r="AD63" s="1771"/>
      <c r="AE63" s="2919"/>
      <c r="AF63" s="2919"/>
      <c r="AG63" s="2919"/>
      <c r="AH63" s="2053"/>
      <c r="AI63" s="2053"/>
      <c r="AJ63" s="2944"/>
      <c r="AK63" s="36"/>
    </row>
    <row r="64" spans="1:37" ht="59.25" customHeight="1" x14ac:dyDescent="0.2">
      <c r="A64" s="119"/>
      <c r="B64" s="120"/>
      <c r="C64" s="129"/>
      <c r="D64" s="130"/>
      <c r="E64" s="145"/>
      <c r="F64" s="146"/>
      <c r="G64" s="2309"/>
      <c r="H64" s="1769"/>
      <c r="I64" s="1769"/>
      <c r="J64" s="1797"/>
      <c r="K64" s="2929"/>
      <c r="L64" s="2923"/>
      <c r="M64" s="1769"/>
      <c r="N64" s="1995"/>
      <c r="O64" s="2927"/>
      <c r="P64" s="1769"/>
      <c r="Q64" s="1897"/>
      <c r="R64" s="455" t="s">
        <v>670</v>
      </c>
      <c r="S64" s="51">
        <v>9000000</v>
      </c>
      <c r="T64" s="1897"/>
      <c r="U64" s="1897"/>
      <c r="V64" s="2981"/>
      <c r="W64" s="2984"/>
      <c r="X64" s="2984"/>
      <c r="Y64" s="2984"/>
      <c r="Z64" s="2984"/>
      <c r="AA64" s="2984"/>
      <c r="AB64" s="1979"/>
      <c r="AC64" s="1979"/>
      <c r="AD64" s="1772"/>
      <c r="AE64" s="2920"/>
      <c r="AF64" s="2920"/>
      <c r="AG64" s="2920"/>
      <c r="AH64" s="2053"/>
      <c r="AI64" s="2053"/>
      <c r="AJ64" s="2944"/>
      <c r="AK64" s="36"/>
    </row>
    <row r="65" spans="1:37" ht="29.25" customHeight="1" x14ac:dyDescent="0.2">
      <c r="A65" s="119"/>
      <c r="B65" s="120"/>
      <c r="C65" s="44">
        <v>19</v>
      </c>
      <c r="D65" s="45" t="s">
        <v>671</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87"/>
      <c r="AK65" s="36"/>
    </row>
    <row r="66" spans="1:37" ht="30" customHeight="1" x14ac:dyDescent="0.2">
      <c r="A66" s="119"/>
      <c r="B66" s="120"/>
      <c r="C66" s="125"/>
      <c r="D66" s="126"/>
      <c r="E66" s="48">
        <v>67</v>
      </c>
      <c r="F66" s="81" t="s">
        <v>672</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64"/>
      <c r="AK66" s="36"/>
    </row>
    <row r="67" spans="1:37" s="43" customFormat="1" ht="81" customHeight="1" x14ac:dyDescent="0.2">
      <c r="A67" s="119"/>
      <c r="B67" s="120"/>
      <c r="C67" s="125"/>
      <c r="D67" s="126"/>
      <c r="E67" s="131"/>
      <c r="F67" s="132"/>
      <c r="G67" s="1774">
        <v>198</v>
      </c>
      <c r="H67" s="1767" t="s">
        <v>673</v>
      </c>
      <c r="I67" s="1861" t="s">
        <v>674</v>
      </c>
      <c r="J67" s="1856">
        <v>1</v>
      </c>
      <c r="K67" s="2996" t="s">
        <v>675</v>
      </c>
      <c r="L67" s="2922">
        <v>129</v>
      </c>
      <c r="M67" s="1768" t="s">
        <v>676</v>
      </c>
      <c r="N67" s="2995">
        <v>2.6145196407975354E-2</v>
      </c>
      <c r="O67" s="1819">
        <v>4207273806</v>
      </c>
      <c r="P67" s="1768" t="s">
        <v>677</v>
      </c>
      <c r="Q67" s="1926" t="s">
        <v>678</v>
      </c>
      <c r="R67" s="441" t="s">
        <v>679</v>
      </c>
      <c r="S67" s="73">
        <v>20000000</v>
      </c>
      <c r="T67" s="1775">
        <v>20</v>
      </c>
      <c r="U67" s="1895" t="s">
        <v>185</v>
      </c>
      <c r="V67" s="1834"/>
      <c r="W67" s="1910"/>
      <c r="X67" s="1910"/>
      <c r="Y67" s="1910"/>
      <c r="Z67" s="1910"/>
      <c r="AA67" s="1978">
        <v>81882</v>
      </c>
      <c r="AB67" s="1910"/>
      <c r="AC67" s="1910"/>
      <c r="AD67" s="1910"/>
      <c r="AE67" s="1910"/>
      <c r="AF67" s="1834"/>
      <c r="AG67" s="1834"/>
      <c r="AH67" s="2942">
        <v>42736</v>
      </c>
      <c r="AI67" s="2942">
        <v>43100</v>
      </c>
      <c r="AJ67" s="2985" t="s">
        <v>547</v>
      </c>
      <c r="AK67" s="88"/>
    </row>
    <row r="68" spans="1:37" s="43" customFormat="1" ht="81" customHeight="1" x14ac:dyDescent="0.2">
      <c r="A68" s="119"/>
      <c r="B68" s="120"/>
      <c r="C68" s="125"/>
      <c r="D68" s="126"/>
      <c r="E68" s="133"/>
      <c r="F68" s="134"/>
      <c r="G68" s="1774"/>
      <c r="H68" s="1768"/>
      <c r="I68" s="1865"/>
      <c r="J68" s="1857"/>
      <c r="K68" s="2997"/>
      <c r="L68" s="2922"/>
      <c r="M68" s="1768"/>
      <c r="N68" s="2995"/>
      <c r="O68" s="1820"/>
      <c r="P68" s="1768"/>
      <c r="Q68" s="1926"/>
      <c r="R68" s="455" t="s">
        <v>680</v>
      </c>
      <c r="S68" s="72">
        <v>89000000</v>
      </c>
      <c r="T68" s="1775"/>
      <c r="U68" s="1896"/>
      <c r="V68" s="1834"/>
      <c r="W68" s="1910"/>
      <c r="X68" s="1910"/>
      <c r="Y68" s="1910"/>
      <c r="Z68" s="1910"/>
      <c r="AA68" s="1978"/>
      <c r="AB68" s="1910"/>
      <c r="AC68" s="1910"/>
      <c r="AD68" s="1910"/>
      <c r="AE68" s="1910"/>
      <c r="AF68" s="1834"/>
      <c r="AG68" s="1834"/>
      <c r="AH68" s="2942"/>
      <c r="AI68" s="2942"/>
      <c r="AJ68" s="2986"/>
      <c r="AK68" s="88"/>
    </row>
    <row r="69" spans="1:37" s="43" customFormat="1" ht="77.25" customHeight="1" x14ac:dyDescent="0.2">
      <c r="A69" s="119"/>
      <c r="B69" s="120"/>
      <c r="C69" s="125"/>
      <c r="D69" s="126"/>
      <c r="E69" s="133"/>
      <c r="F69" s="134"/>
      <c r="G69" s="1774"/>
      <c r="H69" s="1768"/>
      <c r="I69" s="1865"/>
      <c r="J69" s="1857"/>
      <c r="K69" s="2997"/>
      <c r="L69" s="2922"/>
      <c r="M69" s="1768"/>
      <c r="N69" s="2995"/>
      <c r="O69" s="1820"/>
      <c r="P69" s="1768"/>
      <c r="Q69" s="1926"/>
      <c r="R69" s="455" t="s">
        <v>681</v>
      </c>
      <c r="S69" s="72">
        <v>1000000</v>
      </c>
      <c r="T69" s="1775"/>
      <c r="U69" s="1896"/>
      <c r="V69" s="1834"/>
      <c r="W69" s="1910"/>
      <c r="X69" s="1910"/>
      <c r="Y69" s="1910"/>
      <c r="Z69" s="1910"/>
      <c r="AA69" s="1978"/>
      <c r="AB69" s="1910"/>
      <c r="AC69" s="1910"/>
      <c r="AD69" s="1910"/>
      <c r="AE69" s="1910"/>
      <c r="AF69" s="1834"/>
      <c r="AG69" s="1834"/>
      <c r="AH69" s="2942"/>
      <c r="AI69" s="2942"/>
      <c r="AJ69" s="2986"/>
      <c r="AK69" s="88"/>
    </row>
    <row r="70" spans="1:37" s="43" customFormat="1" ht="77.25" customHeight="1" x14ac:dyDescent="0.2">
      <c r="A70" s="119"/>
      <c r="B70" s="120"/>
      <c r="C70" s="125"/>
      <c r="D70" s="126"/>
      <c r="E70" s="133"/>
      <c r="F70" s="134"/>
      <c r="G70" s="463">
        <v>199</v>
      </c>
      <c r="H70" s="65" t="s">
        <v>682</v>
      </c>
      <c r="I70" s="65" t="s">
        <v>683</v>
      </c>
      <c r="J70" s="450">
        <v>4</v>
      </c>
      <c r="K70" s="1191" t="s">
        <v>675</v>
      </c>
      <c r="L70" s="2922"/>
      <c r="M70" s="1768"/>
      <c r="N70" s="438">
        <v>2.3768360370886687E-3</v>
      </c>
      <c r="O70" s="1820"/>
      <c r="P70" s="1768"/>
      <c r="Q70" s="1926"/>
      <c r="R70" s="455" t="s">
        <v>684</v>
      </c>
      <c r="S70" s="72">
        <v>10000000</v>
      </c>
      <c r="T70" s="1775"/>
      <c r="U70" s="1897"/>
      <c r="V70" s="1834"/>
      <c r="W70" s="1910"/>
      <c r="X70" s="1910"/>
      <c r="Y70" s="1910"/>
      <c r="Z70" s="1910"/>
      <c r="AA70" s="1978"/>
      <c r="AB70" s="1910"/>
      <c r="AC70" s="1910"/>
      <c r="AD70" s="1910"/>
      <c r="AE70" s="1910"/>
      <c r="AF70" s="1834"/>
      <c r="AG70" s="1834"/>
      <c r="AH70" s="2942"/>
      <c r="AI70" s="2942"/>
      <c r="AJ70" s="2986"/>
      <c r="AK70" s="88"/>
    </row>
    <row r="71" spans="1:37" s="43" customFormat="1" ht="69" customHeight="1" x14ac:dyDescent="0.2">
      <c r="A71" s="119"/>
      <c r="B71" s="120"/>
      <c r="C71" s="125"/>
      <c r="D71" s="126"/>
      <c r="E71" s="133"/>
      <c r="F71" s="134"/>
      <c r="G71" s="89">
        <v>200</v>
      </c>
      <c r="H71" s="455" t="s">
        <v>685</v>
      </c>
      <c r="I71" s="455" t="s">
        <v>686</v>
      </c>
      <c r="J71" s="442">
        <v>12</v>
      </c>
      <c r="K71" s="2987" t="s">
        <v>687</v>
      </c>
      <c r="L71" s="2922"/>
      <c r="M71" s="1768"/>
      <c r="N71" s="438">
        <v>0.2914433903140175</v>
      </c>
      <c r="O71" s="1820"/>
      <c r="P71" s="1768"/>
      <c r="Q71" s="1926"/>
      <c r="R71" s="1768" t="s">
        <v>688</v>
      </c>
      <c r="S71" s="90">
        <v>1226182142</v>
      </c>
      <c r="T71" s="91">
        <v>6</v>
      </c>
      <c r="U71" s="1895" t="s">
        <v>689</v>
      </c>
      <c r="V71" s="1834"/>
      <c r="W71" s="1910"/>
      <c r="X71" s="1910"/>
      <c r="Y71" s="1910"/>
      <c r="Z71" s="1910"/>
      <c r="AA71" s="1978"/>
      <c r="AB71" s="1910"/>
      <c r="AC71" s="1910"/>
      <c r="AD71" s="1910"/>
      <c r="AE71" s="1910"/>
      <c r="AF71" s="1834"/>
      <c r="AG71" s="1834"/>
      <c r="AH71" s="2942"/>
      <c r="AI71" s="2942"/>
      <c r="AJ71" s="2986"/>
      <c r="AK71" s="88"/>
    </row>
    <row r="72" spans="1:37" s="43" customFormat="1" ht="68.25" customHeight="1" thickBot="1" x14ac:dyDescent="0.25">
      <c r="A72" s="119"/>
      <c r="B72" s="120"/>
      <c r="C72" s="125"/>
      <c r="D72" s="126"/>
      <c r="E72" s="133"/>
      <c r="F72" s="134"/>
      <c r="G72" s="447">
        <v>201</v>
      </c>
      <c r="H72" s="440" t="s">
        <v>690</v>
      </c>
      <c r="I72" s="440" t="s">
        <v>691</v>
      </c>
      <c r="J72" s="462">
        <v>14</v>
      </c>
      <c r="K72" s="2988"/>
      <c r="L72" s="2922"/>
      <c r="M72" s="1768"/>
      <c r="N72" s="92">
        <v>0.68003457724091843</v>
      </c>
      <c r="O72" s="1820"/>
      <c r="P72" s="1768"/>
      <c r="Q72" s="1926"/>
      <c r="R72" s="1768"/>
      <c r="S72" s="93">
        <v>2861091664</v>
      </c>
      <c r="T72" s="94">
        <v>6</v>
      </c>
      <c r="U72" s="1896"/>
      <c r="V72" s="1834"/>
      <c r="W72" s="1910"/>
      <c r="X72" s="1910"/>
      <c r="Y72" s="1910"/>
      <c r="Z72" s="1910"/>
      <c r="AA72" s="1978"/>
      <c r="AB72" s="1910"/>
      <c r="AC72" s="1910"/>
      <c r="AD72" s="1910"/>
      <c r="AE72" s="1910"/>
      <c r="AF72" s="1834"/>
      <c r="AG72" s="1834"/>
      <c r="AH72" s="2953"/>
      <c r="AI72" s="2953"/>
      <c r="AJ72" s="2986"/>
      <c r="AK72" s="88"/>
    </row>
    <row r="73" spans="1:37" ht="39.75" customHeight="1" thickBot="1" x14ac:dyDescent="0.25">
      <c r="A73" s="2989" t="s">
        <v>692</v>
      </c>
      <c r="B73" s="2990"/>
      <c r="C73" s="2990"/>
      <c r="D73" s="2990"/>
      <c r="E73" s="2990"/>
      <c r="F73" s="2990"/>
      <c r="G73" s="2990"/>
      <c r="H73" s="2990"/>
      <c r="I73" s="2990"/>
      <c r="J73" s="2990"/>
      <c r="K73" s="2990"/>
      <c r="L73" s="2990"/>
      <c r="M73" s="2990"/>
      <c r="N73" s="2991"/>
      <c r="O73" s="95">
        <f>SUM(O12:O72)</f>
        <v>6999273806</v>
      </c>
      <c r="P73" s="96"/>
      <c r="Q73" s="97"/>
      <c r="R73" s="98"/>
      <c r="S73" s="95">
        <f>SUM(S12:S72)</f>
        <v>6999273806</v>
      </c>
      <c r="T73" s="99"/>
      <c r="U73" s="97"/>
      <c r="V73" s="97"/>
      <c r="W73" s="97"/>
      <c r="X73" s="97"/>
      <c r="Y73" s="97"/>
      <c r="Z73" s="97"/>
      <c r="AA73" s="97"/>
      <c r="AB73" s="97"/>
      <c r="AC73" s="97"/>
      <c r="AD73" s="97"/>
      <c r="AE73" s="97"/>
      <c r="AF73" s="97"/>
      <c r="AG73" s="97"/>
      <c r="AH73" s="97"/>
      <c r="AI73" s="97"/>
      <c r="AJ73" s="98"/>
    </row>
    <row r="74" spans="1:37" ht="15" x14ac:dyDescent="0.25">
      <c r="A74" s="36"/>
      <c r="B74" s="36"/>
      <c r="C74" s="36"/>
      <c r="D74" s="36"/>
      <c r="E74" s="100"/>
      <c r="F74" s="101"/>
      <c r="G74" s="102"/>
      <c r="H74" s="102"/>
      <c r="I74" s="103"/>
      <c r="J74" s="104"/>
      <c r="K74" s="104"/>
      <c r="L74" s="104"/>
      <c r="M74" s="103"/>
      <c r="N74" s="105"/>
      <c r="O74" s="106"/>
      <c r="P74" s="102"/>
      <c r="Q74" s="107"/>
      <c r="R74" s="108"/>
      <c r="S74" s="109"/>
      <c r="T74" s="36"/>
      <c r="U74" s="36"/>
      <c r="V74" s="36"/>
      <c r="W74" s="36"/>
      <c r="X74" s="36"/>
      <c r="Y74" s="36"/>
      <c r="Z74" s="36"/>
      <c r="AA74" s="36"/>
      <c r="AB74" s="36"/>
      <c r="AC74" s="36"/>
      <c r="AD74" s="36"/>
      <c r="AE74" s="36"/>
      <c r="AF74" s="36"/>
      <c r="AH74" s="110"/>
      <c r="AI74" s="110"/>
      <c r="AJ74" s="111"/>
    </row>
    <row r="75" spans="1:37" ht="15" x14ac:dyDescent="0.25">
      <c r="A75" s="36"/>
      <c r="B75" s="36"/>
      <c r="C75" s="36"/>
      <c r="D75" s="36"/>
      <c r="E75" s="100"/>
      <c r="F75" s="101"/>
      <c r="G75" s="102"/>
      <c r="H75" s="102"/>
      <c r="I75" s="103"/>
      <c r="J75" s="104"/>
      <c r="K75" s="104"/>
      <c r="L75" s="104"/>
      <c r="M75" s="103"/>
      <c r="N75" s="105"/>
      <c r="O75" s="106"/>
      <c r="P75" s="102"/>
      <c r="Q75" s="107"/>
      <c r="R75" s="108"/>
      <c r="S75" s="109"/>
      <c r="T75" s="36"/>
      <c r="U75" s="36"/>
      <c r="V75" s="36"/>
      <c r="W75" s="36"/>
      <c r="X75" s="36"/>
      <c r="Y75" s="36"/>
      <c r="Z75" s="36"/>
      <c r="AA75" s="36"/>
      <c r="AB75" s="36"/>
      <c r="AC75" s="36"/>
      <c r="AD75" s="36"/>
      <c r="AE75" s="36"/>
      <c r="AF75" s="36"/>
      <c r="AH75" s="103"/>
      <c r="AI75" s="103"/>
      <c r="AJ75" s="111"/>
    </row>
    <row r="76" spans="1:37" x14ac:dyDescent="0.2">
      <c r="A76" s="36"/>
      <c r="B76" s="36"/>
      <c r="C76" s="36"/>
      <c r="D76" s="36"/>
      <c r="E76" s="100"/>
      <c r="F76" s="112"/>
      <c r="G76" s="100"/>
      <c r="H76" s="100"/>
      <c r="I76" s="100"/>
      <c r="J76" s="100"/>
      <c r="K76" s="104"/>
      <c r="L76" s="104"/>
      <c r="M76" s="105"/>
      <c r="N76" s="105"/>
      <c r="O76" s="113"/>
      <c r="P76" s="105"/>
      <c r="Q76" s="105"/>
      <c r="T76" s="36"/>
      <c r="U76" s="36"/>
      <c r="V76" s="36"/>
      <c r="W76" s="36"/>
      <c r="X76" s="36"/>
      <c r="Y76" s="36"/>
      <c r="Z76" s="36"/>
      <c r="AA76" s="36"/>
      <c r="AB76" s="36"/>
      <c r="AC76" s="36"/>
      <c r="AD76" s="36"/>
      <c r="AE76" s="36"/>
      <c r="AF76" s="36"/>
      <c r="AJ76" s="111"/>
    </row>
    <row r="77" spans="1:37" x14ac:dyDescent="0.2">
      <c r="A77" s="36"/>
      <c r="B77" s="36"/>
      <c r="C77" s="36"/>
      <c r="D77" s="36"/>
      <c r="E77" s="100"/>
      <c r="F77" s="112"/>
      <c r="G77" s="100"/>
      <c r="H77" s="100"/>
      <c r="I77" s="100"/>
      <c r="J77" s="100"/>
      <c r="K77" s="104"/>
      <c r="L77" s="104"/>
      <c r="M77" s="105"/>
      <c r="N77" s="105"/>
      <c r="O77" s="113"/>
      <c r="P77" s="105"/>
      <c r="Q77" s="36"/>
      <c r="T77" s="36"/>
      <c r="U77" s="36"/>
      <c r="V77" s="36"/>
      <c r="W77" s="116"/>
      <c r="X77" s="36"/>
      <c r="Y77" s="36"/>
      <c r="Z77" s="36"/>
      <c r="AA77" s="36"/>
      <c r="AB77" s="36"/>
      <c r="AC77" s="36"/>
      <c r="AD77" s="36"/>
      <c r="AE77" s="36"/>
      <c r="AF77" s="36"/>
    </row>
    <row r="78" spans="1:37" x14ac:dyDescent="0.2">
      <c r="A78" s="36"/>
      <c r="B78" s="36"/>
      <c r="C78" s="36"/>
      <c r="D78" s="36"/>
      <c r="E78" s="100"/>
      <c r="F78" s="112"/>
      <c r="G78" s="100"/>
      <c r="H78" s="100"/>
      <c r="I78" s="100"/>
      <c r="J78" s="100"/>
      <c r="K78" s="104"/>
      <c r="L78" s="104"/>
      <c r="M78" s="105"/>
      <c r="N78" s="105"/>
      <c r="O78" s="113"/>
      <c r="P78" s="105"/>
      <c r="Q78" s="36"/>
      <c r="R78" s="36"/>
      <c r="S78" s="115"/>
      <c r="T78" s="36"/>
      <c r="U78" s="36"/>
      <c r="V78" s="36"/>
      <c r="W78" s="36"/>
      <c r="X78" s="36"/>
      <c r="Y78" s="36"/>
      <c r="Z78" s="36"/>
      <c r="AA78" s="36"/>
      <c r="AB78" s="36"/>
      <c r="AC78" s="36"/>
      <c r="AD78" s="36"/>
      <c r="AE78" s="36"/>
      <c r="AF78" s="36"/>
    </row>
    <row r="79" spans="1:37" ht="15" x14ac:dyDescent="0.2">
      <c r="A79" s="36"/>
      <c r="B79" s="36"/>
      <c r="C79" s="36"/>
      <c r="D79" s="36"/>
      <c r="E79" s="100"/>
      <c r="F79" s="112"/>
      <c r="G79" s="100"/>
      <c r="H79" s="1758" t="s">
        <v>693</v>
      </c>
      <c r="I79" s="1758"/>
      <c r="J79" s="100"/>
      <c r="K79" s="104"/>
      <c r="L79" s="104"/>
      <c r="M79" s="105"/>
      <c r="N79" s="105"/>
      <c r="O79" s="113"/>
      <c r="P79" s="105"/>
      <c r="Q79" s="36"/>
      <c r="R79" s="36"/>
      <c r="S79" s="115"/>
      <c r="T79" s="36"/>
      <c r="U79" s="36"/>
      <c r="V79" s="36"/>
      <c r="W79" s="36"/>
      <c r="X79" s="36"/>
      <c r="Y79" s="36"/>
      <c r="Z79" s="36"/>
      <c r="AA79" s="36"/>
      <c r="AB79" s="36"/>
      <c r="AC79" s="36"/>
      <c r="AD79" s="36"/>
      <c r="AE79" s="36"/>
      <c r="AF79" s="36"/>
    </row>
    <row r="80" spans="1:37" ht="18" customHeight="1" x14ac:dyDescent="0.25">
      <c r="A80" s="36"/>
      <c r="B80" s="36"/>
      <c r="C80" s="36"/>
      <c r="D80" s="36"/>
      <c r="E80" s="100"/>
      <c r="F80" s="112"/>
      <c r="G80" s="100"/>
      <c r="H80" s="2992" t="s">
        <v>535</v>
      </c>
      <c r="I80" s="2992"/>
      <c r="J80" s="100"/>
      <c r="K80" s="104"/>
      <c r="L80" s="104"/>
      <c r="M80" s="105"/>
      <c r="N80" s="105"/>
      <c r="O80" s="113"/>
      <c r="P80" s="105"/>
      <c r="Q80" s="36"/>
      <c r="R80" s="36"/>
      <c r="S80" s="115"/>
      <c r="T80" s="36"/>
      <c r="U80" s="36"/>
      <c r="V80" s="36"/>
      <c r="W80" s="36"/>
      <c r="X80" s="36"/>
      <c r="Y80" s="36"/>
      <c r="Z80" s="36"/>
      <c r="AA80" s="36"/>
      <c r="AB80" s="36"/>
      <c r="AC80" s="36"/>
      <c r="AD80" s="36"/>
      <c r="AE80" s="36"/>
      <c r="AF80" s="36"/>
    </row>
    <row r="81" spans="1:32" x14ac:dyDescent="0.2">
      <c r="E81" s="100"/>
      <c r="F81" s="112"/>
      <c r="G81" s="100"/>
      <c r="H81" s="100"/>
      <c r="I81" s="100"/>
      <c r="J81" s="100"/>
      <c r="K81" s="104"/>
      <c r="L81" s="104"/>
      <c r="M81" s="105"/>
      <c r="N81" s="105"/>
      <c r="O81" s="113"/>
      <c r="P81" s="105"/>
      <c r="Q81" s="36"/>
      <c r="R81" s="36"/>
      <c r="S81" s="115"/>
      <c r="T81" s="36"/>
      <c r="U81" s="36"/>
      <c r="V81" s="36"/>
      <c r="W81" s="36"/>
      <c r="X81" s="36"/>
      <c r="Y81" s="36"/>
      <c r="Z81" s="36"/>
      <c r="AA81" s="36"/>
      <c r="AB81" s="36"/>
      <c r="AC81" s="36"/>
      <c r="AD81" s="36"/>
      <c r="AE81" s="36"/>
      <c r="AF81" s="36"/>
    </row>
    <row r="82" spans="1:32" x14ac:dyDescent="0.2">
      <c r="A82" s="36"/>
      <c r="B82" s="36"/>
      <c r="C82" s="36"/>
      <c r="D82" s="36"/>
      <c r="E82" s="100"/>
      <c r="F82" s="112"/>
      <c r="G82" s="100"/>
      <c r="H82" s="100"/>
      <c r="I82" s="100"/>
      <c r="J82" s="100"/>
      <c r="K82" s="104"/>
      <c r="L82" s="104"/>
      <c r="M82" s="105"/>
      <c r="N82" s="105"/>
      <c r="O82" s="113"/>
      <c r="P82" s="105"/>
      <c r="Q82" s="36"/>
      <c r="R82" s="36"/>
      <c r="S82" s="115"/>
      <c r="T82" s="36"/>
      <c r="U82" s="36"/>
      <c r="V82" s="36"/>
      <c r="W82" s="36"/>
      <c r="X82" s="36"/>
      <c r="Y82" s="36"/>
      <c r="Z82" s="36"/>
      <c r="AA82" s="36"/>
      <c r="AB82" s="36"/>
      <c r="AC82" s="36"/>
      <c r="AD82" s="36"/>
      <c r="AE82" s="36"/>
      <c r="AF82" s="36"/>
    </row>
    <row r="83" spans="1:32" x14ac:dyDescent="0.2">
      <c r="A83" s="36"/>
      <c r="B83" s="36"/>
      <c r="C83" s="36"/>
      <c r="D83" s="36"/>
      <c r="E83" s="100"/>
      <c r="F83" s="112"/>
      <c r="G83" s="100"/>
      <c r="H83" s="100"/>
      <c r="I83" s="100"/>
      <c r="J83" s="100"/>
      <c r="K83" s="104"/>
      <c r="L83" s="104"/>
      <c r="M83" s="105"/>
      <c r="N83" s="105"/>
      <c r="O83" s="113"/>
      <c r="P83" s="105"/>
      <c r="Q83" s="36"/>
      <c r="R83" s="36"/>
      <c r="S83" s="115"/>
      <c r="T83" s="36"/>
      <c r="U83" s="36"/>
      <c r="V83" s="36"/>
      <c r="W83" s="36"/>
      <c r="X83" s="36"/>
      <c r="Y83" s="36"/>
      <c r="Z83" s="36"/>
      <c r="AA83" s="36"/>
      <c r="AB83" s="36"/>
      <c r="AC83" s="36"/>
      <c r="AD83" s="36"/>
      <c r="AE83" s="36"/>
      <c r="AF83" s="36"/>
    </row>
    <row r="84" spans="1:32" ht="52.5" customHeight="1" x14ac:dyDescent="0.2">
      <c r="A84" s="36"/>
      <c r="B84" s="36"/>
      <c r="C84" s="36"/>
      <c r="D84" s="2993" t="s">
        <v>694</v>
      </c>
      <c r="E84" s="2994"/>
      <c r="F84" s="2994"/>
      <c r="G84" s="2994"/>
      <c r="H84" s="100"/>
      <c r="I84" s="100"/>
      <c r="J84" s="100"/>
      <c r="K84" s="104"/>
      <c r="L84" s="104"/>
      <c r="M84" s="105"/>
      <c r="N84" s="105"/>
      <c r="O84" s="113"/>
      <c r="P84" s="105"/>
      <c r="Q84" s="36"/>
      <c r="R84" s="36"/>
      <c r="S84" s="115"/>
      <c r="T84" s="36"/>
      <c r="U84" s="36"/>
      <c r="V84" s="36"/>
      <c r="W84" s="36"/>
      <c r="X84" s="36"/>
      <c r="Y84" s="36"/>
      <c r="Z84" s="36"/>
      <c r="AA84" s="36"/>
      <c r="AB84" s="36"/>
      <c r="AC84" s="36"/>
      <c r="AD84" s="36"/>
      <c r="AE84" s="36"/>
      <c r="AF84" s="36"/>
    </row>
    <row r="85" spans="1:32" x14ac:dyDescent="0.2">
      <c r="A85" s="36"/>
      <c r="B85" s="36"/>
      <c r="C85" s="36"/>
      <c r="D85" s="36"/>
      <c r="E85" s="100"/>
      <c r="F85" s="112"/>
      <c r="G85" s="100"/>
      <c r="H85" s="100"/>
      <c r="I85" s="100"/>
      <c r="J85" s="100"/>
      <c r="K85" s="104"/>
      <c r="L85" s="104"/>
      <c r="M85" s="105"/>
      <c r="N85" s="105"/>
      <c r="O85" s="113"/>
      <c r="P85" s="105"/>
      <c r="Q85" s="36"/>
      <c r="R85" s="36"/>
      <c r="S85" s="115"/>
      <c r="T85" s="36"/>
      <c r="U85" s="36"/>
      <c r="V85" s="36"/>
      <c r="W85" s="36"/>
      <c r="X85" s="36"/>
      <c r="Y85" s="36"/>
      <c r="Z85" s="36"/>
      <c r="AA85" s="36"/>
      <c r="AB85" s="36"/>
      <c r="AC85" s="36"/>
      <c r="AD85" s="36"/>
      <c r="AE85" s="36"/>
      <c r="AF85" s="36"/>
    </row>
    <row r="86" spans="1:32" x14ac:dyDescent="0.2">
      <c r="A86" s="36"/>
      <c r="B86" s="36"/>
      <c r="C86" s="36"/>
      <c r="D86" s="36"/>
      <c r="E86" s="100"/>
      <c r="F86" s="112"/>
      <c r="G86" s="100"/>
      <c r="H86" s="100"/>
      <c r="I86" s="100"/>
      <c r="J86" s="100"/>
      <c r="K86" s="104"/>
      <c r="L86" s="104"/>
      <c r="M86" s="105"/>
      <c r="N86" s="105"/>
      <c r="O86" s="113"/>
      <c r="P86" s="105"/>
      <c r="Q86" s="36"/>
      <c r="R86" s="36"/>
      <c r="S86" s="115"/>
      <c r="T86" s="36"/>
      <c r="U86" s="36"/>
      <c r="V86" s="36"/>
      <c r="W86" s="36"/>
      <c r="X86" s="36"/>
      <c r="Y86" s="36"/>
      <c r="Z86" s="36"/>
      <c r="AA86" s="36"/>
      <c r="AB86" s="36"/>
      <c r="AC86" s="36"/>
      <c r="AD86" s="36"/>
      <c r="AE86" s="36"/>
      <c r="AF86" s="36"/>
    </row>
    <row r="87" spans="1:32" x14ac:dyDescent="0.2">
      <c r="A87" s="36"/>
      <c r="B87" s="36"/>
      <c r="C87" s="36"/>
      <c r="D87" s="36"/>
      <c r="E87" s="100"/>
      <c r="F87" s="112"/>
      <c r="G87" s="100"/>
      <c r="H87" s="100"/>
      <c r="I87" s="100"/>
      <c r="J87" s="100"/>
      <c r="K87" s="104"/>
      <c r="L87" s="104"/>
      <c r="M87" s="105"/>
      <c r="N87" s="105"/>
      <c r="O87" s="113"/>
      <c r="P87" s="105"/>
      <c r="Q87" s="36"/>
      <c r="R87" s="36"/>
      <c r="S87" s="115"/>
      <c r="T87" s="36"/>
      <c r="U87" s="36"/>
      <c r="V87" s="36"/>
      <c r="W87" s="36"/>
      <c r="X87" s="36"/>
      <c r="Y87" s="36"/>
      <c r="Z87" s="36"/>
      <c r="AA87" s="36"/>
      <c r="AB87" s="36"/>
      <c r="AC87" s="36"/>
      <c r="AD87" s="36"/>
      <c r="AE87" s="36"/>
      <c r="AF87" s="36"/>
    </row>
    <row r="88" spans="1:32" ht="14.25" customHeight="1" x14ac:dyDescent="0.2">
      <c r="A88" s="36"/>
      <c r="B88" s="36"/>
      <c r="C88" s="36"/>
      <c r="D88" s="36"/>
      <c r="E88" s="100"/>
      <c r="F88" s="112"/>
      <c r="G88" s="100"/>
      <c r="H88" s="100"/>
      <c r="I88" s="100"/>
      <c r="J88" s="100"/>
      <c r="K88" s="104"/>
      <c r="L88" s="104"/>
      <c r="M88" s="105"/>
      <c r="N88" s="105"/>
      <c r="O88" s="113"/>
      <c r="P88" s="105"/>
      <c r="Q88" s="36"/>
      <c r="R88" s="36"/>
      <c r="S88" s="115"/>
      <c r="T88" s="36"/>
      <c r="U88" s="36"/>
      <c r="V88" s="36"/>
      <c r="W88" s="36"/>
      <c r="X88" s="36"/>
      <c r="Y88" s="36"/>
      <c r="Z88" s="36"/>
      <c r="AA88" s="36"/>
      <c r="AB88" s="36"/>
      <c r="AC88" s="36"/>
      <c r="AD88" s="36"/>
      <c r="AE88" s="36"/>
      <c r="AF88" s="36"/>
    </row>
    <row r="89" spans="1:32" x14ac:dyDescent="0.2">
      <c r="A89" s="36"/>
      <c r="B89" s="36"/>
      <c r="C89" s="36"/>
      <c r="D89" s="36"/>
      <c r="E89" s="100"/>
      <c r="F89" s="112"/>
      <c r="G89" s="100"/>
      <c r="H89" s="100"/>
      <c r="I89" s="100"/>
      <c r="J89" s="100"/>
      <c r="K89" s="104"/>
      <c r="L89" s="104"/>
      <c r="M89" s="105"/>
      <c r="N89" s="105"/>
      <c r="O89" s="113"/>
      <c r="P89" s="105"/>
      <c r="Q89" s="36"/>
      <c r="R89" s="36"/>
      <c r="S89" s="115"/>
      <c r="T89" s="36"/>
      <c r="U89" s="36"/>
      <c r="V89" s="36"/>
      <c r="W89" s="36"/>
      <c r="X89" s="36"/>
      <c r="Y89" s="36"/>
      <c r="Z89" s="36"/>
      <c r="AA89" s="36"/>
      <c r="AB89" s="36"/>
      <c r="AC89" s="36"/>
      <c r="AD89" s="36"/>
      <c r="AE89" s="36"/>
      <c r="AF89" s="36"/>
    </row>
    <row r="90" spans="1:32" x14ac:dyDescent="0.2">
      <c r="A90" s="36"/>
      <c r="B90" s="36"/>
      <c r="C90" s="36"/>
      <c r="D90" s="36"/>
      <c r="E90" s="100"/>
      <c r="F90" s="112"/>
      <c r="G90" s="100"/>
      <c r="H90" s="100"/>
      <c r="I90" s="100"/>
      <c r="J90" s="100"/>
      <c r="K90" s="104"/>
      <c r="L90" s="104"/>
      <c r="M90" s="105"/>
      <c r="N90" s="105"/>
      <c r="O90" s="113"/>
      <c r="P90" s="105"/>
      <c r="Q90" s="36"/>
      <c r="R90" s="36"/>
      <c r="S90" s="115"/>
      <c r="T90" s="36"/>
      <c r="U90" s="36"/>
      <c r="V90" s="36"/>
      <c r="W90" s="36"/>
      <c r="X90" s="36"/>
      <c r="Y90" s="36"/>
      <c r="Z90" s="36"/>
      <c r="AA90" s="36"/>
      <c r="AB90" s="36"/>
      <c r="AC90" s="36"/>
      <c r="AD90" s="36"/>
      <c r="AE90" s="36"/>
      <c r="AF90" s="36"/>
    </row>
    <row r="91" spans="1:32" x14ac:dyDescent="0.2">
      <c r="A91" s="36"/>
      <c r="B91" s="36"/>
      <c r="C91" s="36"/>
      <c r="D91" s="36"/>
      <c r="E91" s="100"/>
      <c r="F91" s="112"/>
      <c r="G91" s="100"/>
      <c r="H91" s="100"/>
      <c r="I91" s="100"/>
      <c r="J91" s="100"/>
      <c r="K91" s="104"/>
      <c r="L91" s="104"/>
      <c r="M91" s="105"/>
      <c r="N91" s="105"/>
      <c r="O91" s="113"/>
      <c r="P91" s="105"/>
      <c r="Q91" s="36"/>
      <c r="R91" s="36"/>
      <c r="S91" s="115"/>
      <c r="T91" s="36"/>
      <c r="U91" s="36"/>
      <c r="V91" s="36"/>
      <c r="W91" s="36"/>
      <c r="X91" s="36"/>
      <c r="Y91" s="36"/>
      <c r="Z91" s="36"/>
      <c r="AA91" s="36"/>
      <c r="AB91" s="36"/>
      <c r="AC91" s="36"/>
      <c r="AD91" s="36"/>
      <c r="AE91" s="36"/>
      <c r="AF91" s="36"/>
    </row>
    <row r="92" spans="1:32" x14ac:dyDescent="0.2">
      <c r="A92" s="36"/>
      <c r="B92" s="36"/>
      <c r="C92" s="36"/>
      <c r="D92" s="36"/>
      <c r="E92" s="100"/>
      <c r="F92" s="112"/>
      <c r="G92" s="100"/>
      <c r="H92" s="100"/>
      <c r="I92" s="100"/>
      <c r="J92" s="100"/>
      <c r="K92" s="104"/>
      <c r="L92" s="104"/>
      <c r="M92" s="105"/>
      <c r="N92" s="105"/>
      <c r="O92" s="113"/>
      <c r="P92" s="105"/>
      <c r="Q92" s="36"/>
      <c r="R92" s="36"/>
      <c r="S92" s="115"/>
      <c r="T92" s="36"/>
      <c r="U92" s="36"/>
      <c r="V92" s="36"/>
      <c r="W92" s="36"/>
      <c r="X92" s="36"/>
      <c r="Y92" s="36"/>
      <c r="Z92" s="36"/>
      <c r="AA92" s="36"/>
      <c r="AB92" s="36"/>
      <c r="AC92" s="36"/>
      <c r="AD92" s="36"/>
      <c r="AE92" s="36"/>
      <c r="AF92" s="36"/>
    </row>
    <row r="93" spans="1:32" x14ac:dyDescent="0.2">
      <c r="A93" s="36"/>
      <c r="B93" s="36"/>
      <c r="C93" s="36"/>
      <c r="D93" s="36"/>
      <c r="E93" s="100"/>
      <c r="F93" s="112"/>
      <c r="G93" s="100"/>
      <c r="H93" s="100"/>
      <c r="I93" s="100"/>
      <c r="J93" s="100"/>
      <c r="K93" s="104"/>
      <c r="L93" s="104"/>
      <c r="M93" s="105"/>
      <c r="N93" s="105"/>
      <c r="O93" s="113"/>
      <c r="P93" s="105"/>
      <c r="Q93" s="36"/>
      <c r="R93" s="36"/>
      <c r="S93" s="115"/>
      <c r="T93" s="36"/>
      <c r="U93" s="36"/>
      <c r="V93" s="36"/>
      <c r="W93" s="36"/>
      <c r="X93" s="36"/>
      <c r="Y93" s="36"/>
      <c r="Z93" s="36"/>
      <c r="AA93" s="36"/>
      <c r="AB93" s="36"/>
      <c r="AC93" s="36"/>
      <c r="AD93" s="36"/>
      <c r="AE93" s="36"/>
      <c r="AF93" s="36"/>
    </row>
    <row r="94" spans="1:32" x14ac:dyDescent="0.2">
      <c r="A94" s="36"/>
      <c r="B94" s="36"/>
      <c r="C94" s="36"/>
      <c r="D94" s="36"/>
      <c r="E94" s="100"/>
      <c r="F94" s="112"/>
      <c r="G94" s="100"/>
      <c r="H94" s="100"/>
      <c r="I94" s="100"/>
      <c r="J94" s="100"/>
      <c r="K94" s="104"/>
      <c r="L94" s="104"/>
      <c r="M94" s="105"/>
      <c r="N94" s="105"/>
      <c r="O94" s="113"/>
      <c r="P94" s="105"/>
      <c r="Q94" s="36"/>
      <c r="R94" s="36"/>
      <c r="S94" s="115"/>
      <c r="T94" s="36"/>
      <c r="U94" s="36"/>
      <c r="V94" s="36"/>
      <c r="W94" s="36"/>
      <c r="X94" s="36"/>
      <c r="Y94" s="36"/>
      <c r="Z94" s="36"/>
      <c r="AA94" s="36"/>
      <c r="AB94" s="36"/>
      <c r="AC94" s="36"/>
      <c r="AD94" s="36"/>
      <c r="AE94" s="36"/>
      <c r="AF94" s="36"/>
    </row>
    <row r="95" spans="1:32" x14ac:dyDescent="0.2">
      <c r="A95" s="36"/>
      <c r="B95" s="36"/>
      <c r="C95" s="36"/>
      <c r="D95" s="36"/>
      <c r="E95" s="100"/>
      <c r="F95" s="112"/>
      <c r="G95" s="100"/>
      <c r="H95" s="100"/>
      <c r="I95" s="100"/>
      <c r="J95" s="100"/>
      <c r="K95" s="104"/>
      <c r="L95" s="104"/>
      <c r="M95" s="105"/>
      <c r="N95" s="105"/>
      <c r="O95" s="113"/>
      <c r="P95" s="105"/>
      <c r="Q95" s="36"/>
      <c r="R95" s="36"/>
      <c r="S95" s="115"/>
      <c r="T95" s="36"/>
      <c r="U95" s="36"/>
      <c r="V95" s="36"/>
      <c r="W95" s="36"/>
      <c r="X95" s="36"/>
      <c r="Y95" s="36"/>
      <c r="Z95" s="36"/>
      <c r="AA95" s="36"/>
      <c r="AB95" s="36"/>
      <c r="AC95" s="36"/>
      <c r="AD95" s="36"/>
      <c r="AE95" s="36"/>
      <c r="AF95" s="36"/>
    </row>
    <row r="96" spans="1:32" x14ac:dyDescent="0.2">
      <c r="A96" s="36"/>
      <c r="B96" s="36"/>
      <c r="C96" s="36"/>
      <c r="D96" s="36"/>
      <c r="E96" s="100"/>
      <c r="F96" s="112"/>
      <c r="G96" s="100"/>
      <c r="H96" s="100"/>
      <c r="I96" s="100"/>
      <c r="J96" s="100"/>
      <c r="K96" s="104"/>
      <c r="L96" s="104"/>
      <c r="M96" s="105"/>
      <c r="N96" s="105"/>
      <c r="O96" s="113"/>
      <c r="P96" s="105"/>
      <c r="Q96" s="36"/>
      <c r="R96" s="36"/>
      <c r="S96" s="115"/>
      <c r="T96" s="36"/>
      <c r="U96" s="36"/>
      <c r="V96" s="36"/>
      <c r="W96" s="36"/>
      <c r="X96" s="36"/>
      <c r="Y96" s="36"/>
      <c r="Z96" s="36"/>
      <c r="AA96" s="36"/>
      <c r="AB96" s="36"/>
      <c r="AC96" s="36"/>
      <c r="AD96" s="36"/>
      <c r="AE96" s="36"/>
      <c r="AF96" s="36"/>
    </row>
    <row r="97" spans="1:32" x14ac:dyDescent="0.2">
      <c r="A97" s="36"/>
      <c r="B97" s="36"/>
      <c r="C97" s="36"/>
      <c r="D97" s="36"/>
      <c r="E97" s="100"/>
      <c r="F97" s="112"/>
      <c r="G97" s="100"/>
      <c r="H97" s="100"/>
      <c r="I97" s="100"/>
      <c r="J97" s="100"/>
      <c r="K97" s="104"/>
      <c r="L97" s="104"/>
      <c r="M97" s="105"/>
      <c r="N97" s="105"/>
      <c r="O97" s="113"/>
      <c r="P97" s="105"/>
      <c r="Q97" s="36"/>
      <c r="R97" s="36"/>
      <c r="S97" s="115"/>
      <c r="T97" s="36"/>
      <c r="U97" s="36"/>
      <c r="V97" s="36"/>
      <c r="W97" s="36"/>
      <c r="X97" s="36"/>
      <c r="Y97" s="36"/>
      <c r="Z97" s="36"/>
      <c r="AA97" s="36"/>
      <c r="AB97" s="36"/>
      <c r="AC97" s="36"/>
      <c r="AD97" s="36"/>
      <c r="AE97" s="36"/>
      <c r="AF97" s="36"/>
    </row>
    <row r="98" spans="1:32" x14ac:dyDescent="0.2">
      <c r="A98" s="36"/>
      <c r="B98" s="36"/>
      <c r="C98" s="36"/>
      <c r="D98" s="36"/>
      <c r="E98" s="100"/>
      <c r="F98" s="112"/>
      <c r="G98" s="100"/>
      <c r="H98" s="100"/>
      <c r="I98" s="100"/>
      <c r="J98" s="100"/>
      <c r="K98" s="100"/>
      <c r="L98" s="100"/>
      <c r="M98" s="36"/>
      <c r="N98" s="36"/>
      <c r="O98" s="115"/>
      <c r="P98" s="36"/>
      <c r="Q98" s="36"/>
      <c r="R98" s="36"/>
      <c r="S98" s="115"/>
      <c r="T98" s="36"/>
      <c r="U98" s="36"/>
      <c r="V98" s="36"/>
      <c r="W98" s="36"/>
      <c r="X98" s="36"/>
      <c r="Y98" s="36"/>
      <c r="Z98" s="36"/>
      <c r="AA98" s="36"/>
      <c r="AB98" s="36"/>
      <c r="AC98" s="36"/>
      <c r="AD98" s="36"/>
      <c r="AE98" s="36"/>
      <c r="AF98" s="36"/>
    </row>
    <row r="99" spans="1:32" x14ac:dyDescent="0.2">
      <c r="A99" s="36"/>
      <c r="B99" s="36"/>
      <c r="C99" s="36"/>
      <c r="D99" s="36"/>
      <c r="E99" s="36"/>
      <c r="F99" s="117"/>
      <c r="G99" s="36"/>
      <c r="H99" s="36"/>
      <c r="I99" s="36"/>
      <c r="J99" s="36"/>
      <c r="K99" s="36"/>
      <c r="L99" s="36"/>
      <c r="M99" s="36"/>
      <c r="N99" s="36"/>
      <c r="O99" s="115"/>
      <c r="P99" s="36"/>
      <c r="Q99" s="36"/>
      <c r="R99" s="36"/>
      <c r="S99" s="115"/>
      <c r="T99" s="36"/>
      <c r="U99" s="36"/>
      <c r="V99" s="36"/>
      <c r="W99" s="36"/>
      <c r="X99" s="36"/>
      <c r="Y99" s="36"/>
      <c r="Z99" s="36"/>
      <c r="AA99" s="36"/>
      <c r="AB99" s="36"/>
      <c r="AC99" s="36"/>
      <c r="AD99" s="36"/>
      <c r="AE99" s="36"/>
      <c r="AF99" s="36"/>
    </row>
    <row r="100" spans="1:32" x14ac:dyDescent="0.2">
      <c r="A100" s="36"/>
      <c r="B100" s="36"/>
      <c r="C100" s="36"/>
      <c r="D100" s="36"/>
      <c r="E100" s="36"/>
      <c r="F100" s="117"/>
      <c r="G100" s="36"/>
      <c r="H100" s="36"/>
      <c r="I100" s="36"/>
      <c r="J100" s="36"/>
      <c r="K100" s="36"/>
      <c r="L100" s="36"/>
      <c r="M100" s="36"/>
      <c r="N100" s="36"/>
      <c r="O100" s="115"/>
      <c r="P100" s="36"/>
      <c r="Q100" s="36"/>
      <c r="R100" s="36"/>
      <c r="S100" s="115"/>
      <c r="T100" s="36"/>
      <c r="U100" s="36"/>
      <c r="V100" s="36"/>
      <c r="W100" s="36"/>
      <c r="X100" s="36"/>
      <c r="Y100" s="36"/>
      <c r="Z100" s="36"/>
      <c r="AA100" s="36"/>
      <c r="AB100" s="36"/>
      <c r="AC100" s="36"/>
      <c r="AD100" s="36"/>
      <c r="AE100" s="36"/>
      <c r="AF100" s="36"/>
    </row>
    <row r="101" spans="1:32" x14ac:dyDescent="0.2">
      <c r="A101" s="36"/>
      <c r="B101" s="36"/>
      <c r="C101" s="36"/>
      <c r="D101" s="36"/>
      <c r="E101" s="36"/>
      <c r="F101" s="117"/>
      <c r="G101" s="36"/>
      <c r="H101" s="36"/>
      <c r="I101" s="36"/>
      <c r="J101" s="36"/>
      <c r="K101" s="36"/>
      <c r="L101" s="36"/>
      <c r="M101" s="36"/>
      <c r="N101" s="36"/>
      <c r="O101" s="115"/>
      <c r="P101" s="36"/>
      <c r="Q101" s="36"/>
      <c r="R101" s="36"/>
      <c r="S101" s="115"/>
      <c r="T101" s="36"/>
      <c r="U101" s="36"/>
      <c r="V101" s="36"/>
      <c r="W101" s="36"/>
      <c r="X101" s="36"/>
      <c r="Y101" s="36"/>
      <c r="Z101" s="36"/>
      <c r="AA101" s="36"/>
      <c r="AB101" s="36"/>
      <c r="AC101" s="36"/>
      <c r="AD101" s="36"/>
      <c r="AE101" s="36"/>
      <c r="AF101" s="36"/>
    </row>
    <row r="102" spans="1:32" x14ac:dyDescent="0.2">
      <c r="A102" s="36"/>
      <c r="B102" s="36"/>
      <c r="C102" s="36"/>
      <c r="D102" s="36"/>
      <c r="E102" s="36"/>
      <c r="F102" s="117"/>
      <c r="G102" s="36"/>
      <c r="H102" s="36"/>
      <c r="I102" s="36"/>
      <c r="J102" s="36"/>
      <c r="K102" s="36"/>
      <c r="L102" s="36"/>
      <c r="M102" s="36"/>
      <c r="N102" s="36"/>
      <c r="O102" s="115"/>
      <c r="P102" s="36"/>
      <c r="Q102" s="36"/>
      <c r="R102" s="36"/>
      <c r="S102" s="115"/>
      <c r="T102" s="36"/>
      <c r="U102" s="36"/>
      <c r="V102" s="36"/>
      <c r="W102" s="36"/>
      <c r="X102" s="36"/>
      <c r="Y102" s="36"/>
      <c r="Z102" s="36"/>
      <c r="AA102" s="36"/>
      <c r="AB102" s="36"/>
      <c r="AC102" s="36"/>
      <c r="AD102" s="36"/>
      <c r="AE102" s="36"/>
      <c r="AF102" s="36"/>
    </row>
    <row r="103" spans="1:32" x14ac:dyDescent="0.2">
      <c r="A103" s="36"/>
      <c r="B103" s="36"/>
      <c r="C103" s="36"/>
      <c r="D103" s="36"/>
      <c r="E103" s="36"/>
      <c r="F103" s="117"/>
      <c r="G103" s="36"/>
      <c r="H103" s="36"/>
      <c r="I103" s="36"/>
      <c r="J103" s="36"/>
      <c r="K103" s="36"/>
      <c r="L103" s="36"/>
      <c r="M103" s="36"/>
      <c r="N103" s="36"/>
      <c r="O103" s="115"/>
      <c r="P103" s="36"/>
      <c r="Q103" s="36"/>
    </row>
    <row r="104" spans="1:32" x14ac:dyDescent="0.2">
      <c r="A104" s="36"/>
      <c r="B104" s="36"/>
      <c r="C104" s="36"/>
      <c r="D104" s="36"/>
      <c r="E104" s="36"/>
      <c r="F104" s="117"/>
      <c r="G104" s="36"/>
      <c r="H104" s="36"/>
      <c r="I104" s="36"/>
      <c r="J104" s="36"/>
      <c r="K104" s="36"/>
      <c r="L104" s="36"/>
      <c r="M104" s="36"/>
      <c r="N104" s="36"/>
      <c r="O104" s="115"/>
      <c r="P104" s="36"/>
      <c r="Q104" s="36"/>
    </row>
  </sheetData>
  <mergeCells count="411">
    <mergeCell ref="A73:N73"/>
    <mergeCell ref="H79:I79"/>
    <mergeCell ref="H80:I80"/>
    <mergeCell ref="D84:G84"/>
    <mergeCell ref="N67:N69"/>
    <mergeCell ref="O67:O72"/>
    <mergeCell ref="P67:P72"/>
    <mergeCell ref="W58:W59"/>
    <mergeCell ref="L58:L59"/>
    <mergeCell ref="M58:M59"/>
    <mergeCell ref="N58:N59"/>
    <mergeCell ref="O58:O59"/>
    <mergeCell ref="P58:P59"/>
    <mergeCell ref="Q58:Q59"/>
    <mergeCell ref="V67:V72"/>
    <mergeCell ref="W67:W72"/>
    <mergeCell ref="K67:K69"/>
    <mergeCell ref="L67:L72"/>
    <mergeCell ref="M67:M72"/>
    <mergeCell ref="W61:W64"/>
    <mergeCell ref="J7:J8"/>
    <mergeCell ref="S7:S8"/>
    <mergeCell ref="A1:AH2"/>
    <mergeCell ref="A3:AH3"/>
    <mergeCell ref="A4:AH4"/>
    <mergeCell ref="W50:W52"/>
    <mergeCell ref="L50:L52"/>
    <mergeCell ref="M50:M52"/>
    <mergeCell ref="N50:N52"/>
    <mergeCell ref="O50:O52"/>
    <mergeCell ref="T50:T52"/>
    <mergeCell ref="U50:U52"/>
    <mergeCell ref="V50:V52"/>
    <mergeCell ref="W48:W49"/>
    <mergeCell ref="X48:X49"/>
    <mergeCell ref="Y48:Y49"/>
    <mergeCell ref="O48:O49"/>
    <mergeCell ref="P48:P49"/>
    <mergeCell ref="W45:W46"/>
    <mergeCell ref="L45:L46"/>
    <mergeCell ref="M45:M46"/>
    <mergeCell ref="N45:N46"/>
    <mergeCell ref="O45:O46"/>
    <mergeCell ref="P45:P46"/>
    <mergeCell ref="AJ67:AJ72"/>
    <mergeCell ref="K71:K72"/>
    <mergeCell ref="R71:R72"/>
    <mergeCell ref="U71:U72"/>
    <mergeCell ref="AH67:AH72"/>
    <mergeCell ref="AI67:AI72"/>
    <mergeCell ref="AG67:AG72"/>
    <mergeCell ref="AD67:AD72"/>
    <mergeCell ref="AE67:AE72"/>
    <mergeCell ref="AF67:AF72"/>
    <mergeCell ref="AA67:AA72"/>
    <mergeCell ref="AB67:AB72"/>
    <mergeCell ref="AC67:AC72"/>
    <mergeCell ref="X67:X72"/>
    <mergeCell ref="Y67:Y72"/>
    <mergeCell ref="Z67:Z72"/>
    <mergeCell ref="Q67:Q72"/>
    <mergeCell ref="T67:T70"/>
    <mergeCell ref="U67:U70"/>
    <mergeCell ref="AJ61:AJ64"/>
    <mergeCell ref="Q63:Q64"/>
    <mergeCell ref="G67:G69"/>
    <mergeCell ref="H67:H69"/>
    <mergeCell ref="I67:I69"/>
    <mergeCell ref="J67:J69"/>
    <mergeCell ref="AH61:AH64"/>
    <mergeCell ref="AF61:AF64"/>
    <mergeCell ref="AG61:AG64"/>
    <mergeCell ref="AC61:AC64"/>
    <mergeCell ref="AD61:AD64"/>
    <mergeCell ref="Q61:Q62"/>
    <mergeCell ref="T61:T64"/>
    <mergeCell ref="U61:U64"/>
    <mergeCell ref="V61:V64"/>
    <mergeCell ref="AI61:AI64"/>
    <mergeCell ref="AE61:AE64"/>
    <mergeCell ref="Z61:Z64"/>
    <mergeCell ref="AA61:AA64"/>
    <mergeCell ref="AB61:AB64"/>
    <mergeCell ref="X61:X64"/>
    <mergeCell ref="Y61:Y64"/>
    <mergeCell ref="O61:O64"/>
    <mergeCell ref="P61:P64"/>
    <mergeCell ref="AJ58:AJ59"/>
    <mergeCell ref="G61:G64"/>
    <mergeCell ref="H61:H64"/>
    <mergeCell ref="I61:I64"/>
    <mergeCell ref="J61:J64"/>
    <mergeCell ref="K61:K64"/>
    <mergeCell ref="L61:L64"/>
    <mergeCell ref="M61:M64"/>
    <mergeCell ref="N61:N64"/>
    <mergeCell ref="AH58:AH59"/>
    <mergeCell ref="AI58:AI59"/>
    <mergeCell ref="AG58:AG59"/>
    <mergeCell ref="AD58:AD59"/>
    <mergeCell ref="AE58:AE59"/>
    <mergeCell ref="AF58:AF59"/>
    <mergeCell ref="AA58:AA59"/>
    <mergeCell ref="AB58:AB59"/>
    <mergeCell ref="AC58:AC59"/>
    <mergeCell ref="X58:X59"/>
    <mergeCell ref="Y58:Y59"/>
    <mergeCell ref="Z58:Z59"/>
    <mergeCell ref="T58:T59"/>
    <mergeCell ref="U58:U59"/>
    <mergeCell ref="V58:V59"/>
    <mergeCell ref="AJ54:AJ56"/>
    <mergeCell ref="G58:G59"/>
    <mergeCell ref="H58:H59"/>
    <mergeCell ref="I58:I59"/>
    <mergeCell ref="J58:J59"/>
    <mergeCell ref="K58:K59"/>
    <mergeCell ref="AH54:AH56"/>
    <mergeCell ref="AF54:AF56"/>
    <mergeCell ref="AG54:AG56"/>
    <mergeCell ref="AC54:AC56"/>
    <mergeCell ref="AD54:AD56"/>
    <mergeCell ref="Q54:Q56"/>
    <mergeCell ref="T54:T56"/>
    <mergeCell ref="U54:U56"/>
    <mergeCell ref="V54:V56"/>
    <mergeCell ref="AI54:AI56"/>
    <mergeCell ref="AE54:AE56"/>
    <mergeCell ref="Z54:Z56"/>
    <mergeCell ref="AA54:AA56"/>
    <mergeCell ref="AB54:AB56"/>
    <mergeCell ref="W54:W56"/>
    <mergeCell ref="X54:X56"/>
    <mergeCell ref="Y54:Y56"/>
    <mergeCell ref="O54:O56"/>
    <mergeCell ref="G54:G56"/>
    <mergeCell ref="H54:H56"/>
    <mergeCell ref="I54:I56"/>
    <mergeCell ref="J54:J56"/>
    <mergeCell ref="K54:K56"/>
    <mergeCell ref="L54:L56"/>
    <mergeCell ref="M54:M56"/>
    <mergeCell ref="N54:N56"/>
    <mergeCell ref="AH50:AH52"/>
    <mergeCell ref="AG50:AG52"/>
    <mergeCell ref="AD50:AD52"/>
    <mergeCell ref="AE50:AE52"/>
    <mergeCell ref="AF50:AF52"/>
    <mergeCell ref="AA50:AA52"/>
    <mergeCell ref="AB50:AB52"/>
    <mergeCell ref="AC50:AC52"/>
    <mergeCell ref="X50:X52"/>
    <mergeCell ref="Y50:Y52"/>
    <mergeCell ref="Z50:Z52"/>
    <mergeCell ref="P54:P56"/>
    <mergeCell ref="AJ48:AJ49"/>
    <mergeCell ref="G50:G52"/>
    <mergeCell ref="H50:H52"/>
    <mergeCell ref="I50:I52"/>
    <mergeCell ref="J50:J52"/>
    <mergeCell ref="K50:K52"/>
    <mergeCell ref="AH48:AH49"/>
    <mergeCell ref="AF48:AF49"/>
    <mergeCell ref="AG48:AG49"/>
    <mergeCell ref="AC48:AC49"/>
    <mergeCell ref="AD48:AD49"/>
    <mergeCell ref="Q48:Q49"/>
    <mergeCell ref="T48:T49"/>
    <mergeCell ref="U48:U49"/>
    <mergeCell ref="V48:V49"/>
    <mergeCell ref="P50:P52"/>
    <mergeCell ref="Q50:Q51"/>
    <mergeCell ref="AI48:AI49"/>
    <mergeCell ref="AE48:AE49"/>
    <mergeCell ref="Z48:Z49"/>
    <mergeCell ref="AA48:AA49"/>
    <mergeCell ref="AB48:AB49"/>
    <mergeCell ref="AJ50:AJ52"/>
    <mergeCell ref="AI50:AI52"/>
    <mergeCell ref="AJ45:AJ46"/>
    <mergeCell ref="G48:G49"/>
    <mergeCell ref="H48:H49"/>
    <mergeCell ref="I48:I49"/>
    <mergeCell ref="J48:J49"/>
    <mergeCell ref="K48:K49"/>
    <mergeCell ref="L48:L49"/>
    <mergeCell ref="M48:M49"/>
    <mergeCell ref="N48:N49"/>
    <mergeCell ref="AH45:AH46"/>
    <mergeCell ref="AI45:AI46"/>
    <mergeCell ref="AG45:AG46"/>
    <mergeCell ref="AD45:AD46"/>
    <mergeCell ref="AE45:AE46"/>
    <mergeCell ref="AF45:AF46"/>
    <mergeCell ref="AA45:AA46"/>
    <mergeCell ref="AB45:AB46"/>
    <mergeCell ref="AC45:AC46"/>
    <mergeCell ref="X45:X46"/>
    <mergeCell ref="Y45:Y46"/>
    <mergeCell ref="Z45:Z46"/>
    <mergeCell ref="T45:T46"/>
    <mergeCell ref="U45:U46"/>
    <mergeCell ref="V45:V46"/>
    <mergeCell ref="Q45:Q46"/>
    <mergeCell ref="G45:G46"/>
    <mergeCell ref="H45:H46"/>
    <mergeCell ref="I45:I46"/>
    <mergeCell ref="J45:J46"/>
    <mergeCell ref="K45:K46"/>
    <mergeCell ref="AI40:AI44"/>
    <mergeCell ref="AJ40:AJ44"/>
    <mergeCell ref="Q43:Q44"/>
    <mergeCell ref="R43:R44"/>
    <mergeCell ref="S43:S44"/>
    <mergeCell ref="AH40:AH44"/>
    <mergeCell ref="AF40:AF44"/>
    <mergeCell ref="AG40:AG44"/>
    <mergeCell ref="AC40:AC44"/>
    <mergeCell ref="AD40:AD44"/>
    <mergeCell ref="AE40:AE44"/>
    <mergeCell ref="Z40:Z44"/>
    <mergeCell ref="AA40:AA44"/>
    <mergeCell ref="AB40:AB44"/>
    <mergeCell ref="W40:W44"/>
    <mergeCell ref="X40:X44"/>
    <mergeCell ref="Y40:Y44"/>
    <mergeCell ref="T40:T44"/>
    <mergeCell ref="U40:U44"/>
    <mergeCell ref="V40:V44"/>
    <mergeCell ref="N40:N44"/>
    <mergeCell ref="O40:O44"/>
    <mergeCell ref="P40:P44"/>
    <mergeCell ref="Q40:Q42"/>
    <mergeCell ref="R40:R41"/>
    <mergeCell ref="S40:S41"/>
    <mergeCell ref="AJ32:AJ37"/>
    <mergeCell ref="Q35:Q37"/>
    <mergeCell ref="G40:G44"/>
    <mergeCell ref="H40:H44"/>
    <mergeCell ref="I40:I44"/>
    <mergeCell ref="J40:J44"/>
    <mergeCell ref="K40:K44"/>
    <mergeCell ref="L40:L44"/>
    <mergeCell ref="M40:M44"/>
    <mergeCell ref="AH32:AH37"/>
    <mergeCell ref="AI32:AI37"/>
    <mergeCell ref="AG32:AG37"/>
    <mergeCell ref="AD32:AD37"/>
    <mergeCell ref="AE32:AE37"/>
    <mergeCell ref="AF32:AF37"/>
    <mergeCell ref="AA32:AA37"/>
    <mergeCell ref="AB32:AB37"/>
    <mergeCell ref="AC32:AC37"/>
    <mergeCell ref="X32:X37"/>
    <mergeCell ref="Y32:Y37"/>
    <mergeCell ref="Z32:Z37"/>
    <mergeCell ref="T32:T37"/>
    <mergeCell ref="U32:U37"/>
    <mergeCell ref="V32:V37"/>
    <mergeCell ref="W32:W37"/>
    <mergeCell ref="L32:L37"/>
    <mergeCell ref="M32:M37"/>
    <mergeCell ref="N32:N37"/>
    <mergeCell ref="O32:O37"/>
    <mergeCell ref="P32:P37"/>
    <mergeCell ref="Q32:Q34"/>
    <mergeCell ref="G32:G37"/>
    <mergeCell ref="H32:H37"/>
    <mergeCell ref="I32:I37"/>
    <mergeCell ref="J32:J37"/>
    <mergeCell ref="K32:K37"/>
    <mergeCell ref="AJ27:AJ30"/>
    <mergeCell ref="G29:G30"/>
    <mergeCell ref="H29:H30"/>
    <mergeCell ref="I29:I30"/>
    <mergeCell ref="J29:J30"/>
    <mergeCell ref="N29:N30"/>
    <mergeCell ref="Q29:Q30"/>
    <mergeCell ref="AH27:AH30"/>
    <mergeCell ref="AI27:AI30"/>
    <mergeCell ref="AF27:AF30"/>
    <mergeCell ref="AG27:AG30"/>
    <mergeCell ref="AC27:AC30"/>
    <mergeCell ref="AD27:AD30"/>
    <mergeCell ref="AE27:AE30"/>
    <mergeCell ref="Z27:Z30"/>
    <mergeCell ref="AA27:AA30"/>
    <mergeCell ref="AB27:AB30"/>
    <mergeCell ref="W27:W30"/>
    <mergeCell ref="X27:X30"/>
    <mergeCell ref="Y27:Y30"/>
    <mergeCell ref="AJ21:AJ25"/>
    <mergeCell ref="K27:K30"/>
    <mergeCell ref="L27:L30"/>
    <mergeCell ref="M27:M30"/>
    <mergeCell ref="O27:O30"/>
    <mergeCell ref="P27:P30"/>
    <mergeCell ref="T27:T30"/>
    <mergeCell ref="U27:U30"/>
    <mergeCell ref="V27:V30"/>
    <mergeCell ref="AH21:AH25"/>
    <mergeCell ref="AI21:AI25"/>
    <mergeCell ref="AG21:AG25"/>
    <mergeCell ref="AD21:AD25"/>
    <mergeCell ref="AE21:AE25"/>
    <mergeCell ref="AF21:AF25"/>
    <mergeCell ref="AA21:AA25"/>
    <mergeCell ref="AB21:AB25"/>
    <mergeCell ref="AC21:AC25"/>
    <mergeCell ref="X21:X25"/>
    <mergeCell ref="Y21:Y25"/>
    <mergeCell ref="Z21:Z25"/>
    <mergeCell ref="T21:T25"/>
    <mergeCell ref="U21:U25"/>
    <mergeCell ref="V21:V25"/>
    <mergeCell ref="W21:W25"/>
    <mergeCell ref="O21:O25"/>
    <mergeCell ref="P21:P25"/>
    <mergeCell ref="Q21:Q23"/>
    <mergeCell ref="R21:R22"/>
    <mergeCell ref="S21:S22"/>
    <mergeCell ref="AJ18:AJ19"/>
    <mergeCell ref="G21:G23"/>
    <mergeCell ref="H21:H23"/>
    <mergeCell ref="I21:I23"/>
    <mergeCell ref="J21:J23"/>
    <mergeCell ref="K21:K25"/>
    <mergeCell ref="L21:L25"/>
    <mergeCell ref="M21:M25"/>
    <mergeCell ref="N21:N23"/>
    <mergeCell ref="AH18:AH19"/>
    <mergeCell ref="AI18:AI19"/>
    <mergeCell ref="AG18:AG19"/>
    <mergeCell ref="AD18:AD19"/>
    <mergeCell ref="AE18:AE19"/>
    <mergeCell ref="AF18:AF19"/>
    <mergeCell ref="AA18:AA19"/>
    <mergeCell ref="AB18:AB19"/>
    <mergeCell ref="AC18:AC19"/>
    <mergeCell ref="X18:X19"/>
    <mergeCell ref="Y18:Y19"/>
    <mergeCell ref="Z18:Z19"/>
    <mergeCell ref="T18:T19"/>
    <mergeCell ref="U18:U19"/>
    <mergeCell ref="V18:V19"/>
    <mergeCell ref="W18:W19"/>
    <mergeCell ref="K18:K19"/>
    <mergeCell ref="L18:L19"/>
    <mergeCell ref="M18:M19"/>
    <mergeCell ref="N18:N19"/>
    <mergeCell ref="O18:O19"/>
    <mergeCell ref="P18:P19"/>
    <mergeCell ref="K12:K15"/>
    <mergeCell ref="AH12:AH15"/>
    <mergeCell ref="AI12:AI15"/>
    <mergeCell ref="Y12:Y15"/>
    <mergeCell ref="Z12:Z15"/>
    <mergeCell ref="AA12:AA15"/>
    <mergeCell ref="V12:V15"/>
    <mergeCell ref="W12:W15"/>
    <mergeCell ref="X12:X15"/>
    <mergeCell ref="R12:R13"/>
    <mergeCell ref="S12:S13"/>
    <mergeCell ref="K5:U6"/>
    <mergeCell ref="AJ12:AJ15"/>
    <mergeCell ref="G18:G19"/>
    <mergeCell ref="H18:H19"/>
    <mergeCell ref="I18:I19"/>
    <mergeCell ref="J18:J19"/>
    <mergeCell ref="AE12:AE15"/>
    <mergeCell ref="AF12:AF15"/>
    <mergeCell ref="AG12:AG15"/>
    <mergeCell ref="AB12:AB15"/>
    <mergeCell ref="AC12:AC15"/>
    <mergeCell ref="AD12:AD15"/>
    <mergeCell ref="T12:T15"/>
    <mergeCell ref="U12:U15"/>
    <mergeCell ref="L12:L15"/>
    <mergeCell ref="M12:M15"/>
    <mergeCell ref="N12:N14"/>
    <mergeCell ref="O12:O15"/>
    <mergeCell ref="P12:P15"/>
    <mergeCell ref="Q12:Q14"/>
    <mergeCell ref="G12:G14"/>
    <mergeCell ref="H12:H14"/>
    <mergeCell ref="I12:I14"/>
    <mergeCell ref="J12:J14"/>
    <mergeCell ref="V5:AG6"/>
    <mergeCell ref="AH5:AJ6"/>
    <mergeCell ref="G7:G8"/>
    <mergeCell ref="H7:H8"/>
    <mergeCell ref="I7:I8"/>
    <mergeCell ref="K7:K8"/>
    <mergeCell ref="L7:L8"/>
    <mergeCell ref="A7:A8"/>
    <mergeCell ref="B7:B8"/>
    <mergeCell ref="C7:C8"/>
    <mergeCell ref="D7:D8"/>
    <mergeCell ref="E7:E8"/>
    <mergeCell ref="F7:F8"/>
    <mergeCell ref="U7:U8"/>
    <mergeCell ref="V7:AA7"/>
    <mergeCell ref="AB7:AG7"/>
    <mergeCell ref="T7:T8"/>
    <mergeCell ref="M7:M8"/>
    <mergeCell ref="N7:N8"/>
    <mergeCell ref="O7:O8"/>
    <mergeCell ref="P7:P8"/>
    <mergeCell ref="Q7:Q8"/>
    <mergeCell ref="R7:R8"/>
    <mergeCell ref="A5:J6"/>
  </mergeCells>
  <printOptions horizontalCentered="1" verticalCentered="1"/>
  <pageMargins left="0.51181102362204722" right="0.51181102362204722" top="0.19685039370078741" bottom="0.55118110236220474" header="0.31496062992125984" footer="0.31496062992125984"/>
  <pageSetup paperSize="5" scale="30" orientation="landscape" r:id="rId1"/>
  <rowBreaks count="5" manualBreakCount="5">
    <brk id="20" max="16383" man="1"/>
    <brk id="31" max="16383" man="1"/>
    <brk id="37" max="16383" man="1"/>
    <brk id="46" max="52" man="1"/>
    <brk id="59" max="16383" man="1"/>
  </rowBreaks>
  <colBreaks count="1" manualBreakCount="1">
    <brk id="16" max="8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showGridLines="0" topLeftCell="K1" zoomScale="55" zoomScaleNormal="55" workbookViewId="0">
      <selection activeCell="AI1" sqref="AI1:AJ4"/>
    </sheetView>
  </sheetViews>
  <sheetFormatPr baseColWidth="10" defaultColWidth="11.42578125" defaultRowHeight="14.25" x14ac:dyDescent="0.2"/>
  <cols>
    <col min="1" max="1" width="11" style="34" customWidth="1"/>
    <col min="2" max="2" width="13" style="34" customWidth="1"/>
    <col min="3" max="3" width="11.5703125" style="34" bestFit="1" customWidth="1"/>
    <col min="4" max="4" width="17.140625" style="34" customWidth="1"/>
    <col min="5" max="5" width="11.42578125" style="34" hidden="1" customWidth="1"/>
    <col min="6" max="6" width="10.5703125" style="34" customWidth="1"/>
    <col min="7" max="7" width="18.7109375" style="34" customWidth="1"/>
    <col min="8" max="8" width="20.28515625" style="34" customWidth="1"/>
    <col min="9" max="9" width="14.85546875" style="34" customWidth="1"/>
    <col min="10" max="10" width="12.5703125" style="34" customWidth="1"/>
    <col min="11" max="11" width="21.42578125" style="34" customWidth="1"/>
    <col min="12" max="12" width="11.7109375" style="34" customWidth="1"/>
    <col min="13" max="13" width="21.5703125" style="34" customWidth="1"/>
    <col min="14" max="14" width="11.5703125" style="34" bestFit="1" customWidth="1"/>
    <col min="15" max="15" width="18.7109375" style="34" customWidth="1"/>
    <col min="16" max="16" width="26.85546875" style="34" customWidth="1"/>
    <col min="17" max="17" width="27.42578125" style="34" customWidth="1"/>
    <col min="18" max="18" width="35.85546875" style="34" customWidth="1"/>
    <col min="19" max="19" width="24.42578125" style="118" customWidth="1"/>
    <col min="20" max="20" width="14.7109375" style="34" customWidth="1"/>
    <col min="21" max="21" width="16.140625" style="34" customWidth="1"/>
    <col min="22" max="22" width="10.85546875" style="34" bestFit="1" customWidth="1"/>
    <col min="23" max="23" width="11" style="34" bestFit="1" customWidth="1"/>
    <col min="24" max="24" width="10.5703125" style="34" bestFit="1" customWidth="1"/>
    <col min="25" max="25" width="11.28515625" style="34" bestFit="1" customWidth="1"/>
    <col min="26" max="26" width="12.5703125" style="34" bestFit="1" customWidth="1"/>
    <col min="27" max="28" width="10.85546875" style="34" bestFit="1" customWidth="1"/>
    <col min="29" max="29" width="8.7109375" style="34" bestFit="1" customWidth="1"/>
    <col min="30" max="30" width="7.42578125" style="34" bestFit="1" customWidth="1"/>
    <col min="31" max="31" width="4.5703125" style="34" bestFit="1" customWidth="1"/>
    <col min="32" max="32" width="10.5703125" style="34" bestFit="1" customWidth="1"/>
    <col min="33" max="33" width="10.85546875" style="34" bestFit="1" customWidth="1"/>
    <col min="34" max="34" width="14.5703125" style="561" customWidth="1"/>
    <col min="35" max="35" width="13" style="561" customWidth="1"/>
    <col min="36" max="36" width="24.28515625" style="34" customWidth="1"/>
    <col min="37" max="16384" width="11.42578125" style="34"/>
  </cols>
  <sheetData>
    <row r="1" spans="1:36" ht="14.25" customHeight="1" x14ac:dyDescent="0.25">
      <c r="A1" s="1747" t="s">
        <v>1792</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8"/>
      <c r="AI1" s="769" t="s">
        <v>0</v>
      </c>
      <c r="AJ1" s="245" t="s">
        <v>1784</v>
      </c>
    </row>
    <row r="2" spans="1:36" ht="14.25" customHeight="1" x14ac:dyDescent="0.25">
      <c r="A2" s="1747"/>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8"/>
      <c r="AI2" s="770" t="s">
        <v>1</v>
      </c>
      <c r="AJ2" s="246">
        <v>5</v>
      </c>
    </row>
    <row r="3" spans="1:36" ht="14.25" customHeight="1" x14ac:dyDescent="0.25">
      <c r="A3" s="1747" t="s">
        <v>695</v>
      </c>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8"/>
      <c r="AI3" s="769" t="s">
        <v>2</v>
      </c>
      <c r="AJ3" s="247" t="s">
        <v>1785</v>
      </c>
    </row>
    <row r="4" spans="1:36" s="36" customFormat="1" ht="14.25" customHeight="1" x14ac:dyDescent="0.2">
      <c r="A4" s="1750" t="s">
        <v>119</v>
      </c>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1"/>
      <c r="AI4" s="772" t="s">
        <v>3</v>
      </c>
      <c r="AJ4" s="248" t="s">
        <v>4</v>
      </c>
    </row>
    <row r="5" spans="1:36" ht="15" customHeight="1" x14ac:dyDescent="0.2">
      <c r="A5" s="1757" t="s">
        <v>5</v>
      </c>
      <c r="B5" s="1758"/>
      <c r="C5" s="1758"/>
      <c r="D5" s="1758"/>
      <c r="E5" s="1758"/>
      <c r="F5" s="1758"/>
      <c r="G5" s="1758"/>
      <c r="H5" s="1758"/>
      <c r="I5" s="1758"/>
      <c r="J5" s="1758"/>
      <c r="K5" s="1757" t="s">
        <v>6</v>
      </c>
      <c r="L5" s="1758"/>
      <c r="M5" s="1758"/>
      <c r="N5" s="1758"/>
      <c r="O5" s="1758"/>
      <c r="P5" s="1758"/>
      <c r="Q5" s="1758"/>
      <c r="R5" s="1758"/>
      <c r="S5" s="1758"/>
      <c r="T5" s="1758"/>
      <c r="U5" s="1762"/>
      <c r="V5" s="1757" t="s">
        <v>7</v>
      </c>
      <c r="W5" s="1758"/>
      <c r="X5" s="1758"/>
      <c r="Y5" s="1758"/>
      <c r="Z5" s="1758"/>
      <c r="AA5" s="1758"/>
      <c r="AB5" s="1758"/>
      <c r="AC5" s="1758"/>
      <c r="AD5" s="1758"/>
      <c r="AE5" s="1758"/>
      <c r="AF5" s="1758"/>
      <c r="AG5" s="1758"/>
      <c r="AH5" s="1758"/>
      <c r="AI5" s="1758"/>
      <c r="AJ5" s="491"/>
    </row>
    <row r="6" spans="1:36" ht="14.45" customHeight="1" x14ac:dyDescent="0.2">
      <c r="A6" s="1759"/>
      <c r="B6" s="1760"/>
      <c r="C6" s="1760"/>
      <c r="D6" s="1760"/>
      <c r="E6" s="1760"/>
      <c r="F6" s="1760"/>
      <c r="G6" s="1760"/>
      <c r="H6" s="1760"/>
      <c r="I6" s="1760"/>
      <c r="J6" s="1760"/>
      <c r="K6" s="1759"/>
      <c r="L6" s="1760"/>
      <c r="M6" s="1760"/>
      <c r="N6" s="1760"/>
      <c r="O6" s="1760"/>
      <c r="P6" s="1760"/>
      <c r="Q6" s="1760"/>
      <c r="R6" s="1760"/>
      <c r="S6" s="1760"/>
      <c r="T6" s="1760"/>
      <c r="U6" s="1761"/>
      <c r="V6" s="1759"/>
      <c r="W6" s="1760"/>
      <c r="X6" s="1760"/>
      <c r="Y6" s="1760"/>
      <c r="Z6" s="1760"/>
      <c r="AA6" s="1760"/>
      <c r="AB6" s="1760"/>
      <c r="AC6" s="1760"/>
      <c r="AD6" s="1760"/>
      <c r="AE6" s="1760"/>
      <c r="AF6" s="1760"/>
      <c r="AG6" s="1760"/>
      <c r="AH6" s="1806"/>
      <c r="AI6" s="1806"/>
      <c r="AJ6" s="556"/>
    </row>
    <row r="7" spans="1:36" ht="22.5" customHeight="1" x14ac:dyDescent="0.2">
      <c r="A7" s="1752" t="s">
        <v>8</v>
      </c>
      <c r="B7" s="1752" t="s">
        <v>9</v>
      </c>
      <c r="C7" s="1754" t="s">
        <v>8</v>
      </c>
      <c r="D7" s="1754" t="s">
        <v>10</v>
      </c>
      <c r="E7" s="1754"/>
      <c r="F7" s="1754" t="s">
        <v>8</v>
      </c>
      <c r="G7" s="1754" t="s">
        <v>11</v>
      </c>
      <c r="H7" s="1754" t="s">
        <v>12</v>
      </c>
      <c r="I7" s="1754" t="s">
        <v>13</v>
      </c>
      <c r="J7" s="1900" t="s">
        <v>14</v>
      </c>
      <c r="K7" s="1754" t="s">
        <v>15</v>
      </c>
      <c r="L7" s="1752" t="s">
        <v>16</v>
      </c>
      <c r="M7" s="1754" t="s">
        <v>6</v>
      </c>
      <c r="N7" s="1754" t="s">
        <v>17</v>
      </c>
      <c r="O7" s="1754" t="s">
        <v>18</v>
      </c>
      <c r="P7" s="1754" t="s">
        <v>19</v>
      </c>
      <c r="Q7" s="1754" t="s">
        <v>20</v>
      </c>
      <c r="R7" s="1754" t="s">
        <v>21</v>
      </c>
      <c r="S7" s="1900" t="s">
        <v>18</v>
      </c>
      <c r="T7" s="1752" t="s">
        <v>8</v>
      </c>
      <c r="U7" s="1754" t="s">
        <v>22</v>
      </c>
      <c r="V7" s="1755" t="s">
        <v>23</v>
      </c>
      <c r="W7" s="1756"/>
      <c r="X7" s="1756"/>
      <c r="Y7" s="1756"/>
      <c r="Z7" s="1756"/>
      <c r="AA7" s="1756"/>
      <c r="AB7" s="1755" t="s">
        <v>24</v>
      </c>
      <c r="AC7" s="1756"/>
      <c r="AD7" s="1756"/>
      <c r="AE7" s="1756"/>
      <c r="AF7" s="1756"/>
      <c r="AG7" s="1756"/>
      <c r="AH7" s="1791" t="s">
        <v>25</v>
      </c>
      <c r="AI7" s="1791" t="s">
        <v>26</v>
      </c>
      <c r="AJ7" s="1793" t="s">
        <v>27</v>
      </c>
    </row>
    <row r="8" spans="1:36" ht="98.25" customHeight="1" x14ac:dyDescent="0.2">
      <c r="A8" s="1753"/>
      <c r="B8" s="1753"/>
      <c r="C8" s="1754"/>
      <c r="D8" s="1754"/>
      <c r="E8" s="1754"/>
      <c r="F8" s="1754"/>
      <c r="G8" s="1754"/>
      <c r="H8" s="1754"/>
      <c r="I8" s="1754"/>
      <c r="J8" s="2269"/>
      <c r="K8" s="1754"/>
      <c r="L8" s="1753"/>
      <c r="M8" s="1754"/>
      <c r="N8" s="1754"/>
      <c r="O8" s="1754"/>
      <c r="P8" s="1754"/>
      <c r="Q8" s="1754"/>
      <c r="R8" s="1754"/>
      <c r="S8" s="1902"/>
      <c r="T8" s="1753"/>
      <c r="U8" s="1754"/>
      <c r="V8" s="1476" t="s">
        <v>28</v>
      </c>
      <c r="W8" s="1476" t="s">
        <v>29</v>
      </c>
      <c r="X8" s="1476" t="s">
        <v>30</v>
      </c>
      <c r="Y8" s="1476" t="s">
        <v>31</v>
      </c>
      <c r="Z8" s="1476" t="s">
        <v>32</v>
      </c>
      <c r="AA8" s="1476" t="s">
        <v>33</v>
      </c>
      <c r="AB8" s="1476" t="s">
        <v>34</v>
      </c>
      <c r="AC8" s="1476" t="s">
        <v>35</v>
      </c>
      <c r="AD8" s="1476" t="s">
        <v>36</v>
      </c>
      <c r="AE8" s="1476" t="s">
        <v>37</v>
      </c>
      <c r="AF8" s="1476" t="s">
        <v>38</v>
      </c>
      <c r="AG8" s="1476" t="s">
        <v>39</v>
      </c>
      <c r="AH8" s="1792"/>
      <c r="AI8" s="1792"/>
      <c r="AJ8" s="1793"/>
    </row>
    <row r="9" spans="1:36" s="43" customFormat="1" ht="25.5" customHeight="1" x14ac:dyDescent="0.2">
      <c r="A9" s="39">
        <v>5</v>
      </c>
      <c r="B9" s="569" t="s">
        <v>122</v>
      </c>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1192"/>
      <c r="AI9" s="1192"/>
      <c r="AJ9" s="823"/>
    </row>
    <row r="10" spans="1:36" s="43" customFormat="1" ht="25.5" customHeight="1" x14ac:dyDescent="0.2">
      <c r="A10" s="824"/>
      <c r="B10" s="825"/>
      <c r="C10" s="1193">
        <v>25</v>
      </c>
      <c r="D10" s="1194" t="s">
        <v>261</v>
      </c>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6"/>
      <c r="AI10" s="1196"/>
      <c r="AJ10" s="1195"/>
    </row>
    <row r="11" spans="1:36" s="43" customFormat="1" ht="25.5" customHeight="1" x14ac:dyDescent="0.2">
      <c r="A11" s="831"/>
      <c r="B11" s="832"/>
      <c r="C11" s="824"/>
      <c r="D11" s="825"/>
      <c r="E11" s="1197"/>
      <c r="F11" s="48">
        <v>83</v>
      </c>
      <c r="G11" s="393" t="s">
        <v>262</v>
      </c>
      <c r="H11" s="393"/>
      <c r="I11" s="393"/>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509"/>
      <c r="AI11" s="509"/>
      <c r="AJ11" s="510"/>
    </row>
    <row r="12" spans="1:36" ht="126.75" customHeight="1" x14ac:dyDescent="0.2">
      <c r="A12" s="3007"/>
      <c r="B12" s="3009"/>
      <c r="C12" s="3007"/>
      <c r="D12" s="2041"/>
      <c r="E12" s="548"/>
      <c r="F12" s="3011"/>
      <c r="G12" s="3000"/>
      <c r="H12" s="2014" t="s">
        <v>696</v>
      </c>
      <c r="I12" s="1771" t="s">
        <v>16</v>
      </c>
      <c r="J12" s="1771">
        <v>6</v>
      </c>
      <c r="K12" s="2032" t="s">
        <v>697</v>
      </c>
      <c r="L12" s="1771" t="s">
        <v>698</v>
      </c>
      <c r="M12" s="2014" t="s">
        <v>699</v>
      </c>
      <c r="N12" s="3002">
        <v>100</v>
      </c>
      <c r="O12" s="3004">
        <v>100000000</v>
      </c>
      <c r="P12" s="1926" t="s">
        <v>700</v>
      </c>
      <c r="Q12" s="1926" t="s">
        <v>701</v>
      </c>
      <c r="R12" s="456" t="s">
        <v>702</v>
      </c>
      <c r="S12" s="1198">
        <v>25000000</v>
      </c>
      <c r="T12" s="2958">
        <v>20</v>
      </c>
      <c r="U12" s="1771" t="s">
        <v>132</v>
      </c>
      <c r="V12" s="3001">
        <v>64149</v>
      </c>
      <c r="W12" s="3001">
        <v>72224</v>
      </c>
      <c r="X12" s="3001">
        <v>27477</v>
      </c>
      <c r="Y12" s="3001">
        <v>86843</v>
      </c>
      <c r="Z12" s="3012">
        <v>236429</v>
      </c>
      <c r="AA12" s="2998">
        <v>81384</v>
      </c>
      <c r="AB12" s="2998">
        <v>13208</v>
      </c>
      <c r="AC12" s="2998">
        <v>1817</v>
      </c>
      <c r="AD12" s="2920"/>
      <c r="AE12" s="2920"/>
      <c r="AF12" s="2998">
        <v>16897</v>
      </c>
      <c r="AG12" s="2998">
        <v>81384</v>
      </c>
      <c r="AH12" s="2954">
        <v>42737</v>
      </c>
      <c r="AI12" s="2954">
        <v>43100</v>
      </c>
      <c r="AJ12" s="2014" t="s">
        <v>703</v>
      </c>
    </row>
    <row r="13" spans="1:36" ht="74.25" customHeight="1" x14ac:dyDescent="0.2">
      <c r="A13" s="3007"/>
      <c r="B13" s="3009"/>
      <c r="C13" s="3007"/>
      <c r="D13" s="2041"/>
      <c r="E13" s="849"/>
      <c r="F13" s="3007"/>
      <c r="G13" s="2045"/>
      <c r="H13" s="2014"/>
      <c r="I13" s="1771"/>
      <c r="J13" s="1771"/>
      <c r="K13" s="2032"/>
      <c r="L13" s="1771"/>
      <c r="M13" s="2014"/>
      <c r="N13" s="3002"/>
      <c r="O13" s="3004"/>
      <c r="P13" s="1926"/>
      <c r="Q13" s="1927"/>
      <c r="R13" s="460" t="s">
        <v>704</v>
      </c>
      <c r="S13" s="1199">
        <v>25000000</v>
      </c>
      <c r="T13" s="2958"/>
      <c r="U13" s="1771"/>
      <c r="V13" s="3001"/>
      <c r="W13" s="3001"/>
      <c r="X13" s="3001"/>
      <c r="Y13" s="3001"/>
      <c r="Z13" s="3012"/>
      <c r="AA13" s="2999"/>
      <c r="AB13" s="2999"/>
      <c r="AC13" s="2999"/>
      <c r="AD13" s="2943"/>
      <c r="AE13" s="2943"/>
      <c r="AF13" s="2999"/>
      <c r="AG13" s="2999"/>
      <c r="AH13" s="1771"/>
      <c r="AI13" s="1771"/>
      <c r="AJ13" s="2014"/>
    </row>
    <row r="14" spans="1:36" ht="102" customHeight="1" x14ac:dyDescent="0.2">
      <c r="A14" s="3007"/>
      <c r="B14" s="3009"/>
      <c r="C14" s="3007"/>
      <c r="D14" s="2041"/>
      <c r="E14" s="849"/>
      <c r="F14" s="3007"/>
      <c r="G14" s="2045"/>
      <c r="H14" s="2014"/>
      <c r="I14" s="1771"/>
      <c r="J14" s="1771"/>
      <c r="K14" s="2032"/>
      <c r="L14" s="1771"/>
      <c r="M14" s="2014"/>
      <c r="N14" s="3002"/>
      <c r="O14" s="3004"/>
      <c r="P14" s="1926"/>
      <c r="Q14" s="2013" t="s">
        <v>705</v>
      </c>
      <c r="R14" s="460" t="s">
        <v>706</v>
      </c>
      <c r="S14" s="1199">
        <v>25000000</v>
      </c>
      <c r="T14" s="2958"/>
      <c r="U14" s="1771"/>
      <c r="V14" s="3001"/>
      <c r="W14" s="3001"/>
      <c r="X14" s="3001"/>
      <c r="Y14" s="3001"/>
      <c r="Z14" s="3012"/>
      <c r="AA14" s="2999"/>
      <c r="AB14" s="2999"/>
      <c r="AC14" s="2999"/>
      <c r="AD14" s="2943"/>
      <c r="AE14" s="2943"/>
      <c r="AF14" s="2999"/>
      <c r="AG14" s="2999"/>
      <c r="AH14" s="1771"/>
      <c r="AI14" s="1771"/>
      <c r="AJ14" s="2014"/>
    </row>
    <row r="15" spans="1:36" ht="63" customHeight="1" x14ac:dyDescent="0.2">
      <c r="A15" s="3008"/>
      <c r="B15" s="3010"/>
      <c r="C15" s="3008"/>
      <c r="D15" s="2042"/>
      <c r="E15" s="849"/>
      <c r="F15" s="3008"/>
      <c r="G15" s="2049"/>
      <c r="H15" s="2015"/>
      <c r="I15" s="1772"/>
      <c r="J15" s="1772"/>
      <c r="K15" s="2033"/>
      <c r="L15" s="1772"/>
      <c r="M15" s="2015"/>
      <c r="N15" s="3003"/>
      <c r="O15" s="3005"/>
      <c r="P15" s="1927"/>
      <c r="Q15" s="2015"/>
      <c r="R15" s="460" t="s">
        <v>707</v>
      </c>
      <c r="S15" s="1199">
        <v>25000000</v>
      </c>
      <c r="T15" s="3006"/>
      <c r="U15" s="1772"/>
      <c r="V15" s="2998"/>
      <c r="W15" s="2998"/>
      <c r="X15" s="2998"/>
      <c r="Y15" s="2998"/>
      <c r="Z15" s="3013"/>
      <c r="AA15" s="2999"/>
      <c r="AB15" s="2999"/>
      <c r="AC15" s="2999"/>
      <c r="AD15" s="2943"/>
      <c r="AE15" s="2943"/>
      <c r="AF15" s="2999"/>
      <c r="AG15" s="2999"/>
      <c r="AH15" s="1772"/>
      <c r="AI15" s="1772"/>
      <c r="AJ15" s="2015"/>
    </row>
    <row r="16" spans="1:36" s="559" customFormat="1" ht="22.5" customHeight="1" x14ac:dyDescent="0.25">
      <c r="A16" s="551"/>
      <c r="B16" s="552"/>
      <c r="C16" s="552"/>
      <c r="D16" s="552"/>
      <c r="E16" s="552"/>
      <c r="F16" s="552"/>
      <c r="G16" s="552"/>
      <c r="H16" s="552"/>
      <c r="I16" s="552"/>
      <c r="J16" s="552"/>
      <c r="K16" s="552"/>
      <c r="L16" s="2011" t="s">
        <v>255</v>
      </c>
      <c r="M16" s="2011"/>
      <c r="N16" s="2012"/>
      <c r="O16" s="1200">
        <f>SUM(O12)</f>
        <v>100000000</v>
      </c>
      <c r="P16" s="551"/>
      <c r="Q16" s="552"/>
      <c r="R16" s="1201"/>
      <c r="S16" s="1202">
        <f>SUM(S12:S15)</f>
        <v>100000000</v>
      </c>
      <c r="T16" s="551"/>
      <c r="U16" s="552"/>
      <c r="V16" s="552"/>
      <c r="W16" s="552"/>
      <c r="X16" s="552"/>
      <c r="Y16" s="552"/>
      <c r="Z16" s="552"/>
      <c r="AA16" s="1203"/>
      <c r="AB16" s="1203"/>
      <c r="AC16" s="1203"/>
      <c r="AD16" s="552"/>
      <c r="AE16" s="552"/>
      <c r="AF16" s="1203"/>
      <c r="AG16" s="1203"/>
      <c r="AH16" s="558"/>
      <c r="AI16" s="558"/>
      <c r="AJ16" s="556"/>
    </row>
    <row r="17" spans="1:36" x14ac:dyDescent="0.2">
      <c r="A17" s="513"/>
      <c r="B17" s="513"/>
      <c r="C17" s="513"/>
      <c r="D17" s="513"/>
      <c r="E17" s="513"/>
      <c r="F17" s="513"/>
      <c r="G17" s="513"/>
      <c r="H17" s="513"/>
      <c r="I17" s="513"/>
      <c r="J17" s="513"/>
      <c r="K17" s="513"/>
      <c r="L17" s="513"/>
      <c r="M17" s="513"/>
      <c r="N17" s="513"/>
      <c r="O17" s="513"/>
      <c r="P17" s="513"/>
      <c r="Q17" s="513"/>
      <c r="R17" s="764"/>
      <c r="S17" s="1204"/>
      <c r="T17" s="513"/>
      <c r="U17" s="513"/>
      <c r="V17" s="513"/>
      <c r="W17" s="513"/>
      <c r="X17" s="513"/>
      <c r="Y17" s="513"/>
      <c r="Z17" s="513"/>
      <c r="AA17" s="513"/>
      <c r="AB17" s="513"/>
      <c r="AC17" s="513"/>
      <c r="AD17" s="513"/>
      <c r="AE17" s="513"/>
      <c r="AF17" s="513"/>
      <c r="AG17" s="513"/>
      <c r="AH17" s="757"/>
      <c r="AI17" s="757"/>
      <c r="AJ17" s="513"/>
    </row>
    <row r="18" spans="1:36" x14ac:dyDescent="0.2">
      <c r="A18" s="513"/>
      <c r="B18" s="513"/>
      <c r="C18" s="513"/>
      <c r="D18" s="513"/>
      <c r="E18" s="513"/>
      <c r="F18" s="513"/>
      <c r="G18" s="513"/>
      <c r="H18" s="513"/>
      <c r="I18" s="513"/>
      <c r="J18" s="513"/>
      <c r="K18" s="513"/>
      <c r="L18" s="513"/>
      <c r="M18" s="513"/>
      <c r="N18" s="513"/>
      <c r="O18" s="513"/>
      <c r="P18" s="513"/>
      <c r="Q18" s="513"/>
      <c r="R18" s="764"/>
      <c r="S18" s="1204"/>
      <c r="T18" s="513"/>
      <c r="U18" s="513"/>
      <c r="V18" s="513"/>
      <c r="W18" s="513"/>
      <c r="X18" s="513"/>
      <c r="Y18" s="513"/>
      <c r="Z18" s="513"/>
      <c r="AA18" s="513"/>
      <c r="AB18" s="513"/>
      <c r="AC18" s="513"/>
      <c r="AD18" s="513"/>
      <c r="AE18" s="513"/>
      <c r="AF18" s="513"/>
      <c r="AG18" s="513"/>
      <c r="AH18" s="757"/>
      <c r="AI18" s="757"/>
      <c r="AJ18" s="513"/>
    </row>
    <row r="20" spans="1:36" ht="15" x14ac:dyDescent="0.2">
      <c r="J20" s="1922" t="s">
        <v>708</v>
      </c>
      <c r="K20" s="1922"/>
      <c r="L20" s="1922"/>
    </row>
    <row r="21" spans="1:36" x14ac:dyDescent="0.2">
      <c r="J21" s="1933" t="s">
        <v>709</v>
      </c>
      <c r="K21" s="1933"/>
      <c r="L21" s="1933"/>
    </row>
  </sheetData>
  <mergeCells count="69">
    <mergeCell ref="P7:P8"/>
    <mergeCell ref="M7:M8"/>
    <mergeCell ref="A1:AH2"/>
    <mergeCell ref="A3:AH3"/>
    <mergeCell ref="A4:AH4"/>
    <mergeCell ref="A7:A8"/>
    <mergeCell ref="B7:B8"/>
    <mergeCell ref="C7:C8"/>
    <mergeCell ref="D7:E8"/>
    <mergeCell ref="F7:F8"/>
    <mergeCell ref="G7:G8"/>
    <mergeCell ref="A5:J6"/>
    <mergeCell ref="K5:U6"/>
    <mergeCell ref="V5:AG6"/>
    <mergeCell ref="AH5:AI6"/>
    <mergeCell ref="N7:N8"/>
    <mergeCell ref="O7:O8"/>
    <mergeCell ref="H7:H8"/>
    <mergeCell ref="I7:I8"/>
    <mergeCell ref="J7:J8"/>
    <mergeCell ref="K7:K8"/>
    <mergeCell ref="L7:L8"/>
    <mergeCell ref="AB7:AG7"/>
    <mergeCell ref="AH7:AH8"/>
    <mergeCell ref="Q7:Q8"/>
    <mergeCell ref="R7:R8"/>
    <mergeCell ref="S7:S8"/>
    <mergeCell ref="AI7:AI8"/>
    <mergeCell ref="AJ7:AJ8"/>
    <mergeCell ref="H12:H15"/>
    <mergeCell ref="I12:I15"/>
    <mergeCell ref="J12:J15"/>
    <mergeCell ref="K12:K15"/>
    <mergeCell ref="L12:L15"/>
    <mergeCell ref="AC12:AC15"/>
    <mergeCell ref="AD12:AD15"/>
    <mergeCell ref="Y12:Y15"/>
    <mergeCell ref="Z12:Z15"/>
    <mergeCell ref="AA12:AA15"/>
    <mergeCell ref="AJ12:AJ15"/>
    <mergeCell ref="T7:T8"/>
    <mergeCell ref="U7:U8"/>
    <mergeCell ref="V7:AA7"/>
    <mergeCell ref="A12:A15"/>
    <mergeCell ref="B12:B15"/>
    <mergeCell ref="C12:C15"/>
    <mergeCell ref="D12:D15"/>
    <mergeCell ref="F12:F15"/>
    <mergeCell ref="G12:G15"/>
    <mergeCell ref="U12:U15"/>
    <mergeCell ref="V12:V15"/>
    <mergeCell ref="W12:W15"/>
    <mergeCell ref="X12:X15"/>
    <mergeCell ref="M12:M15"/>
    <mergeCell ref="N12:N15"/>
    <mergeCell ref="O12:O15"/>
    <mergeCell ref="P12:P15"/>
    <mergeCell ref="Q12:Q13"/>
    <mergeCell ref="T12:T15"/>
    <mergeCell ref="Q14:Q15"/>
    <mergeCell ref="L16:N16"/>
    <mergeCell ref="J20:L20"/>
    <mergeCell ref="J21:L21"/>
    <mergeCell ref="AH12:AH15"/>
    <mergeCell ref="AI12:AI15"/>
    <mergeCell ref="AE12:AE15"/>
    <mergeCell ref="AF12:AF15"/>
    <mergeCell ref="AG12:AG15"/>
    <mergeCell ref="AB12:AB15"/>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195"/>
  <sheetViews>
    <sheetView showGridLines="0" topLeftCell="Q1" zoomScale="55" zoomScaleNormal="55" workbookViewId="0">
      <selection activeCell="AL1" sqref="AL1:AM4"/>
    </sheetView>
  </sheetViews>
  <sheetFormatPr baseColWidth="10" defaultColWidth="11.42578125" defaultRowHeight="14.25" x14ac:dyDescent="0.2"/>
  <cols>
    <col min="1" max="1" width="11.85546875" style="1206" customWidth="1"/>
    <col min="2" max="2" width="10.7109375" style="1206" customWidth="1"/>
    <col min="3" max="3" width="8.140625" style="1206" customWidth="1"/>
    <col min="4" max="4" width="11.7109375" style="1206" customWidth="1"/>
    <col min="5" max="5" width="7.42578125" style="1206" customWidth="1"/>
    <col min="6" max="6" width="9" style="1206" customWidth="1"/>
    <col min="7" max="7" width="11.140625" style="1206" bestFit="1" customWidth="1"/>
    <col min="8" max="8" width="8.5703125" style="1206" customWidth="1"/>
    <col min="9" max="9" width="13.5703125" style="1206" customWidth="1"/>
    <col min="10" max="10" width="12" style="1206" customWidth="1"/>
    <col min="11" max="11" width="31.28515625" style="1393" customWidth="1"/>
    <col min="12" max="12" width="22.7109375" style="1252" customWidth="1"/>
    <col min="13" max="13" width="18.85546875" style="1252" customWidth="1"/>
    <col min="14" max="14" width="20.7109375" style="1417" customWidth="1"/>
    <col min="15" max="15" width="15.5703125" style="1252" customWidth="1"/>
    <col min="16" max="16" width="21.42578125" style="1393" customWidth="1"/>
    <col min="17" max="17" width="13.42578125" style="1395" customWidth="1"/>
    <col min="18" max="18" width="31.28515625" style="1252" customWidth="1"/>
    <col min="19" max="19" width="28.140625" style="1252" customWidth="1"/>
    <col min="20" max="20" width="32.42578125" style="1393" customWidth="1"/>
    <col min="21" max="21" width="28.7109375" style="1394" customWidth="1"/>
    <col min="22" max="22" width="29.42578125" style="1394" customWidth="1"/>
    <col min="23" max="23" width="13.28515625" style="1395" customWidth="1"/>
    <col min="24" max="24" width="16.28515625" style="1395" customWidth="1"/>
    <col min="25" max="30" width="11" style="1396" customWidth="1"/>
    <col min="31" max="31" width="13.42578125" style="1396" customWidth="1"/>
    <col min="32" max="32" width="13.85546875" style="1396" customWidth="1"/>
    <col min="33" max="33" width="14.85546875" style="1396" customWidth="1"/>
    <col min="34" max="34" width="12.140625" style="1396" customWidth="1"/>
    <col min="35" max="35" width="12.85546875" style="1396" customWidth="1"/>
    <col min="36" max="36" width="11" style="1396" customWidth="1"/>
    <col min="37" max="37" width="15.7109375" style="1397" customWidth="1"/>
    <col min="38" max="38" width="16.42578125" style="1398" customWidth="1"/>
    <col min="39" max="39" width="28.7109375" style="1399" customWidth="1"/>
    <col min="40" max="40" width="21.42578125" style="1205" customWidth="1"/>
    <col min="41" max="41" width="15.7109375" style="1205" bestFit="1" customWidth="1"/>
    <col min="42" max="16384" width="11.42578125" style="1206"/>
  </cols>
  <sheetData>
    <row r="1" spans="1:45" ht="21.75" customHeight="1" x14ac:dyDescent="0.25">
      <c r="A1" s="3014" t="s">
        <v>1793</v>
      </c>
      <c r="B1" s="3014"/>
      <c r="C1" s="3014"/>
      <c r="D1" s="3014"/>
      <c r="E1" s="3014"/>
      <c r="F1" s="3014"/>
      <c r="G1" s="3014"/>
      <c r="H1" s="3014"/>
      <c r="I1" s="3014"/>
      <c r="J1" s="3014"/>
      <c r="K1" s="3014"/>
      <c r="L1" s="3014"/>
      <c r="M1" s="3014"/>
      <c r="N1" s="3014"/>
      <c r="O1" s="3014"/>
      <c r="P1" s="3014"/>
      <c r="Q1" s="3014"/>
      <c r="R1" s="3014"/>
      <c r="S1" s="3014"/>
      <c r="T1" s="3014"/>
      <c r="U1" s="3014"/>
      <c r="V1" s="3014"/>
      <c r="W1" s="3014"/>
      <c r="X1" s="3014"/>
      <c r="Y1" s="3014"/>
      <c r="Z1" s="3014"/>
      <c r="AA1" s="3014"/>
      <c r="AB1" s="3014"/>
      <c r="AC1" s="3014"/>
      <c r="AD1" s="3014"/>
      <c r="AE1" s="3014"/>
      <c r="AF1" s="3014"/>
      <c r="AG1" s="3014"/>
      <c r="AH1" s="3014"/>
      <c r="AI1" s="3014"/>
      <c r="AJ1" s="3014"/>
      <c r="AK1" s="3015"/>
      <c r="AL1" s="769" t="s">
        <v>0</v>
      </c>
      <c r="AM1" s="245" t="s">
        <v>1784</v>
      </c>
    </row>
    <row r="2" spans="1:45" ht="23.25" customHeight="1" x14ac:dyDescent="0.25">
      <c r="A2" s="3014"/>
      <c r="B2" s="3014"/>
      <c r="C2" s="3014"/>
      <c r="D2" s="3014"/>
      <c r="E2" s="3014"/>
      <c r="F2" s="3014"/>
      <c r="G2" s="3014"/>
      <c r="H2" s="3014"/>
      <c r="I2" s="3014"/>
      <c r="J2" s="3014"/>
      <c r="K2" s="3014"/>
      <c r="L2" s="3014"/>
      <c r="M2" s="3014"/>
      <c r="N2" s="3014"/>
      <c r="O2" s="3014"/>
      <c r="P2" s="3014"/>
      <c r="Q2" s="3014"/>
      <c r="R2" s="3014"/>
      <c r="S2" s="3014"/>
      <c r="T2" s="3014"/>
      <c r="U2" s="3014"/>
      <c r="V2" s="3014"/>
      <c r="W2" s="3014"/>
      <c r="X2" s="3014"/>
      <c r="Y2" s="3014"/>
      <c r="Z2" s="3014"/>
      <c r="AA2" s="3014"/>
      <c r="AB2" s="3014"/>
      <c r="AC2" s="3014"/>
      <c r="AD2" s="3014"/>
      <c r="AE2" s="3014"/>
      <c r="AF2" s="3014"/>
      <c r="AG2" s="3014"/>
      <c r="AH2" s="3014"/>
      <c r="AI2" s="3014"/>
      <c r="AJ2" s="3014"/>
      <c r="AK2" s="3015"/>
      <c r="AL2" s="770" t="s">
        <v>1</v>
      </c>
      <c r="AM2" s="246">
        <v>5</v>
      </c>
    </row>
    <row r="3" spans="1:45" ht="31.5" customHeight="1" x14ac:dyDescent="0.25">
      <c r="A3" s="3166" t="s">
        <v>5</v>
      </c>
      <c r="B3" s="3166"/>
      <c r="C3" s="3166"/>
      <c r="D3" s="3166"/>
      <c r="E3" s="3166"/>
      <c r="F3" s="3166"/>
      <c r="G3" s="3166"/>
      <c r="H3" s="3166"/>
      <c r="I3" s="3166"/>
      <c r="J3" s="3166"/>
      <c r="K3" s="3166"/>
      <c r="L3" s="3166"/>
      <c r="M3" s="3166"/>
      <c r="N3" s="1207"/>
      <c r="O3" s="1207"/>
      <c r="P3" s="3168" t="s">
        <v>6</v>
      </c>
      <c r="Q3" s="3166"/>
      <c r="R3" s="3166"/>
      <c r="S3" s="3166"/>
      <c r="T3" s="3166"/>
      <c r="U3" s="3166"/>
      <c r="V3" s="3166"/>
      <c r="W3" s="3166"/>
      <c r="X3" s="3169"/>
      <c r="Y3" s="3172" t="s">
        <v>7</v>
      </c>
      <c r="Z3" s="3173"/>
      <c r="AA3" s="3173"/>
      <c r="AB3" s="3173"/>
      <c r="AC3" s="3173"/>
      <c r="AD3" s="3173"/>
      <c r="AE3" s="3173"/>
      <c r="AF3" s="3173"/>
      <c r="AG3" s="3173"/>
      <c r="AH3" s="3173"/>
      <c r="AI3" s="3173"/>
      <c r="AJ3" s="3174"/>
      <c r="AK3" s="1537"/>
      <c r="AL3" s="769" t="s">
        <v>2</v>
      </c>
      <c r="AM3" s="247" t="s">
        <v>1785</v>
      </c>
    </row>
    <row r="4" spans="1:45" ht="23.45" customHeight="1" x14ac:dyDescent="0.2">
      <c r="A4" s="3167"/>
      <c r="B4" s="3167"/>
      <c r="C4" s="3167"/>
      <c r="D4" s="3167"/>
      <c r="E4" s="3167"/>
      <c r="F4" s="3167"/>
      <c r="G4" s="3167"/>
      <c r="H4" s="3167"/>
      <c r="I4" s="3167"/>
      <c r="J4" s="3167"/>
      <c r="K4" s="3167"/>
      <c r="L4" s="3167"/>
      <c r="M4" s="3167"/>
      <c r="N4" s="1208"/>
      <c r="O4" s="1208"/>
      <c r="P4" s="3170"/>
      <c r="Q4" s="3167"/>
      <c r="R4" s="3167"/>
      <c r="S4" s="3167"/>
      <c r="T4" s="3167"/>
      <c r="U4" s="3167"/>
      <c r="V4" s="3167"/>
      <c r="W4" s="3167"/>
      <c r="X4" s="3171"/>
      <c r="Y4" s="3175"/>
      <c r="Z4" s="3176"/>
      <c r="AA4" s="3176"/>
      <c r="AB4" s="3176"/>
      <c r="AC4" s="3176"/>
      <c r="AD4" s="3176"/>
      <c r="AE4" s="3176"/>
      <c r="AF4" s="3176"/>
      <c r="AG4" s="3176"/>
      <c r="AH4" s="3176"/>
      <c r="AI4" s="3176"/>
      <c r="AJ4" s="3177"/>
      <c r="AK4" s="1497"/>
      <c r="AL4" s="772" t="s">
        <v>3</v>
      </c>
      <c r="AM4" s="248" t="s">
        <v>4</v>
      </c>
    </row>
    <row r="5" spans="1:45" ht="22.5" customHeight="1" x14ac:dyDescent="0.2">
      <c r="A5" s="3154" t="s">
        <v>8</v>
      </c>
      <c r="B5" s="3157" t="s">
        <v>9</v>
      </c>
      <c r="C5" s="3154"/>
      <c r="D5" s="3154" t="s">
        <v>8</v>
      </c>
      <c r="E5" s="3157" t="s">
        <v>10</v>
      </c>
      <c r="F5" s="3154"/>
      <c r="G5" s="3154" t="s">
        <v>8</v>
      </c>
      <c r="H5" s="3157" t="s">
        <v>11</v>
      </c>
      <c r="I5" s="3154"/>
      <c r="J5" s="3154" t="s">
        <v>8</v>
      </c>
      <c r="K5" s="3160" t="s">
        <v>12</v>
      </c>
      <c r="L5" s="3138" t="s">
        <v>13</v>
      </c>
      <c r="M5" s="3138" t="s">
        <v>14</v>
      </c>
      <c r="N5" s="3138" t="s">
        <v>15</v>
      </c>
      <c r="O5" s="3154" t="s">
        <v>16</v>
      </c>
      <c r="P5" s="3138" t="s">
        <v>6</v>
      </c>
      <c r="Q5" s="3157" t="s">
        <v>17</v>
      </c>
      <c r="R5" s="3157" t="s">
        <v>18</v>
      </c>
      <c r="S5" s="3157" t="s">
        <v>19</v>
      </c>
      <c r="T5" s="3157" t="s">
        <v>20</v>
      </c>
      <c r="U5" s="3138" t="s">
        <v>21</v>
      </c>
      <c r="V5" s="3138" t="s">
        <v>18</v>
      </c>
      <c r="W5" s="3138" t="s">
        <v>8</v>
      </c>
      <c r="X5" s="3145" t="s">
        <v>22</v>
      </c>
      <c r="Y5" s="3146" t="s">
        <v>23</v>
      </c>
      <c r="Z5" s="3147"/>
      <c r="AA5" s="3147"/>
      <c r="AB5" s="3147"/>
      <c r="AC5" s="3147"/>
      <c r="AD5" s="3147"/>
      <c r="AE5" s="3146" t="s">
        <v>24</v>
      </c>
      <c r="AF5" s="3147"/>
      <c r="AG5" s="3147"/>
      <c r="AH5" s="3147"/>
      <c r="AI5" s="3147"/>
      <c r="AJ5" s="3147"/>
      <c r="AK5" s="3163" t="s">
        <v>25</v>
      </c>
      <c r="AL5" s="3163" t="s">
        <v>26</v>
      </c>
      <c r="AM5" s="3144" t="s">
        <v>27</v>
      </c>
    </row>
    <row r="6" spans="1:45" ht="30.75" customHeight="1" x14ac:dyDescent="0.2">
      <c r="A6" s="3155"/>
      <c r="B6" s="3158"/>
      <c r="C6" s="3155"/>
      <c r="D6" s="3155"/>
      <c r="E6" s="3158"/>
      <c r="F6" s="3155"/>
      <c r="G6" s="3155"/>
      <c r="H6" s="3158"/>
      <c r="I6" s="3155"/>
      <c r="J6" s="3155"/>
      <c r="K6" s="3161"/>
      <c r="L6" s="3139"/>
      <c r="M6" s="3139"/>
      <c r="N6" s="3139"/>
      <c r="O6" s="3155"/>
      <c r="P6" s="3139"/>
      <c r="Q6" s="3158"/>
      <c r="R6" s="3158"/>
      <c r="S6" s="3158"/>
      <c r="T6" s="3158"/>
      <c r="U6" s="3139"/>
      <c r="V6" s="3139"/>
      <c r="W6" s="3139"/>
      <c r="X6" s="3145"/>
      <c r="Y6" s="3141" t="s">
        <v>259</v>
      </c>
      <c r="Z6" s="3141" t="s">
        <v>29</v>
      </c>
      <c r="AA6" s="3141" t="s">
        <v>30</v>
      </c>
      <c r="AB6" s="3141" t="s">
        <v>31</v>
      </c>
      <c r="AC6" s="3141" t="s">
        <v>32</v>
      </c>
      <c r="AD6" s="3141" t="s">
        <v>33</v>
      </c>
      <c r="AE6" s="3141" t="s">
        <v>34</v>
      </c>
      <c r="AF6" s="3141" t="s">
        <v>35</v>
      </c>
      <c r="AG6" s="3141" t="s">
        <v>36</v>
      </c>
      <c r="AH6" s="3141" t="s">
        <v>37</v>
      </c>
      <c r="AI6" s="3141" t="s">
        <v>38</v>
      </c>
      <c r="AJ6" s="3141" t="s">
        <v>39</v>
      </c>
      <c r="AK6" s="3164"/>
      <c r="AL6" s="3164"/>
      <c r="AM6" s="3144"/>
      <c r="AN6" s="1209"/>
    </row>
    <row r="7" spans="1:45" ht="22.5" customHeight="1" x14ac:dyDescent="0.2">
      <c r="A7" s="3155"/>
      <c r="B7" s="3158"/>
      <c r="C7" s="3155"/>
      <c r="D7" s="3155"/>
      <c r="E7" s="3158"/>
      <c r="F7" s="3155"/>
      <c r="G7" s="3155"/>
      <c r="H7" s="3158"/>
      <c r="I7" s="3155"/>
      <c r="J7" s="3155"/>
      <c r="K7" s="3161"/>
      <c r="L7" s="3139"/>
      <c r="M7" s="3139"/>
      <c r="N7" s="3139"/>
      <c r="O7" s="3155"/>
      <c r="P7" s="3139"/>
      <c r="Q7" s="3158"/>
      <c r="R7" s="3158"/>
      <c r="S7" s="3158"/>
      <c r="T7" s="3158"/>
      <c r="U7" s="3139"/>
      <c r="V7" s="3139"/>
      <c r="W7" s="3139"/>
      <c r="X7" s="3145"/>
      <c r="Y7" s="3142"/>
      <c r="Z7" s="3142"/>
      <c r="AA7" s="3142"/>
      <c r="AB7" s="3142"/>
      <c r="AC7" s="3142"/>
      <c r="AD7" s="3142"/>
      <c r="AE7" s="3142"/>
      <c r="AF7" s="3142"/>
      <c r="AG7" s="3142"/>
      <c r="AH7" s="3142"/>
      <c r="AI7" s="3142"/>
      <c r="AJ7" s="3142"/>
      <c r="AK7" s="3164"/>
      <c r="AL7" s="3164"/>
      <c r="AM7" s="3144"/>
    </row>
    <row r="8" spans="1:45" ht="19.5" customHeight="1" x14ac:dyDescent="0.2">
      <c r="A8" s="3155"/>
      <c r="B8" s="3158"/>
      <c r="C8" s="3155"/>
      <c r="D8" s="3155"/>
      <c r="E8" s="3158"/>
      <c r="F8" s="3155"/>
      <c r="G8" s="3155"/>
      <c r="H8" s="3158"/>
      <c r="I8" s="3155"/>
      <c r="J8" s="3155"/>
      <c r="K8" s="3161"/>
      <c r="L8" s="3139"/>
      <c r="M8" s="3139"/>
      <c r="N8" s="3139"/>
      <c r="O8" s="3155"/>
      <c r="P8" s="3139"/>
      <c r="Q8" s="3158"/>
      <c r="R8" s="3158"/>
      <c r="S8" s="3158"/>
      <c r="T8" s="3158"/>
      <c r="U8" s="3139"/>
      <c r="V8" s="3139"/>
      <c r="W8" s="3139"/>
      <c r="X8" s="3145"/>
      <c r="Y8" s="3142"/>
      <c r="Z8" s="3142"/>
      <c r="AA8" s="3142"/>
      <c r="AB8" s="3142"/>
      <c r="AC8" s="3142"/>
      <c r="AD8" s="3142"/>
      <c r="AE8" s="3142"/>
      <c r="AF8" s="3142"/>
      <c r="AG8" s="3142"/>
      <c r="AH8" s="3142"/>
      <c r="AI8" s="3142"/>
      <c r="AJ8" s="3142"/>
      <c r="AK8" s="3164"/>
      <c r="AL8" s="3164"/>
      <c r="AM8" s="3144"/>
    </row>
    <row r="9" spans="1:45" ht="16.5" customHeight="1" x14ac:dyDescent="0.2">
      <c r="A9" s="3155"/>
      <c r="B9" s="3158"/>
      <c r="C9" s="3155"/>
      <c r="D9" s="3155"/>
      <c r="E9" s="3158"/>
      <c r="F9" s="3155"/>
      <c r="G9" s="3155"/>
      <c r="H9" s="3158"/>
      <c r="I9" s="3155"/>
      <c r="J9" s="3155"/>
      <c r="K9" s="3161"/>
      <c r="L9" s="3139"/>
      <c r="M9" s="3139"/>
      <c r="N9" s="3139"/>
      <c r="O9" s="3155"/>
      <c r="P9" s="3139"/>
      <c r="Q9" s="3158"/>
      <c r="R9" s="3158"/>
      <c r="S9" s="3158"/>
      <c r="T9" s="3158"/>
      <c r="U9" s="3139"/>
      <c r="V9" s="3139"/>
      <c r="W9" s="3139"/>
      <c r="X9" s="3145"/>
      <c r="Y9" s="3142"/>
      <c r="Z9" s="3142"/>
      <c r="AA9" s="3142"/>
      <c r="AB9" s="3142"/>
      <c r="AC9" s="3142"/>
      <c r="AD9" s="3142"/>
      <c r="AE9" s="3142"/>
      <c r="AF9" s="3142"/>
      <c r="AG9" s="3142"/>
      <c r="AH9" s="3142"/>
      <c r="AI9" s="3142"/>
      <c r="AJ9" s="3142"/>
      <c r="AK9" s="3164"/>
      <c r="AL9" s="3164"/>
      <c r="AM9" s="3144"/>
    </row>
    <row r="10" spans="1:45" ht="16.5" customHeight="1" x14ac:dyDescent="0.2">
      <c r="A10" s="3155"/>
      <c r="B10" s="3158"/>
      <c r="C10" s="3155"/>
      <c r="D10" s="3155"/>
      <c r="E10" s="3158"/>
      <c r="F10" s="3155"/>
      <c r="G10" s="3155"/>
      <c r="H10" s="3158"/>
      <c r="I10" s="3155"/>
      <c r="J10" s="3155"/>
      <c r="K10" s="3161"/>
      <c r="L10" s="3139"/>
      <c r="M10" s="3139"/>
      <c r="N10" s="3139"/>
      <c r="O10" s="3155"/>
      <c r="P10" s="3139"/>
      <c r="Q10" s="3158"/>
      <c r="R10" s="3158"/>
      <c r="S10" s="3158"/>
      <c r="T10" s="3158"/>
      <c r="U10" s="3139"/>
      <c r="V10" s="3139"/>
      <c r="W10" s="3139"/>
      <c r="X10" s="3145"/>
      <c r="Y10" s="3142"/>
      <c r="Z10" s="3142"/>
      <c r="AA10" s="3142"/>
      <c r="AB10" s="3142"/>
      <c r="AC10" s="3142"/>
      <c r="AD10" s="3142"/>
      <c r="AE10" s="3142"/>
      <c r="AF10" s="3142"/>
      <c r="AG10" s="3142"/>
      <c r="AH10" s="3142"/>
      <c r="AI10" s="3142"/>
      <c r="AJ10" s="3142"/>
      <c r="AK10" s="3164"/>
      <c r="AL10" s="3164"/>
      <c r="AM10" s="3144"/>
    </row>
    <row r="11" spans="1:45" ht="16.5" customHeight="1" x14ac:dyDescent="0.2">
      <c r="A11" s="3155"/>
      <c r="B11" s="3158"/>
      <c r="C11" s="3155"/>
      <c r="D11" s="3155"/>
      <c r="E11" s="3158"/>
      <c r="F11" s="3155"/>
      <c r="G11" s="3155"/>
      <c r="H11" s="3158"/>
      <c r="I11" s="3155"/>
      <c r="J11" s="3155"/>
      <c r="K11" s="3161"/>
      <c r="L11" s="3139"/>
      <c r="M11" s="3139"/>
      <c r="N11" s="3139"/>
      <c r="O11" s="3155"/>
      <c r="P11" s="3139"/>
      <c r="Q11" s="3158"/>
      <c r="R11" s="3158"/>
      <c r="S11" s="3158"/>
      <c r="T11" s="3158"/>
      <c r="U11" s="3139"/>
      <c r="V11" s="3139"/>
      <c r="W11" s="3139"/>
      <c r="X11" s="3145"/>
      <c r="Y11" s="3142"/>
      <c r="Z11" s="3142"/>
      <c r="AA11" s="3142"/>
      <c r="AB11" s="3142"/>
      <c r="AC11" s="3142"/>
      <c r="AD11" s="3142"/>
      <c r="AE11" s="3142"/>
      <c r="AF11" s="3142"/>
      <c r="AG11" s="3142"/>
      <c r="AH11" s="3142"/>
      <c r="AI11" s="3142"/>
      <c r="AJ11" s="3142"/>
      <c r="AK11" s="3164"/>
      <c r="AL11" s="3164"/>
      <c r="AM11" s="3144"/>
    </row>
    <row r="12" spans="1:45" ht="16.5" customHeight="1" x14ac:dyDescent="0.2">
      <c r="A12" s="3156"/>
      <c r="B12" s="3159"/>
      <c r="C12" s="3156"/>
      <c r="D12" s="3156"/>
      <c r="E12" s="3159"/>
      <c r="F12" s="3156"/>
      <c r="G12" s="3156"/>
      <c r="H12" s="3159"/>
      <c r="I12" s="3156"/>
      <c r="J12" s="3156"/>
      <c r="K12" s="3162"/>
      <c r="L12" s="3140"/>
      <c r="M12" s="3140"/>
      <c r="N12" s="3140"/>
      <c r="O12" s="3156"/>
      <c r="P12" s="3140"/>
      <c r="Q12" s="3159"/>
      <c r="R12" s="3159"/>
      <c r="S12" s="3159"/>
      <c r="T12" s="3159"/>
      <c r="U12" s="3140"/>
      <c r="V12" s="3140"/>
      <c r="W12" s="3140"/>
      <c r="X12" s="3145"/>
      <c r="Y12" s="3143"/>
      <c r="Z12" s="3143"/>
      <c r="AA12" s="3143"/>
      <c r="AB12" s="3143"/>
      <c r="AC12" s="3143"/>
      <c r="AD12" s="3143"/>
      <c r="AE12" s="3143"/>
      <c r="AF12" s="3143"/>
      <c r="AG12" s="3143"/>
      <c r="AH12" s="3143"/>
      <c r="AI12" s="3143"/>
      <c r="AJ12" s="3143"/>
      <c r="AK12" s="3165"/>
      <c r="AL12" s="3165"/>
      <c r="AM12" s="3144"/>
    </row>
    <row r="13" spans="1:45" s="1218" customFormat="1" ht="27.75" customHeight="1" x14ac:dyDescent="0.2">
      <c r="A13" s="1210">
        <v>3</v>
      </c>
      <c r="B13" s="1211" t="s">
        <v>730</v>
      </c>
      <c r="C13" s="1211"/>
      <c r="D13" s="1211"/>
      <c r="E13" s="1211"/>
      <c r="F13" s="1211"/>
      <c r="G13" s="1211"/>
      <c r="H13" s="1211"/>
      <c r="I13" s="1211"/>
      <c r="J13" s="1211"/>
      <c r="K13" s="1212"/>
      <c r="L13" s="1211"/>
      <c r="M13" s="1211"/>
      <c r="N13" s="1213"/>
      <c r="O13" s="1211"/>
      <c r="P13" s="1212"/>
      <c r="Q13" s="1211"/>
      <c r="R13" s="1211"/>
      <c r="S13" s="1211"/>
      <c r="T13" s="1212"/>
      <c r="U13" s="1212"/>
      <c r="V13" s="1214"/>
      <c r="W13" s="1213"/>
      <c r="X13" s="1213"/>
      <c r="Y13" s="1215"/>
      <c r="Z13" s="1215"/>
      <c r="AA13" s="1215"/>
      <c r="AB13" s="1215"/>
      <c r="AC13" s="1215"/>
      <c r="AD13" s="1215"/>
      <c r="AE13" s="1215"/>
      <c r="AF13" s="1215"/>
      <c r="AG13" s="1215"/>
      <c r="AH13" s="1215"/>
      <c r="AI13" s="1215"/>
      <c r="AJ13" s="1215"/>
      <c r="AK13" s="1211"/>
      <c r="AL13" s="1211"/>
      <c r="AM13" s="1216"/>
      <c r="AN13" s="1217"/>
      <c r="AO13" s="1217"/>
      <c r="AP13" s="1217"/>
      <c r="AQ13" s="1217"/>
      <c r="AR13" s="1217"/>
      <c r="AS13" s="1217"/>
    </row>
    <row r="14" spans="1:45" s="1218" customFormat="1" ht="24.75" customHeight="1" x14ac:dyDescent="0.2">
      <c r="A14" s="3148"/>
      <c r="B14" s="3149"/>
      <c r="C14" s="3150"/>
      <c r="D14" s="1219">
        <v>11</v>
      </c>
      <c r="E14" s="1220" t="s">
        <v>731</v>
      </c>
      <c r="F14" s="1220"/>
      <c r="G14" s="1221"/>
      <c r="H14" s="1221"/>
      <c r="I14" s="1221"/>
      <c r="J14" s="1221"/>
      <c r="K14" s="1222"/>
      <c r="L14" s="1221"/>
      <c r="M14" s="1221"/>
      <c r="N14" s="1223"/>
      <c r="O14" s="1221"/>
      <c r="P14" s="1222"/>
      <c r="Q14" s="1221"/>
      <c r="R14" s="1221"/>
      <c r="S14" s="1221"/>
      <c r="T14" s="1222"/>
      <c r="U14" s="1222"/>
      <c r="V14" s="1224"/>
      <c r="W14" s="1223"/>
      <c r="X14" s="1223"/>
      <c r="Y14" s="1225"/>
      <c r="Z14" s="1225"/>
      <c r="AA14" s="1225"/>
      <c r="AB14" s="1225"/>
      <c r="AC14" s="1225"/>
      <c r="AD14" s="1225"/>
      <c r="AE14" s="1225"/>
      <c r="AF14" s="1225"/>
      <c r="AG14" s="1225"/>
      <c r="AH14" s="1225"/>
      <c r="AI14" s="1225"/>
      <c r="AJ14" s="1225"/>
      <c r="AK14" s="1221"/>
      <c r="AL14" s="1221"/>
      <c r="AM14" s="1226"/>
      <c r="AN14" s="1217"/>
      <c r="AO14" s="1217"/>
      <c r="AP14" s="1217"/>
      <c r="AQ14" s="1217"/>
      <c r="AR14" s="1217"/>
      <c r="AS14" s="1217"/>
    </row>
    <row r="15" spans="1:45" s="1218" customFormat="1" ht="27.75" customHeight="1" x14ac:dyDescent="0.2">
      <c r="A15" s="1227"/>
      <c r="B15" s="1228"/>
      <c r="C15" s="1229"/>
      <c r="D15" s="1230"/>
      <c r="E15" s="1230"/>
      <c r="F15" s="1231"/>
      <c r="G15" s="1232">
        <v>35</v>
      </c>
      <c r="H15" s="1233" t="s">
        <v>732</v>
      </c>
      <c r="I15" s="1233"/>
      <c r="J15" s="1233"/>
      <c r="K15" s="1234"/>
      <c r="L15" s="1233"/>
      <c r="M15" s="1233"/>
      <c r="N15" s="1235"/>
      <c r="O15" s="1233"/>
      <c r="P15" s="1234"/>
      <c r="Q15" s="1233"/>
      <c r="R15" s="1233"/>
      <c r="S15" s="1233"/>
      <c r="T15" s="1234"/>
      <c r="U15" s="1234"/>
      <c r="V15" s="1236"/>
      <c r="W15" s="1235"/>
      <c r="X15" s="1235"/>
      <c r="Y15" s="1237"/>
      <c r="Z15" s="1237"/>
      <c r="AA15" s="1237"/>
      <c r="AB15" s="1237"/>
      <c r="AC15" s="1237"/>
      <c r="AD15" s="1237"/>
      <c r="AE15" s="1237"/>
      <c r="AF15" s="1237"/>
      <c r="AG15" s="1237"/>
      <c r="AH15" s="1237"/>
      <c r="AI15" s="1237"/>
      <c r="AJ15" s="1237"/>
      <c r="AK15" s="1233"/>
      <c r="AL15" s="1233"/>
      <c r="AM15" s="1238"/>
      <c r="AN15" s="1217"/>
      <c r="AO15" s="1217"/>
      <c r="AP15" s="1217"/>
      <c r="AQ15" s="1217"/>
      <c r="AR15" s="1217"/>
      <c r="AS15" s="1217"/>
    </row>
    <row r="16" spans="1:45" s="1252" customFormat="1" ht="93" customHeight="1" x14ac:dyDescent="0.2">
      <c r="A16" s="1239"/>
      <c r="B16" s="1240"/>
      <c r="C16" s="1241"/>
      <c r="D16" s="1240"/>
      <c r="E16" s="1240"/>
      <c r="F16" s="1241"/>
      <c r="G16" s="1242"/>
      <c r="H16" s="1243"/>
      <c r="I16" s="1244"/>
      <c r="J16" s="1245">
        <v>127</v>
      </c>
      <c r="K16" s="1246" t="s">
        <v>733</v>
      </c>
      <c r="L16" s="1247" t="s">
        <v>287</v>
      </c>
      <c r="M16" s="1245">
        <v>1</v>
      </c>
      <c r="N16" s="3026" t="s">
        <v>734</v>
      </c>
      <c r="O16" s="3026">
        <v>132</v>
      </c>
      <c r="P16" s="3029" t="s">
        <v>735</v>
      </c>
      <c r="Q16" s="1248">
        <f>V16/R16</f>
        <v>0.55406546990496308</v>
      </c>
      <c r="R16" s="3151">
        <f>103000000+86400000</f>
        <v>189400000</v>
      </c>
      <c r="S16" s="3029" t="s">
        <v>736</v>
      </c>
      <c r="T16" s="1249" t="s">
        <v>737</v>
      </c>
      <c r="U16" s="1249" t="s">
        <v>738</v>
      </c>
      <c r="V16" s="1250">
        <f>18540000+86400000</f>
        <v>104940000</v>
      </c>
      <c r="W16" s="3062">
        <v>61</v>
      </c>
      <c r="X16" s="3026" t="s">
        <v>739</v>
      </c>
      <c r="Y16" s="3079">
        <v>64149</v>
      </c>
      <c r="Z16" s="3106" t="s">
        <v>133</v>
      </c>
      <c r="AA16" s="3106" t="s">
        <v>133</v>
      </c>
      <c r="AB16" s="3106" t="s">
        <v>133</v>
      </c>
      <c r="AC16" s="3106" t="s">
        <v>133</v>
      </c>
      <c r="AD16" s="3106" t="s">
        <v>133</v>
      </c>
      <c r="AE16" s="3106" t="s">
        <v>133</v>
      </c>
      <c r="AF16" s="3106" t="s">
        <v>133</v>
      </c>
      <c r="AG16" s="3106" t="s">
        <v>133</v>
      </c>
      <c r="AH16" s="3106" t="s">
        <v>133</v>
      </c>
      <c r="AI16" s="3106" t="s">
        <v>133</v>
      </c>
      <c r="AJ16" s="3106" t="s">
        <v>133</v>
      </c>
      <c r="AK16" s="3020">
        <v>42948</v>
      </c>
      <c r="AL16" s="3020">
        <v>43100</v>
      </c>
      <c r="AM16" s="3023" t="s">
        <v>740</v>
      </c>
      <c r="AN16" s="1251"/>
    </row>
    <row r="17" spans="1:45" s="1252" customFormat="1" ht="85.5" x14ac:dyDescent="0.2">
      <c r="A17" s="1239"/>
      <c r="B17" s="1240"/>
      <c r="C17" s="1241"/>
      <c r="D17" s="1240"/>
      <c r="E17" s="1240"/>
      <c r="F17" s="1241"/>
      <c r="G17" s="1239"/>
      <c r="H17" s="1240"/>
      <c r="I17" s="1241"/>
      <c r="J17" s="3026">
        <v>128</v>
      </c>
      <c r="K17" s="3029" t="s">
        <v>741</v>
      </c>
      <c r="L17" s="3026" t="s">
        <v>287</v>
      </c>
      <c r="M17" s="3026">
        <v>1</v>
      </c>
      <c r="N17" s="3027"/>
      <c r="O17" s="3027"/>
      <c r="P17" s="3030"/>
      <c r="Q17" s="3032">
        <f>(V17+V18)/R16</f>
        <v>0.13595564941921859</v>
      </c>
      <c r="R17" s="3152"/>
      <c r="S17" s="3030"/>
      <c r="T17" s="3029" t="s">
        <v>742</v>
      </c>
      <c r="U17" s="1249" t="s">
        <v>743</v>
      </c>
      <c r="V17" s="1253">
        <v>12875000</v>
      </c>
      <c r="W17" s="3063"/>
      <c r="X17" s="3027"/>
      <c r="Y17" s="3080"/>
      <c r="Z17" s="3107"/>
      <c r="AA17" s="3107"/>
      <c r="AB17" s="3107"/>
      <c r="AC17" s="3107"/>
      <c r="AD17" s="3107"/>
      <c r="AE17" s="3107"/>
      <c r="AF17" s="3107"/>
      <c r="AG17" s="3107"/>
      <c r="AH17" s="3107"/>
      <c r="AI17" s="3107"/>
      <c r="AJ17" s="3107"/>
      <c r="AK17" s="3021"/>
      <c r="AL17" s="3021"/>
      <c r="AM17" s="3024"/>
    </row>
    <row r="18" spans="1:45" s="1252" customFormat="1" ht="85.5" x14ac:dyDescent="0.2">
      <c r="A18" s="1239"/>
      <c r="B18" s="1240"/>
      <c r="C18" s="1241"/>
      <c r="D18" s="1240"/>
      <c r="E18" s="1240"/>
      <c r="F18" s="1241"/>
      <c r="G18" s="1239"/>
      <c r="H18" s="1240"/>
      <c r="I18" s="1241"/>
      <c r="J18" s="3028"/>
      <c r="K18" s="3031"/>
      <c r="L18" s="3028"/>
      <c r="M18" s="3028"/>
      <c r="N18" s="3027"/>
      <c r="O18" s="3027"/>
      <c r="P18" s="3030"/>
      <c r="Q18" s="3034"/>
      <c r="R18" s="3152"/>
      <c r="S18" s="3030"/>
      <c r="T18" s="3031"/>
      <c r="U18" s="1249" t="s">
        <v>744</v>
      </c>
      <c r="V18" s="1253">
        <v>12875000</v>
      </c>
      <c r="W18" s="3063"/>
      <c r="X18" s="3027"/>
      <c r="Y18" s="3080"/>
      <c r="Z18" s="3107"/>
      <c r="AA18" s="3107"/>
      <c r="AB18" s="3107"/>
      <c r="AC18" s="3107"/>
      <c r="AD18" s="3107"/>
      <c r="AE18" s="3107"/>
      <c r="AF18" s="3107"/>
      <c r="AG18" s="3107"/>
      <c r="AH18" s="3107"/>
      <c r="AI18" s="3107"/>
      <c r="AJ18" s="3107"/>
      <c r="AK18" s="3021"/>
      <c r="AL18" s="3021"/>
      <c r="AM18" s="3024"/>
      <c r="AO18" s="1254"/>
    </row>
    <row r="19" spans="1:45" s="1252" customFormat="1" ht="57" x14ac:dyDescent="0.2">
      <c r="A19" s="1239"/>
      <c r="B19" s="1240"/>
      <c r="C19" s="1241"/>
      <c r="D19" s="1240"/>
      <c r="E19" s="1240"/>
      <c r="F19" s="1241"/>
      <c r="G19" s="1239"/>
      <c r="H19" s="1240"/>
      <c r="I19" s="1241"/>
      <c r="J19" s="3075">
        <v>129</v>
      </c>
      <c r="K19" s="3029" t="s">
        <v>745</v>
      </c>
      <c r="L19" s="3026" t="s">
        <v>287</v>
      </c>
      <c r="M19" s="3026">
        <v>6</v>
      </c>
      <c r="N19" s="3027"/>
      <c r="O19" s="3027"/>
      <c r="P19" s="3030"/>
      <c r="Q19" s="3032">
        <f>(V19+V20+V21+V22+V23)/R16</f>
        <v>0.30997888067581836</v>
      </c>
      <c r="R19" s="3152"/>
      <c r="S19" s="3030"/>
      <c r="T19" s="3029" t="s">
        <v>746</v>
      </c>
      <c r="U19" s="1249" t="s">
        <v>747</v>
      </c>
      <c r="V19" s="1253">
        <v>12000000</v>
      </c>
      <c r="W19" s="3063"/>
      <c r="X19" s="3027"/>
      <c r="Y19" s="3080"/>
      <c r="Z19" s="3107"/>
      <c r="AA19" s="3107"/>
      <c r="AB19" s="3107"/>
      <c r="AC19" s="3107"/>
      <c r="AD19" s="3107"/>
      <c r="AE19" s="3107"/>
      <c r="AF19" s="3107"/>
      <c r="AG19" s="3107"/>
      <c r="AH19" s="3107"/>
      <c r="AI19" s="3107"/>
      <c r="AJ19" s="3107"/>
      <c r="AK19" s="3021"/>
      <c r="AL19" s="3021"/>
      <c r="AM19" s="3024"/>
      <c r="AO19" s="1254"/>
    </row>
    <row r="20" spans="1:45" s="1252" customFormat="1" ht="71.25" x14ac:dyDescent="0.2">
      <c r="A20" s="1239"/>
      <c r="B20" s="1240"/>
      <c r="C20" s="1241"/>
      <c r="D20" s="1240"/>
      <c r="E20" s="1240"/>
      <c r="F20" s="1241"/>
      <c r="G20" s="1239"/>
      <c r="H20" s="1240"/>
      <c r="I20" s="1241"/>
      <c r="J20" s="3075"/>
      <c r="K20" s="3030"/>
      <c r="L20" s="3027"/>
      <c r="M20" s="3027"/>
      <c r="N20" s="3027"/>
      <c r="O20" s="3027"/>
      <c r="P20" s="3030"/>
      <c r="Q20" s="3033"/>
      <c r="R20" s="3152"/>
      <c r="S20" s="3030"/>
      <c r="T20" s="3030"/>
      <c r="U20" s="1249" t="s">
        <v>748</v>
      </c>
      <c r="V20" s="1253">
        <v>14710000</v>
      </c>
      <c r="W20" s="3063"/>
      <c r="X20" s="3027"/>
      <c r="Y20" s="3080"/>
      <c r="Z20" s="3107"/>
      <c r="AA20" s="3107"/>
      <c r="AB20" s="3107"/>
      <c r="AC20" s="3107"/>
      <c r="AD20" s="3107"/>
      <c r="AE20" s="3107"/>
      <c r="AF20" s="3107"/>
      <c r="AG20" s="3107"/>
      <c r="AH20" s="3107"/>
      <c r="AI20" s="3107"/>
      <c r="AJ20" s="3107"/>
      <c r="AK20" s="3021"/>
      <c r="AL20" s="3021"/>
      <c r="AM20" s="3024"/>
      <c r="AO20" s="1254"/>
    </row>
    <row r="21" spans="1:45" s="1252" customFormat="1" ht="57" x14ac:dyDescent="0.2">
      <c r="A21" s="1239"/>
      <c r="B21" s="1240"/>
      <c r="C21" s="1241"/>
      <c r="D21" s="1240"/>
      <c r="E21" s="1240"/>
      <c r="F21" s="1241"/>
      <c r="G21" s="1239"/>
      <c r="H21" s="1240"/>
      <c r="I21" s="1241"/>
      <c r="J21" s="3075"/>
      <c r="K21" s="3030"/>
      <c r="L21" s="3027"/>
      <c r="M21" s="3027"/>
      <c r="N21" s="3027"/>
      <c r="O21" s="3027"/>
      <c r="P21" s="3030"/>
      <c r="Q21" s="3033"/>
      <c r="R21" s="3152"/>
      <c r="S21" s="3030"/>
      <c r="T21" s="3030"/>
      <c r="U21" s="1249" t="s">
        <v>749</v>
      </c>
      <c r="V21" s="1253">
        <v>10000000</v>
      </c>
      <c r="W21" s="3063"/>
      <c r="X21" s="3027"/>
      <c r="Y21" s="3080"/>
      <c r="Z21" s="3107"/>
      <c r="AA21" s="3107"/>
      <c r="AB21" s="3107"/>
      <c r="AC21" s="3107"/>
      <c r="AD21" s="3107"/>
      <c r="AE21" s="3107"/>
      <c r="AF21" s="3107"/>
      <c r="AG21" s="3107"/>
      <c r="AH21" s="3107"/>
      <c r="AI21" s="3107"/>
      <c r="AJ21" s="3107"/>
      <c r="AK21" s="3021"/>
      <c r="AL21" s="3021"/>
      <c r="AM21" s="3024"/>
      <c r="AO21" s="1254"/>
    </row>
    <row r="22" spans="1:45" s="1252" customFormat="1" ht="71.25" x14ac:dyDescent="0.2">
      <c r="A22" s="1239"/>
      <c r="B22" s="1240"/>
      <c r="C22" s="1241"/>
      <c r="D22" s="1240"/>
      <c r="E22" s="1240"/>
      <c r="F22" s="1241"/>
      <c r="G22" s="1239"/>
      <c r="H22" s="1240"/>
      <c r="I22" s="1241"/>
      <c r="J22" s="3075"/>
      <c r="K22" s="3030"/>
      <c r="L22" s="3027"/>
      <c r="M22" s="3027"/>
      <c r="N22" s="3027"/>
      <c r="O22" s="3027"/>
      <c r="P22" s="3030"/>
      <c r="Q22" s="3033"/>
      <c r="R22" s="3152"/>
      <c r="S22" s="3030"/>
      <c r="T22" s="3030"/>
      <c r="U22" s="1249" t="s">
        <v>750</v>
      </c>
      <c r="V22" s="1253">
        <v>10000000</v>
      </c>
      <c r="W22" s="3063"/>
      <c r="X22" s="3027"/>
      <c r="Y22" s="3080"/>
      <c r="Z22" s="3107"/>
      <c r="AA22" s="3107"/>
      <c r="AB22" s="3107"/>
      <c r="AC22" s="3107"/>
      <c r="AD22" s="3107"/>
      <c r="AE22" s="3107"/>
      <c r="AF22" s="3107"/>
      <c r="AG22" s="3107"/>
      <c r="AH22" s="3107"/>
      <c r="AI22" s="3107"/>
      <c r="AJ22" s="3107"/>
      <c r="AK22" s="3021"/>
      <c r="AL22" s="3021"/>
      <c r="AM22" s="3024"/>
      <c r="AO22" s="1254"/>
    </row>
    <row r="23" spans="1:45" s="1252" customFormat="1" ht="128.25" x14ac:dyDescent="0.2">
      <c r="A23" s="1239"/>
      <c r="B23" s="1240"/>
      <c r="C23" s="1241"/>
      <c r="D23" s="1255"/>
      <c r="E23" s="1255"/>
      <c r="F23" s="1256"/>
      <c r="G23" s="1257"/>
      <c r="H23" s="1255"/>
      <c r="I23" s="1256"/>
      <c r="J23" s="3075"/>
      <c r="K23" s="3031"/>
      <c r="L23" s="3028"/>
      <c r="M23" s="3028"/>
      <c r="N23" s="3028"/>
      <c r="O23" s="3028"/>
      <c r="P23" s="3031"/>
      <c r="Q23" s="3034"/>
      <c r="R23" s="3153"/>
      <c r="S23" s="3031"/>
      <c r="T23" s="3031"/>
      <c r="U23" s="1249" t="s">
        <v>751</v>
      </c>
      <c r="V23" s="1253">
        <v>12000000</v>
      </c>
      <c r="W23" s="3064"/>
      <c r="X23" s="3028"/>
      <c r="Y23" s="3081"/>
      <c r="Z23" s="3108"/>
      <c r="AA23" s="3108"/>
      <c r="AB23" s="3108"/>
      <c r="AC23" s="3108"/>
      <c r="AD23" s="3108"/>
      <c r="AE23" s="3108"/>
      <c r="AF23" s="3108"/>
      <c r="AG23" s="3108"/>
      <c r="AH23" s="3108"/>
      <c r="AI23" s="3108"/>
      <c r="AJ23" s="3108"/>
      <c r="AK23" s="3022"/>
      <c r="AL23" s="3022"/>
      <c r="AM23" s="3025"/>
    </row>
    <row r="24" spans="1:45" s="1218" customFormat="1" ht="36" customHeight="1" x14ac:dyDescent="0.2">
      <c r="A24" s="1227"/>
      <c r="C24" s="1258"/>
      <c r="D24" s="1259">
        <v>12</v>
      </c>
      <c r="E24" s="1226" t="s">
        <v>752</v>
      </c>
      <c r="F24" s="1260"/>
      <c r="G24" s="1221"/>
      <c r="H24" s="1221"/>
      <c r="I24" s="1221"/>
      <c r="J24" s="1221"/>
      <c r="K24" s="1222"/>
      <c r="L24" s="1221"/>
      <c r="M24" s="1221"/>
      <c r="N24" s="1223"/>
      <c r="O24" s="1221"/>
      <c r="P24" s="1222"/>
      <c r="Q24" s="1221"/>
      <c r="R24" s="1221"/>
      <c r="S24" s="1221"/>
      <c r="T24" s="1222"/>
      <c r="U24" s="1222"/>
      <c r="V24" s="1224"/>
      <c r="W24" s="1262"/>
      <c r="X24" s="1223"/>
      <c r="Y24" s="1223"/>
      <c r="Z24" s="1223"/>
      <c r="AA24" s="1223"/>
      <c r="AB24" s="1223"/>
      <c r="AC24" s="1223"/>
      <c r="AD24" s="1223"/>
      <c r="AE24" s="1223"/>
      <c r="AF24" s="1223"/>
      <c r="AG24" s="1223"/>
      <c r="AH24" s="1223"/>
      <c r="AI24" s="1223"/>
      <c r="AJ24" s="1223"/>
      <c r="AK24" s="1221"/>
      <c r="AL24" s="1221"/>
      <c r="AM24" s="1263"/>
      <c r="AN24" s="1217"/>
      <c r="AO24" s="1217"/>
      <c r="AP24" s="1217"/>
      <c r="AQ24" s="1217"/>
      <c r="AR24" s="1217"/>
      <c r="AS24" s="1217"/>
    </row>
    <row r="25" spans="1:45" s="1218" customFormat="1" ht="36" customHeight="1" x14ac:dyDescent="0.2">
      <c r="A25" s="1227"/>
      <c r="B25" s="1228"/>
      <c r="C25" s="1229"/>
      <c r="D25" s="1230"/>
      <c r="E25" s="1230"/>
      <c r="F25" s="1231"/>
      <c r="G25" s="1264">
        <v>36</v>
      </c>
      <c r="H25" s="1233" t="s">
        <v>753</v>
      </c>
      <c r="I25" s="1233"/>
      <c r="J25" s="1233"/>
      <c r="K25" s="1234"/>
      <c r="L25" s="1233"/>
      <c r="M25" s="1233"/>
      <c r="N25" s="1235"/>
      <c r="O25" s="1233"/>
      <c r="P25" s="1234"/>
      <c r="Q25" s="1233"/>
      <c r="R25" s="1233"/>
      <c r="S25" s="1233"/>
      <c r="T25" s="1234"/>
      <c r="U25" s="1234"/>
      <c r="V25" s="1236"/>
      <c r="W25" s="1265"/>
      <c r="X25" s="1235"/>
      <c r="Y25" s="1235"/>
      <c r="Z25" s="1235"/>
      <c r="AA25" s="1235"/>
      <c r="AB25" s="1235"/>
      <c r="AC25" s="1235"/>
      <c r="AD25" s="1235"/>
      <c r="AE25" s="1235"/>
      <c r="AF25" s="1235"/>
      <c r="AG25" s="1235"/>
      <c r="AH25" s="1235"/>
      <c r="AI25" s="1235"/>
      <c r="AJ25" s="1235"/>
      <c r="AK25" s="1233"/>
      <c r="AL25" s="1233"/>
      <c r="AM25" s="1266"/>
      <c r="AN25" s="1217"/>
      <c r="AO25" s="1217"/>
      <c r="AP25" s="1217"/>
      <c r="AQ25" s="1217"/>
      <c r="AR25" s="1217"/>
      <c r="AS25" s="1217"/>
    </row>
    <row r="26" spans="1:45" s="1252" customFormat="1" ht="63.75" customHeight="1" x14ac:dyDescent="0.2">
      <c r="A26" s="1239"/>
      <c r="B26" s="1240"/>
      <c r="C26" s="1241"/>
      <c r="D26" s="1240"/>
      <c r="E26" s="1240"/>
      <c r="F26" s="1241"/>
      <c r="G26" s="1242"/>
      <c r="H26" s="1243"/>
      <c r="I26" s="1244"/>
      <c r="J26" s="3026">
        <v>130</v>
      </c>
      <c r="K26" s="3029" t="s">
        <v>754</v>
      </c>
      <c r="L26" s="3026" t="s">
        <v>287</v>
      </c>
      <c r="M26" s="3026">
        <v>1</v>
      </c>
      <c r="N26" s="3026" t="s">
        <v>755</v>
      </c>
      <c r="O26" s="3026">
        <v>133</v>
      </c>
      <c r="P26" s="3029" t="s">
        <v>756</v>
      </c>
      <c r="Q26" s="3133">
        <f>(V26+V27)/R26</f>
        <v>0.2</v>
      </c>
      <c r="R26" s="3039">
        <v>154500000</v>
      </c>
      <c r="S26" s="3029" t="s">
        <v>757</v>
      </c>
      <c r="T26" s="3029" t="s">
        <v>758</v>
      </c>
      <c r="U26" s="1267" t="s">
        <v>759</v>
      </c>
      <c r="V26" s="1253">
        <v>10000000</v>
      </c>
      <c r="W26" s="3062">
        <v>61</v>
      </c>
      <c r="X26" s="3026" t="s">
        <v>739</v>
      </c>
      <c r="Y26" s="3135">
        <v>64149</v>
      </c>
      <c r="Z26" s="3131">
        <v>72224</v>
      </c>
      <c r="AA26" s="3131">
        <v>27477</v>
      </c>
      <c r="AB26" s="3131">
        <v>86843</v>
      </c>
      <c r="AC26" s="3131">
        <v>236429</v>
      </c>
      <c r="AD26" s="3131">
        <v>81384</v>
      </c>
      <c r="AE26" s="3131">
        <v>13208</v>
      </c>
      <c r="AF26" s="3131">
        <v>2145</v>
      </c>
      <c r="AG26" s="3131">
        <v>413</v>
      </c>
      <c r="AH26" s="3131">
        <v>520</v>
      </c>
      <c r="AI26" s="3131">
        <v>16897</v>
      </c>
      <c r="AJ26" s="3131">
        <v>75612</v>
      </c>
      <c r="AK26" s="3020">
        <v>42948</v>
      </c>
      <c r="AL26" s="3020">
        <v>43100</v>
      </c>
      <c r="AM26" s="3023" t="s">
        <v>760</v>
      </c>
    </row>
    <row r="27" spans="1:45" s="1252" customFormat="1" ht="128.25" x14ac:dyDescent="0.2">
      <c r="A27" s="1239"/>
      <c r="B27" s="1240"/>
      <c r="C27" s="1241"/>
      <c r="D27" s="1240"/>
      <c r="E27" s="1240"/>
      <c r="F27" s="1241"/>
      <c r="G27" s="1239"/>
      <c r="H27" s="1240"/>
      <c r="I27" s="1241"/>
      <c r="J27" s="3028"/>
      <c r="K27" s="3031"/>
      <c r="L27" s="3028"/>
      <c r="M27" s="3028"/>
      <c r="N27" s="3027"/>
      <c r="O27" s="3027"/>
      <c r="P27" s="3030"/>
      <c r="Q27" s="3134"/>
      <c r="R27" s="3040"/>
      <c r="S27" s="3030"/>
      <c r="T27" s="3031"/>
      <c r="U27" s="1267" t="s">
        <v>761</v>
      </c>
      <c r="V27" s="1253">
        <v>20900000</v>
      </c>
      <c r="W27" s="3063"/>
      <c r="X27" s="3027"/>
      <c r="Y27" s="3136"/>
      <c r="Z27" s="3132"/>
      <c r="AA27" s="3132"/>
      <c r="AB27" s="3132"/>
      <c r="AC27" s="3132"/>
      <c r="AD27" s="3132"/>
      <c r="AE27" s="3132"/>
      <c r="AF27" s="3132"/>
      <c r="AG27" s="3132"/>
      <c r="AH27" s="3132"/>
      <c r="AI27" s="3132"/>
      <c r="AJ27" s="3132"/>
      <c r="AK27" s="3021"/>
      <c r="AL27" s="3021"/>
      <c r="AM27" s="3024"/>
      <c r="AN27" s="1268"/>
    </row>
    <row r="28" spans="1:45" s="1252" customFormat="1" ht="71.25" x14ac:dyDescent="0.2">
      <c r="A28" s="1239"/>
      <c r="B28" s="1240"/>
      <c r="C28" s="1241"/>
      <c r="D28" s="1240"/>
      <c r="E28" s="1240"/>
      <c r="F28" s="1241"/>
      <c r="G28" s="1239"/>
      <c r="H28" s="1240"/>
      <c r="I28" s="1241"/>
      <c r="J28" s="3026">
        <v>131</v>
      </c>
      <c r="K28" s="3029" t="s">
        <v>762</v>
      </c>
      <c r="L28" s="3026" t="s">
        <v>287</v>
      </c>
      <c r="M28" s="3026">
        <v>3</v>
      </c>
      <c r="N28" s="3027"/>
      <c r="O28" s="3027"/>
      <c r="P28" s="3030"/>
      <c r="Q28" s="3133">
        <f>(V28+V29)/R26</f>
        <v>0.8</v>
      </c>
      <c r="R28" s="3040"/>
      <c r="S28" s="3030"/>
      <c r="T28" s="3029" t="s">
        <v>763</v>
      </c>
      <c r="U28" s="1267" t="s">
        <v>764</v>
      </c>
      <c r="V28" s="1253">
        <v>100000000</v>
      </c>
      <c r="W28" s="3063"/>
      <c r="X28" s="3027"/>
      <c r="Y28" s="3136"/>
      <c r="Z28" s="3132"/>
      <c r="AA28" s="3132"/>
      <c r="AB28" s="3132"/>
      <c r="AC28" s="3132"/>
      <c r="AD28" s="3132"/>
      <c r="AE28" s="3132"/>
      <c r="AF28" s="3132"/>
      <c r="AG28" s="3132"/>
      <c r="AH28" s="3132"/>
      <c r="AI28" s="3132"/>
      <c r="AJ28" s="3132"/>
      <c r="AK28" s="3021"/>
      <c r="AL28" s="3021"/>
      <c r="AM28" s="3024"/>
    </row>
    <row r="29" spans="1:45" s="1252" customFormat="1" ht="71.25" x14ac:dyDescent="0.2">
      <c r="A29" s="1239"/>
      <c r="B29" s="1240"/>
      <c r="C29" s="1241"/>
      <c r="D29" s="1240"/>
      <c r="E29" s="1240"/>
      <c r="F29" s="1241"/>
      <c r="G29" s="1257"/>
      <c r="H29" s="1255"/>
      <c r="I29" s="1256"/>
      <c r="J29" s="3028"/>
      <c r="K29" s="3031"/>
      <c r="L29" s="3028"/>
      <c r="M29" s="3028"/>
      <c r="N29" s="3028"/>
      <c r="O29" s="3028"/>
      <c r="P29" s="3031"/>
      <c r="Q29" s="3134"/>
      <c r="R29" s="3041"/>
      <c r="S29" s="3031"/>
      <c r="T29" s="3031"/>
      <c r="U29" s="1267" t="s">
        <v>765</v>
      </c>
      <c r="V29" s="1253">
        <v>23600000</v>
      </c>
      <c r="W29" s="3064"/>
      <c r="X29" s="3028"/>
      <c r="Y29" s="3137"/>
      <c r="Z29" s="3132"/>
      <c r="AA29" s="3132"/>
      <c r="AB29" s="3132"/>
      <c r="AC29" s="3132"/>
      <c r="AD29" s="3132"/>
      <c r="AE29" s="3132"/>
      <c r="AF29" s="3132"/>
      <c r="AG29" s="3132"/>
      <c r="AH29" s="3132"/>
      <c r="AI29" s="3132"/>
      <c r="AJ29" s="3132"/>
      <c r="AK29" s="3022"/>
      <c r="AL29" s="3022"/>
      <c r="AM29" s="3025"/>
    </row>
    <row r="30" spans="1:45" s="1269" customFormat="1" ht="36" customHeight="1" x14ac:dyDescent="0.2">
      <c r="A30" s="1227"/>
      <c r="B30" s="1228"/>
      <c r="C30" s="1229"/>
      <c r="D30" s="1228"/>
      <c r="E30" s="1228"/>
      <c r="F30" s="1229"/>
      <c r="G30" s="1264">
        <v>37</v>
      </c>
      <c r="H30" s="1233" t="s">
        <v>766</v>
      </c>
      <c r="I30" s="1233"/>
      <c r="J30" s="1233"/>
      <c r="K30" s="1234"/>
      <c r="L30" s="1233"/>
      <c r="M30" s="1233"/>
      <c r="N30" s="1235"/>
      <c r="O30" s="1233"/>
      <c r="P30" s="1234"/>
      <c r="Q30" s="1233"/>
      <c r="R30" s="1233"/>
      <c r="S30" s="1233"/>
      <c r="T30" s="1234"/>
      <c r="U30" s="1234"/>
      <c r="V30" s="1236"/>
      <c r="W30" s="1265"/>
      <c r="X30" s="1235"/>
      <c r="Y30" s="1235"/>
      <c r="Z30" s="1235"/>
      <c r="AA30" s="1235"/>
      <c r="AB30" s="1235"/>
      <c r="AC30" s="1235"/>
      <c r="AD30" s="1235"/>
      <c r="AE30" s="1235"/>
      <c r="AF30" s="1235"/>
      <c r="AG30" s="1235"/>
      <c r="AH30" s="1235"/>
      <c r="AI30" s="1235"/>
      <c r="AJ30" s="1235"/>
      <c r="AK30" s="1233"/>
      <c r="AL30" s="1233"/>
      <c r="AM30" s="1266"/>
      <c r="AN30" s="1217"/>
      <c r="AO30" s="1217"/>
      <c r="AP30" s="1217"/>
      <c r="AQ30" s="1217"/>
      <c r="AR30" s="1217"/>
      <c r="AS30" s="1217"/>
    </row>
    <row r="31" spans="1:45" s="1252" customFormat="1" ht="99.75" x14ac:dyDescent="0.2">
      <c r="A31" s="1270"/>
      <c r="B31" s="1271"/>
      <c r="C31" s="1272"/>
      <c r="D31" s="1271"/>
      <c r="E31" s="1271"/>
      <c r="F31" s="1272"/>
      <c r="G31" s="1273"/>
      <c r="H31" s="1274"/>
      <c r="I31" s="1275"/>
      <c r="J31" s="3026">
        <v>132</v>
      </c>
      <c r="K31" s="3029" t="s">
        <v>767</v>
      </c>
      <c r="L31" s="3026" t="s">
        <v>287</v>
      </c>
      <c r="M31" s="3026">
        <v>8</v>
      </c>
      <c r="N31" s="3026" t="s">
        <v>768</v>
      </c>
      <c r="O31" s="3026">
        <v>134</v>
      </c>
      <c r="P31" s="3029" t="s">
        <v>769</v>
      </c>
      <c r="Q31" s="3032">
        <f>+(V31+V32+V33)/$R$31</f>
        <v>0.29004037685060563</v>
      </c>
      <c r="R31" s="3039">
        <v>148600000</v>
      </c>
      <c r="S31" s="3029" t="s">
        <v>770</v>
      </c>
      <c r="T31" s="3029" t="s">
        <v>771</v>
      </c>
      <c r="U31" s="1267" t="s">
        <v>772</v>
      </c>
      <c r="V31" s="1250">
        <f>10000000+7350000</f>
        <v>17350000</v>
      </c>
      <c r="W31" s="3062">
        <v>61</v>
      </c>
      <c r="X31" s="3026" t="s">
        <v>739</v>
      </c>
      <c r="Y31" s="3035">
        <v>64149</v>
      </c>
      <c r="Z31" s="3035">
        <v>72224</v>
      </c>
      <c r="AA31" s="3035">
        <v>27477</v>
      </c>
      <c r="AB31" s="3035">
        <v>86843</v>
      </c>
      <c r="AC31" s="3035">
        <v>236429</v>
      </c>
      <c r="AD31" s="3035">
        <v>81384</v>
      </c>
      <c r="AE31" s="3035">
        <v>13208</v>
      </c>
      <c r="AF31" s="3035">
        <v>2145</v>
      </c>
      <c r="AG31" s="3035">
        <v>413</v>
      </c>
      <c r="AH31" s="3035">
        <v>520</v>
      </c>
      <c r="AI31" s="3035">
        <v>16897</v>
      </c>
      <c r="AJ31" s="3035">
        <v>75612</v>
      </c>
      <c r="AK31" s="3020">
        <v>42948</v>
      </c>
      <c r="AL31" s="3020">
        <v>43100</v>
      </c>
      <c r="AM31" s="3023" t="s">
        <v>760</v>
      </c>
      <c r="AN31" s="1205"/>
      <c r="AO31" s="1205"/>
    </row>
    <row r="32" spans="1:45" s="1252" customFormat="1" ht="99.75" x14ac:dyDescent="0.2">
      <c r="A32" s="1270"/>
      <c r="B32" s="1271"/>
      <c r="C32" s="1272"/>
      <c r="D32" s="1271"/>
      <c r="E32" s="1271"/>
      <c r="F32" s="1272"/>
      <c r="G32" s="1270"/>
      <c r="H32" s="1271"/>
      <c r="I32" s="1272"/>
      <c r="J32" s="3027"/>
      <c r="K32" s="3030"/>
      <c r="L32" s="3027"/>
      <c r="M32" s="3027"/>
      <c r="N32" s="3027"/>
      <c r="O32" s="3027"/>
      <c r="P32" s="3030"/>
      <c r="Q32" s="3033"/>
      <c r="R32" s="3040"/>
      <c r="S32" s="3030"/>
      <c r="T32" s="3030"/>
      <c r="U32" s="1267" t="s">
        <v>773</v>
      </c>
      <c r="V32" s="1250">
        <v>10000000</v>
      </c>
      <c r="W32" s="3063"/>
      <c r="X32" s="3027"/>
      <c r="Y32" s="3036"/>
      <c r="Z32" s="3036"/>
      <c r="AA32" s="3036"/>
      <c r="AB32" s="3036"/>
      <c r="AC32" s="3036"/>
      <c r="AD32" s="3036"/>
      <c r="AE32" s="3036"/>
      <c r="AF32" s="3036"/>
      <c r="AG32" s="3036"/>
      <c r="AH32" s="3036"/>
      <c r="AI32" s="3036"/>
      <c r="AJ32" s="3036"/>
      <c r="AK32" s="3021"/>
      <c r="AL32" s="3021"/>
      <c r="AM32" s="3024"/>
    </row>
    <row r="33" spans="1:45" s="1252" customFormat="1" ht="57" x14ac:dyDescent="0.2">
      <c r="A33" s="1270"/>
      <c r="B33" s="1271"/>
      <c r="C33" s="1272"/>
      <c r="D33" s="1271"/>
      <c r="E33" s="1271"/>
      <c r="F33" s="1272"/>
      <c r="G33" s="1270"/>
      <c r="H33" s="1271"/>
      <c r="I33" s="1272"/>
      <c r="J33" s="3028"/>
      <c r="K33" s="3031"/>
      <c r="L33" s="3028"/>
      <c r="M33" s="3028"/>
      <c r="N33" s="3027"/>
      <c r="O33" s="3027"/>
      <c r="P33" s="3030"/>
      <c r="Q33" s="3034"/>
      <c r="R33" s="3040"/>
      <c r="S33" s="3030"/>
      <c r="T33" s="3030"/>
      <c r="U33" s="1267" t="s">
        <v>774</v>
      </c>
      <c r="V33" s="1250">
        <f>5750000+10000000</f>
        <v>15750000</v>
      </c>
      <c r="W33" s="3063"/>
      <c r="X33" s="3027"/>
      <c r="Y33" s="3036"/>
      <c r="Z33" s="3036"/>
      <c r="AA33" s="3036"/>
      <c r="AB33" s="3036"/>
      <c r="AC33" s="3036"/>
      <c r="AD33" s="3036"/>
      <c r="AE33" s="3036"/>
      <c r="AF33" s="3036"/>
      <c r="AG33" s="3036"/>
      <c r="AH33" s="3036"/>
      <c r="AI33" s="3036"/>
      <c r="AJ33" s="3036"/>
      <c r="AK33" s="3021"/>
      <c r="AL33" s="3021"/>
      <c r="AM33" s="3024"/>
    </row>
    <row r="34" spans="1:45" s="1252" customFormat="1" ht="71.25" x14ac:dyDescent="0.2">
      <c r="A34" s="1270"/>
      <c r="B34" s="1271"/>
      <c r="C34" s="1272"/>
      <c r="D34" s="1271"/>
      <c r="E34" s="1271"/>
      <c r="F34" s="1272"/>
      <c r="G34" s="1270"/>
      <c r="H34" s="1271"/>
      <c r="I34" s="1272"/>
      <c r="J34" s="3026">
        <v>133</v>
      </c>
      <c r="K34" s="3029" t="s">
        <v>775</v>
      </c>
      <c r="L34" s="3026" t="s">
        <v>287</v>
      </c>
      <c r="M34" s="3026">
        <v>12</v>
      </c>
      <c r="N34" s="3027"/>
      <c r="O34" s="3027"/>
      <c r="P34" s="3030"/>
      <c r="Q34" s="3032">
        <f>+(V34+V37+V38)/$R$31</f>
        <v>0.17328398384925975</v>
      </c>
      <c r="R34" s="3040"/>
      <c r="S34" s="3030"/>
      <c r="T34" s="3030"/>
      <c r="U34" s="1267" t="s">
        <v>776</v>
      </c>
      <c r="V34" s="1250">
        <f>7000000-7000000</f>
        <v>0</v>
      </c>
      <c r="W34" s="3063"/>
      <c r="X34" s="3027"/>
      <c r="Y34" s="3036"/>
      <c r="Z34" s="3036"/>
      <c r="AA34" s="3036"/>
      <c r="AB34" s="3036"/>
      <c r="AC34" s="3036"/>
      <c r="AD34" s="3036"/>
      <c r="AE34" s="3036"/>
      <c r="AF34" s="3036"/>
      <c r="AG34" s="3036"/>
      <c r="AH34" s="3036"/>
      <c r="AI34" s="3036"/>
      <c r="AJ34" s="3036"/>
      <c r="AK34" s="3021"/>
      <c r="AL34" s="3021"/>
      <c r="AM34" s="3024"/>
    </row>
    <row r="35" spans="1:45" s="1252" customFormat="1" ht="85.5" x14ac:dyDescent="0.2">
      <c r="A35" s="1270"/>
      <c r="B35" s="1271"/>
      <c r="C35" s="1272"/>
      <c r="D35" s="1271"/>
      <c r="E35" s="1271"/>
      <c r="F35" s="1272"/>
      <c r="G35" s="1270"/>
      <c r="H35" s="1271"/>
      <c r="I35" s="1272"/>
      <c r="J35" s="3027"/>
      <c r="K35" s="3030"/>
      <c r="L35" s="3027"/>
      <c r="M35" s="3027"/>
      <c r="N35" s="3027"/>
      <c r="O35" s="3027"/>
      <c r="P35" s="3030"/>
      <c r="Q35" s="3033"/>
      <c r="R35" s="3040"/>
      <c r="S35" s="3030"/>
      <c r="T35" s="3030"/>
      <c r="U35" s="1267" t="s">
        <v>777</v>
      </c>
      <c r="V35" s="1250">
        <f>6000000-6000000</f>
        <v>0</v>
      </c>
      <c r="W35" s="3063"/>
      <c r="X35" s="3027"/>
      <c r="Y35" s="3036"/>
      <c r="Z35" s="3036"/>
      <c r="AA35" s="3036"/>
      <c r="AB35" s="3036"/>
      <c r="AC35" s="3036"/>
      <c r="AD35" s="3036"/>
      <c r="AE35" s="3036"/>
      <c r="AF35" s="3036"/>
      <c r="AG35" s="3036"/>
      <c r="AH35" s="3036"/>
      <c r="AI35" s="3036"/>
      <c r="AJ35" s="3036"/>
      <c r="AK35" s="3021"/>
      <c r="AL35" s="3021"/>
      <c r="AM35" s="3024"/>
    </row>
    <row r="36" spans="1:45" s="1252" customFormat="1" ht="85.5" x14ac:dyDescent="0.2">
      <c r="A36" s="1270"/>
      <c r="B36" s="1271"/>
      <c r="C36" s="1272"/>
      <c r="D36" s="1271"/>
      <c r="E36" s="1271"/>
      <c r="F36" s="1272"/>
      <c r="G36" s="1270"/>
      <c r="H36" s="1271"/>
      <c r="I36" s="1272"/>
      <c r="J36" s="3027"/>
      <c r="K36" s="3030"/>
      <c r="L36" s="3027"/>
      <c r="M36" s="3027"/>
      <c r="N36" s="3027"/>
      <c r="O36" s="3027"/>
      <c r="P36" s="3030"/>
      <c r="Q36" s="3033"/>
      <c r="R36" s="3040"/>
      <c r="S36" s="3030"/>
      <c r="T36" s="3030"/>
      <c r="U36" s="1267" t="s">
        <v>778</v>
      </c>
      <c r="V36" s="1250">
        <f>6750000-6750000</f>
        <v>0</v>
      </c>
      <c r="W36" s="3063"/>
      <c r="X36" s="3027"/>
      <c r="Y36" s="3036"/>
      <c r="Z36" s="3036"/>
      <c r="AA36" s="3036"/>
      <c r="AB36" s="3036"/>
      <c r="AC36" s="3036"/>
      <c r="AD36" s="3036"/>
      <c r="AE36" s="3036"/>
      <c r="AF36" s="3036"/>
      <c r="AG36" s="3036"/>
      <c r="AH36" s="3036"/>
      <c r="AI36" s="3036"/>
      <c r="AJ36" s="3036"/>
      <c r="AK36" s="3021"/>
      <c r="AL36" s="3021"/>
      <c r="AM36" s="3024"/>
    </row>
    <row r="37" spans="1:45" s="1252" customFormat="1" ht="86.25" customHeight="1" x14ac:dyDescent="0.2">
      <c r="A37" s="1270"/>
      <c r="B37" s="1271"/>
      <c r="C37" s="1272"/>
      <c r="D37" s="1271"/>
      <c r="E37" s="1271"/>
      <c r="F37" s="1272"/>
      <c r="G37" s="1270"/>
      <c r="H37" s="1271"/>
      <c r="I37" s="1272"/>
      <c r="J37" s="3027"/>
      <c r="K37" s="3030"/>
      <c r="L37" s="3027"/>
      <c r="M37" s="3027"/>
      <c r="N37" s="3027"/>
      <c r="O37" s="3027"/>
      <c r="P37" s="3030"/>
      <c r="Q37" s="3033"/>
      <c r="R37" s="3040"/>
      <c r="S37" s="3030"/>
      <c r="T37" s="3030"/>
      <c r="U37" s="1276" t="s">
        <v>779</v>
      </c>
      <c r="V37" s="1250">
        <v>9750000</v>
      </c>
      <c r="W37" s="3063"/>
      <c r="X37" s="3027"/>
      <c r="Y37" s="3036"/>
      <c r="Z37" s="3036"/>
      <c r="AA37" s="3036"/>
      <c r="AB37" s="3036"/>
      <c r="AC37" s="3036"/>
      <c r="AD37" s="3036"/>
      <c r="AE37" s="3036"/>
      <c r="AF37" s="3036"/>
      <c r="AG37" s="3036"/>
      <c r="AH37" s="3036"/>
      <c r="AI37" s="3036"/>
      <c r="AJ37" s="3036"/>
      <c r="AK37" s="3021"/>
      <c r="AL37" s="3021"/>
      <c r="AM37" s="3024"/>
    </row>
    <row r="38" spans="1:45" s="1252" customFormat="1" ht="99.75" x14ac:dyDescent="0.2">
      <c r="A38" s="1270"/>
      <c r="B38" s="1271"/>
      <c r="C38" s="1272"/>
      <c r="D38" s="1271"/>
      <c r="E38" s="1271"/>
      <c r="F38" s="1272"/>
      <c r="G38" s="1270"/>
      <c r="H38" s="1271"/>
      <c r="I38" s="1272"/>
      <c r="J38" s="3028"/>
      <c r="K38" s="3031"/>
      <c r="L38" s="3028"/>
      <c r="M38" s="3028"/>
      <c r="N38" s="3027"/>
      <c r="O38" s="3027"/>
      <c r="P38" s="3030"/>
      <c r="Q38" s="3034"/>
      <c r="R38" s="3040"/>
      <c r="S38" s="3030"/>
      <c r="T38" s="3031"/>
      <c r="U38" s="1267" t="s">
        <v>780</v>
      </c>
      <c r="V38" s="1250">
        <f>6000000+10000000</f>
        <v>16000000</v>
      </c>
      <c r="W38" s="3063"/>
      <c r="X38" s="3027"/>
      <c r="Y38" s="3036"/>
      <c r="Z38" s="3036"/>
      <c r="AA38" s="3036"/>
      <c r="AB38" s="3036"/>
      <c r="AC38" s="3036"/>
      <c r="AD38" s="3036"/>
      <c r="AE38" s="3036"/>
      <c r="AF38" s="3036"/>
      <c r="AG38" s="3036"/>
      <c r="AH38" s="3036"/>
      <c r="AI38" s="3036"/>
      <c r="AJ38" s="3036"/>
      <c r="AK38" s="3021"/>
      <c r="AL38" s="3021"/>
      <c r="AM38" s="3024"/>
    </row>
    <row r="39" spans="1:45" s="1252" customFormat="1" ht="71.25" x14ac:dyDescent="0.2">
      <c r="A39" s="1270"/>
      <c r="B39" s="1271"/>
      <c r="C39" s="1272"/>
      <c r="D39" s="1271"/>
      <c r="E39" s="1271"/>
      <c r="F39" s="1272"/>
      <c r="G39" s="1270"/>
      <c r="H39" s="1271"/>
      <c r="I39" s="1272"/>
      <c r="J39" s="3026">
        <v>134</v>
      </c>
      <c r="K39" s="3029" t="s">
        <v>781</v>
      </c>
      <c r="L39" s="3026" t="s">
        <v>287</v>
      </c>
      <c r="M39" s="3026">
        <v>4800</v>
      </c>
      <c r="N39" s="3027"/>
      <c r="O39" s="3027"/>
      <c r="P39" s="3030"/>
      <c r="Q39" s="3032">
        <f>(V39+V40+V41)/R31</f>
        <v>0.36339165545087482</v>
      </c>
      <c r="R39" s="3040"/>
      <c r="S39" s="3030"/>
      <c r="T39" s="3029" t="s">
        <v>782</v>
      </c>
      <c r="U39" s="1267" t="s">
        <v>783</v>
      </c>
      <c r="V39" s="1250">
        <v>30000000</v>
      </c>
      <c r="W39" s="3063"/>
      <c r="X39" s="3027"/>
      <c r="Y39" s="3036"/>
      <c r="Z39" s="3036"/>
      <c r="AA39" s="3036"/>
      <c r="AB39" s="3036"/>
      <c r="AC39" s="3036"/>
      <c r="AD39" s="3036"/>
      <c r="AE39" s="3036"/>
      <c r="AF39" s="3036"/>
      <c r="AG39" s="3036"/>
      <c r="AH39" s="3036"/>
      <c r="AI39" s="3036"/>
      <c r="AJ39" s="3036"/>
      <c r="AK39" s="3021"/>
      <c r="AL39" s="3021"/>
      <c r="AM39" s="3024"/>
    </row>
    <row r="40" spans="1:45" s="1252" customFormat="1" ht="71.25" x14ac:dyDescent="0.2">
      <c r="A40" s="1270"/>
      <c r="B40" s="1271"/>
      <c r="C40" s="1272"/>
      <c r="D40" s="1271"/>
      <c r="E40" s="1271"/>
      <c r="F40" s="1272"/>
      <c r="G40" s="1270"/>
      <c r="H40" s="1271"/>
      <c r="I40" s="1272"/>
      <c r="J40" s="3027"/>
      <c r="K40" s="3030"/>
      <c r="L40" s="3027"/>
      <c r="M40" s="3027"/>
      <c r="N40" s="3027"/>
      <c r="O40" s="3027"/>
      <c r="P40" s="3030"/>
      <c r="Q40" s="3033"/>
      <c r="R40" s="3040"/>
      <c r="S40" s="3030"/>
      <c r="T40" s="3030"/>
      <c r="U40" s="1267" t="s">
        <v>784</v>
      </c>
      <c r="V40" s="1250">
        <f>6350000+7650000</f>
        <v>14000000</v>
      </c>
      <c r="W40" s="3063"/>
      <c r="X40" s="3027"/>
      <c r="Y40" s="3036"/>
      <c r="Z40" s="3036"/>
      <c r="AA40" s="3036"/>
      <c r="AB40" s="3036"/>
      <c r="AC40" s="3036"/>
      <c r="AD40" s="3036"/>
      <c r="AE40" s="3036"/>
      <c r="AF40" s="3036"/>
      <c r="AG40" s="3036"/>
      <c r="AH40" s="3036"/>
      <c r="AI40" s="3036"/>
      <c r="AJ40" s="3036"/>
      <c r="AK40" s="3021"/>
      <c r="AL40" s="3021"/>
      <c r="AM40" s="3024"/>
    </row>
    <row r="41" spans="1:45" s="1252" customFormat="1" ht="57" x14ac:dyDescent="0.2">
      <c r="A41" s="1270"/>
      <c r="B41" s="1271"/>
      <c r="C41" s="1272"/>
      <c r="D41" s="1271"/>
      <c r="E41" s="1271"/>
      <c r="F41" s="1272"/>
      <c r="G41" s="1270"/>
      <c r="H41" s="1271"/>
      <c r="I41" s="1272"/>
      <c r="J41" s="3028"/>
      <c r="K41" s="3031"/>
      <c r="L41" s="3028"/>
      <c r="M41" s="3028"/>
      <c r="N41" s="3027"/>
      <c r="O41" s="3027"/>
      <c r="P41" s="3030"/>
      <c r="Q41" s="3034"/>
      <c r="R41" s="3040"/>
      <c r="S41" s="3030"/>
      <c r="T41" s="3030"/>
      <c r="U41" s="1267" t="s">
        <v>785</v>
      </c>
      <c r="V41" s="1250">
        <v>10000000</v>
      </c>
      <c r="W41" s="3063"/>
      <c r="X41" s="3027"/>
      <c r="Y41" s="3036"/>
      <c r="Z41" s="3036"/>
      <c r="AA41" s="3036"/>
      <c r="AB41" s="3036"/>
      <c r="AC41" s="3036"/>
      <c r="AD41" s="3036"/>
      <c r="AE41" s="3036"/>
      <c r="AF41" s="3036"/>
      <c r="AG41" s="3036"/>
      <c r="AH41" s="3036"/>
      <c r="AI41" s="3036"/>
      <c r="AJ41" s="3036"/>
      <c r="AK41" s="3021"/>
      <c r="AL41" s="3021"/>
      <c r="AM41" s="3024"/>
    </row>
    <row r="42" spans="1:45" s="1252" customFormat="1" ht="99.75" x14ac:dyDescent="0.2">
      <c r="A42" s="1270"/>
      <c r="B42" s="1271"/>
      <c r="C42" s="1272"/>
      <c r="D42" s="1271"/>
      <c r="E42" s="1271"/>
      <c r="F42" s="1272"/>
      <c r="G42" s="1270"/>
      <c r="H42" s="1271"/>
      <c r="I42" s="1272"/>
      <c r="J42" s="3026">
        <v>135</v>
      </c>
      <c r="K42" s="3029" t="s">
        <v>786</v>
      </c>
      <c r="L42" s="3026" t="s">
        <v>287</v>
      </c>
      <c r="M42" s="3026">
        <v>12</v>
      </c>
      <c r="N42" s="3027"/>
      <c r="O42" s="3027"/>
      <c r="P42" s="3030"/>
      <c r="Q42" s="3032">
        <f>(V42+V43+V44)/R31</f>
        <v>0.17328398384925975</v>
      </c>
      <c r="R42" s="3040"/>
      <c r="S42" s="3030"/>
      <c r="T42" s="3030"/>
      <c r="U42" s="1267" t="s">
        <v>787</v>
      </c>
      <c r="V42" s="1253">
        <v>10000000</v>
      </c>
      <c r="W42" s="3063"/>
      <c r="X42" s="3027"/>
      <c r="Y42" s="3036"/>
      <c r="Z42" s="3036"/>
      <c r="AA42" s="3036"/>
      <c r="AB42" s="3036"/>
      <c r="AC42" s="3036"/>
      <c r="AD42" s="3036"/>
      <c r="AE42" s="3036"/>
      <c r="AF42" s="3036"/>
      <c r="AG42" s="3036"/>
      <c r="AH42" s="3036"/>
      <c r="AI42" s="3036"/>
      <c r="AJ42" s="3036"/>
      <c r="AK42" s="3021"/>
      <c r="AL42" s="3021"/>
      <c r="AM42" s="3024"/>
    </row>
    <row r="43" spans="1:45" s="1252" customFormat="1" ht="85.5" x14ac:dyDescent="0.2">
      <c r="A43" s="1270"/>
      <c r="B43" s="1271"/>
      <c r="C43" s="1272"/>
      <c r="D43" s="1271"/>
      <c r="E43" s="1271"/>
      <c r="F43" s="1272"/>
      <c r="G43" s="1270"/>
      <c r="H43" s="1271"/>
      <c r="I43" s="1272"/>
      <c r="J43" s="3027"/>
      <c r="K43" s="3030"/>
      <c r="L43" s="3027"/>
      <c r="M43" s="3027"/>
      <c r="N43" s="3027"/>
      <c r="O43" s="3027"/>
      <c r="P43" s="3030"/>
      <c r="Q43" s="3033"/>
      <c r="R43" s="3040"/>
      <c r="S43" s="3030"/>
      <c r="T43" s="3030"/>
      <c r="U43" s="1267" t="s">
        <v>788</v>
      </c>
      <c r="V43" s="1253">
        <v>9000000</v>
      </c>
      <c r="W43" s="3063"/>
      <c r="X43" s="3027"/>
      <c r="Y43" s="3036"/>
      <c r="Z43" s="3036"/>
      <c r="AA43" s="3036"/>
      <c r="AB43" s="3036"/>
      <c r="AC43" s="3036"/>
      <c r="AD43" s="3036"/>
      <c r="AE43" s="3036"/>
      <c r="AF43" s="3036"/>
      <c r="AG43" s="3036"/>
      <c r="AH43" s="3036"/>
      <c r="AI43" s="3036"/>
      <c r="AJ43" s="3036"/>
      <c r="AK43" s="3021"/>
      <c r="AL43" s="3021"/>
      <c r="AM43" s="3024"/>
    </row>
    <row r="44" spans="1:45" s="1252" customFormat="1" ht="99.75" x14ac:dyDescent="0.2">
      <c r="A44" s="1270"/>
      <c r="B44" s="1271"/>
      <c r="C44" s="1272"/>
      <c r="D44" s="1271"/>
      <c r="E44" s="1271"/>
      <c r="F44" s="1272"/>
      <c r="G44" s="1278"/>
      <c r="H44" s="1279"/>
      <c r="I44" s="1280"/>
      <c r="J44" s="3028"/>
      <c r="K44" s="3031"/>
      <c r="L44" s="3028"/>
      <c r="M44" s="3028"/>
      <c r="N44" s="3028"/>
      <c r="O44" s="3028"/>
      <c r="P44" s="3031"/>
      <c r="Q44" s="3034"/>
      <c r="R44" s="3041"/>
      <c r="S44" s="3031"/>
      <c r="T44" s="3031"/>
      <c r="U44" s="1267" t="s">
        <v>789</v>
      </c>
      <c r="V44" s="1253">
        <v>6750000</v>
      </c>
      <c r="W44" s="3064"/>
      <c r="X44" s="3028"/>
      <c r="Y44" s="3037"/>
      <c r="Z44" s="3037"/>
      <c r="AA44" s="3037"/>
      <c r="AB44" s="3037"/>
      <c r="AC44" s="3037"/>
      <c r="AD44" s="3037"/>
      <c r="AE44" s="3037"/>
      <c r="AF44" s="3037"/>
      <c r="AG44" s="3037"/>
      <c r="AH44" s="3037"/>
      <c r="AI44" s="3037"/>
      <c r="AJ44" s="3037"/>
      <c r="AK44" s="3022"/>
      <c r="AL44" s="3022"/>
      <c r="AM44" s="3025"/>
    </row>
    <row r="45" spans="1:45" s="1269" customFormat="1" ht="33" customHeight="1" x14ac:dyDescent="0.2">
      <c r="A45" s="1227"/>
      <c r="B45" s="1228"/>
      <c r="C45" s="1229"/>
      <c r="D45" s="1228"/>
      <c r="E45" s="1228"/>
      <c r="F45" s="1229"/>
      <c r="G45" s="1264">
        <v>38</v>
      </c>
      <c r="H45" s="1233" t="s">
        <v>790</v>
      </c>
      <c r="I45" s="1233"/>
      <c r="J45" s="1233"/>
      <c r="K45" s="1234"/>
      <c r="L45" s="1233"/>
      <c r="M45" s="1233"/>
      <c r="N45" s="1235"/>
      <c r="O45" s="1233"/>
      <c r="P45" s="1234"/>
      <c r="Q45" s="1233"/>
      <c r="R45" s="1233"/>
      <c r="S45" s="1233"/>
      <c r="T45" s="1234"/>
      <c r="U45" s="1234"/>
      <c r="V45" s="1236"/>
      <c r="W45" s="1265"/>
      <c r="X45" s="1235"/>
      <c r="Y45" s="1235"/>
      <c r="Z45" s="1235"/>
      <c r="AA45" s="1235"/>
      <c r="AB45" s="1235"/>
      <c r="AC45" s="1235"/>
      <c r="AD45" s="1235"/>
      <c r="AE45" s="1235"/>
      <c r="AF45" s="1235"/>
      <c r="AG45" s="1235"/>
      <c r="AH45" s="1235"/>
      <c r="AI45" s="1235"/>
      <c r="AJ45" s="1235"/>
      <c r="AK45" s="1233"/>
      <c r="AL45" s="1233"/>
      <c r="AM45" s="1266"/>
      <c r="AN45" s="1217"/>
      <c r="AO45" s="1217"/>
      <c r="AP45" s="1217"/>
      <c r="AQ45" s="1217"/>
      <c r="AR45" s="1217"/>
      <c r="AS45" s="1217"/>
    </row>
    <row r="46" spans="1:45" s="1252" customFormat="1" ht="124.5" customHeight="1" x14ac:dyDescent="0.2">
      <c r="A46" s="1239"/>
      <c r="B46" s="1240"/>
      <c r="C46" s="1241"/>
      <c r="D46" s="1240"/>
      <c r="E46" s="1240"/>
      <c r="F46" s="1241"/>
      <c r="G46" s="1242"/>
      <c r="H46" s="1243"/>
      <c r="I46" s="1244"/>
      <c r="J46" s="1245">
        <v>136</v>
      </c>
      <c r="K46" s="1246" t="s">
        <v>791</v>
      </c>
      <c r="L46" s="1281" t="s">
        <v>287</v>
      </c>
      <c r="M46" s="1245">
        <v>12</v>
      </c>
      <c r="N46" s="3026" t="s">
        <v>792</v>
      </c>
      <c r="O46" s="3026">
        <v>135</v>
      </c>
      <c r="P46" s="3029" t="s">
        <v>793</v>
      </c>
      <c r="Q46" s="1282">
        <f>V46/R46</f>
        <v>0.45436022819885902</v>
      </c>
      <c r="R46" s="3039">
        <f>SUM(V46:V50)</f>
        <v>122700000</v>
      </c>
      <c r="S46" s="3029" t="s">
        <v>794</v>
      </c>
      <c r="T46" s="1246" t="s">
        <v>795</v>
      </c>
      <c r="U46" s="1246" t="s">
        <v>796</v>
      </c>
      <c r="V46" s="1250">
        <f>25750000+30000000</f>
        <v>55750000</v>
      </c>
      <c r="W46" s="3062">
        <v>61</v>
      </c>
      <c r="X46" s="3026" t="s">
        <v>739</v>
      </c>
      <c r="Y46" s="3113">
        <f t="shared" ref="Y46:AJ46" si="0">Y26</f>
        <v>64149</v>
      </c>
      <c r="Z46" s="3113">
        <f t="shared" si="0"/>
        <v>72224</v>
      </c>
      <c r="AA46" s="3113">
        <f t="shared" si="0"/>
        <v>27477</v>
      </c>
      <c r="AB46" s="3113">
        <f t="shared" si="0"/>
        <v>86843</v>
      </c>
      <c r="AC46" s="3113">
        <f t="shared" si="0"/>
        <v>236429</v>
      </c>
      <c r="AD46" s="3113">
        <f t="shared" si="0"/>
        <v>81384</v>
      </c>
      <c r="AE46" s="3113">
        <f t="shared" si="0"/>
        <v>13208</v>
      </c>
      <c r="AF46" s="3113">
        <f t="shared" si="0"/>
        <v>2145</v>
      </c>
      <c r="AG46" s="3113">
        <f t="shared" si="0"/>
        <v>413</v>
      </c>
      <c r="AH46" s="3113">
        <f t="shared" si="0"/>
        <v>520</v>
      </c>
      <c r="AI46" s="3113">
        <f t="shared" si="0"/>
        <v>16897</v>
      </c>
      <c r="AJ46" s="3113">
        <f t="shared" si="0"/>
        <v>75612</v>
      </c>
      <c r="AK46" s="3020">
        <v>42948</v>
      </c>
      <c r="AL46" s="3020">
        <v>43100</v>
      </c>
      <c r="AM46" s="3023" t="s">
        <v>797</v>
      </c>
      <c r="AN46" s="1283"/>
    </row>
    <row r="47" spans="1:45" s="1252" customFormat="1" ht="165" customHeight="1" x14ac:dyDescent="0.2">
      <c r="A47" s="1239"/>
      <c r="B47" s="1240"/>
      <c r="C47" s="1241"/>
      <c r="D47" s="1240"/>
      <c r="E47" s="1240"/>
      <c r="F47" s="1241"/>
      <c r="G47" s="1239"/>
      <c r="H47" s="1240"/>
      <c r="I47" s="1241"/>
      <c r="J47" s="3026">
        <v>137</v>
      </c>
      <c r="K47" s="3029" t="s">
        <v>798</v>
      </c>
      <c r="L47" s="3026" t="s">
        <v>287</v>
      </c>
      <c r="M47" s="3026">
        <v>12</v>
      </c>
      <c r="N47" s="3027"/>
      <c r="O47" s="3027"/>
      <c r="P47" s="3030"/>
      <c r="Q47" s="3032">
        <f>(V47+V48)/R46</f>
        <v>0.33577832110839445</v>
      </c>
      <c r="R47" s="3040"/>
      <c r="S47" s="3030"/>
      <c r="T47" s="3029" t="s">
        <v>799</v>
      </c>
      <c r="U47" s="1284" t="s">
        <v>800</v>
      </c>
      <c r="V47" s="1253">
        <v>20000000</v>
      </c>
      <c r="W47" s="3063"/>
      <c r="X47" s="3027"/>
      <c r="Y47" s="3114"/>
      <c r="Z47" s="3114"/>
      <c r="AA47" s="3114"/>
      <c r="AB47" s="3114"/>
      <c r="AC47" s="3114"/>
      <c r="AD47" s="3114"/>
      <c r="AE47" s="3114"/>
      <c r="AF47" s="3114"/>
      <c r="AG47" s="3114"/>
      <c r="AH47" s="3114"/>
      <c r="AI47" s="3114"/>
      <c r="AJ47" s="3114"/>
      <c r="AK47" s="3021"/>
      <c r="AL47" s="3021"/>
      <c r="AM47" s="3024"/>
    </row>
    <row r="48" spans="1:45" s="1252" customFormat="1" ht="155.25" customHeight="1" x14ac:dyDescent="0.2">
      <c r="A48" s="1239"/>
      <c r="B48" s="1240"/>
      <c r="C48" s="1241"/>
      <c r="D48" s="1240"/>
      <c r="E48" s="1240"/>
      <c r="F48" s="1241"/>
      <c r="G48" s="1239"/>
      <c r="H48" s="1240"/>
      <c r="I48" s="1241"/>
      <c r="J48" s="3028"/>
      <c r="K48" s="3031"/>
      <c r="L48" s="3028"/>
      <c r="M48" s="3028"/>
      <c r="N48" s="3027"/>
      <c r="O48" s="3027"/>
      <c r="P48" s="3030"/>
      <c r="Q48" s="3034"/>
      <c r="R48" s="3040"/>
      <c r="S48" s="3030"/>
      <c r="T48" s="3031"/>
      <c r="U48" s="1284" t="s">
        <v>801</v>
      </c>
      <c r="V48" s="1253">
        <v>21200000</v>
      </c>
      <c r="W48" s="3063"/>
      <c r="X48" s="3027"/>
      <c r="Y48" s="3114"/>
      <c r="Z48" s="3114"/>
      <c r="AA48" s="3114"/>
      <c r="AB48" s="3114"/>
      <c r="AC48" s="3114"/>
      <c r="AD48" s="3114"/>
      <c r="AE48" s="3114"/>
      <c r="AF48" s="3114"/>
      <c r="AG48" s="3114"/>
      <c r="AH48" s="3114"/>
      <c r="AI48" s="3114"/>
      <c r="AJ48" s="3114"/>
      <c r="AK48" s="3021"/>
      <c r="AL48" s="3021"/>
      <c r="AM48" s="3024"/>
    </row>
    <row r="49" spans="1:333" s="1252" customFormat="1" ht="97.5" customHeight="1" x14ac:dyDescent="0.2">
      <c r="A49" s="1239"/>
      <c r="B49" s="1240"/>
      <c r="C49" s="1241"/>
      <c r="D49" s="1240"/>
      <c r="E49" s="1240"/>
      <c r="F49" s="1241"/>
      <c r="G49" s="1239"/>
      <c r="H49" s="1240"/>
      <c r="I49" s="1241"/>
      <c r="J49" s="3026">
        <v>138</v>
      </c>
      <c r="K49" s="3029" t="s">
        <v>802</v>
      </c>
      <c r="L49" s="3026" t="s">
        <v>287</v>
      </c>
      <c r="M49" s="3026">
        <v>12</v>
      </c>
      <c r="N49" s="3027"/>
      <c r="O49" s="3027"/>
      <c r="P49" s="3030"/>
      <c r="Q49" s="3032">
        <f>(V49+V50)/R46</f>
        <v>0.20986145069274653</v>
      </c>
      <c r="R49" s="3040"/>
      <c r="S49" s="3030"/>
      <c r="T49" s="3029" t="s">
        <v>803</v>
      </c>
      <c r="U49" s="1284" t="s">
        <v>804</v>
      </c>
      <c r="V49" s="1253">
        <v>12875000</v>
      </c>
      <c r="W49" s="3063"/>
      <c r="X49" s="3027"/>
      <c r="Y49" s="3114"/>
      <c r="Z49" s="3114"/>
      <c r="AA49" s="3114"/>
      <c r="AB49" s="3114"/>
      <c r="AC49" s="3114"/>
      <c r="AD49" s="3114"/>
      <c r="AE49" s="3114"/>
      <c r="AF49" s="3114"/>
      <c r="AG49" s="3114"/>
      <c r="AH49" s="3114"/>
      <c r="AI49" s="3114"/>
      <c r="AJ49" s="3114"/>
      <c r="AK49" s="3021"/>
      <c r="AL49" s="3021"/>
      <c r="AM49" s="3024"/>
    </row>
    <row r="50" spans="1:333" s="1285" customFormat="1" ht="74.25" customHeight="1" x14ac:dyDescent="0.2">
      <c r="A50" s="1239"/>
      <c r="B50" s="1240"/>
      <c r="C50" s="1241"/>
      <c r="D50" s="1240"/>
      <c r="E50" s="1240"/>
      <c r="F50" s="1241"/>
      <c r="G50" s="1257"/>
      <c r="H50" s="1255"/>
      <c r="I50" s="1256"/>
      <c r="J50" s="3028"/>
      <c r="K50" s="3031"/>
      <c r="L50" s="3028"/>
      <c r="M50" s="3028"/>
      <c r="N50" s="3027"/>
      <c r="O50" s="3028"/>
      <c r="P50" s="3031"/>
      <c r="Q50" s="3034"/>
      <c r="R50" s="3041"/>
      <c r="S50" s="3031"/>
      <c r="T50" s="3031"/>
      <c r="U50" s="1284" t="s">
        <v>805</v>
      </c>
      <c r="V50" s="1253">
        <v>12875000</v>
      </c>
      <c r="W50" s="3064"/>
      <c r="X50" s="3028"/>
      <c r="Y50" s="3115"/>
      <c r="Z50" s="3115"/>
      <c r="AA50" s="3115"/>
      <c r="AB50" s="3115"/>
      <c r="AC50" s="3115"/>
      <c r="AD50" s="3115"/>
      <c r="AE50" s="3115"/>
      <c r="AF50" s="3115"/>
      <c r="AG50" s="3115"/>
      <c r="AH50" s="3115"/>
      <c r="AI50" s="3115"/>
      <c r="AJ50" s="3115"/>
      <c r="AK50" s="3022"/>
      <c r="AL50" s="3022"/>
      <c r="AM50" s="3025"/>
      <c r="AN50" s="1252"/>
      <c r="AO50" s="1252"/>
      <c r="AP50" s="1252"/>
      <c r="AQ50" s="1252"/>
      <c r="AR50" s="1252"/>
      <c r="AS50" s="1252"/>
      <c r="AT50" s="1252"/>
      <c r="AU50" s="1252"/>
      <c r="AV50" s="1252"/>
      <c r="AW50" s="1252"/>
      <c r="AX50" s="1252"/>
      <c r="AY50" s="1252"/>
      <c r="AZ50" s="1252"/>
      <c r="BA50" s="1252"/>
      <c r="BB50" s="1252"/>
      <c r="BC50" s="1252"/>
      <c r="BD50" s="1252"/>
      <c r="BE50" s="1252"/>
      <c r="BF50" s="1252"/>
      <c r="BG50" s="1252"/>
      <c r="BH50" s="1252"/>
      <c r="BI50" s="1252"/>
      <c r="BJ50" s="1252"/>
      <c r="BK50" s="1252"/>
      <c r="BL50" s="1252"/>
      <c r="BM50" s="1252"/>
      <c r="BN50" s="1252"/>
      <c r="BO50" s="1252"/>
      <c r="BP50" s="1252"/>
      <c r="BQ50" s="1252"/>
      <c r="BR50" s="1252"/>
      <c r="BS50" s="1252"/>
      <c r="BT50" s="1252"/>
      <c r="BU50" s="1252"/>
      <c r="BV50" s="1252"/>
      <c r="BW50" s="1252"/>
      <c r="BX50" s="1252"/>
      <c r="BY50" s="1252"/>
      <c r="BZ50" s="1252"/>
      <c r="CA50" s="1252"/>
      <c r="CB50" s="1252"/>
      <c r="CC50" s="1252"/>
      <c r="CD50" s="1252"/>
      <c r="CE50" s="1252"/>
      <c r="CF50" s="1252"/>
      <c r="CG50" s="1252"/>
      <c r="CH50" s="1252"/>
      <c r="CI50" s="1252"/>
      <c r="CJ50" s="1252"/>
      <c r="CK50" s="1252"/>
      <c r="CL50" s="1252"/>
      <c r="CM50" s="1252"/>
      <c r="CN50" s="1252"/>
      <c r="CO50" s="1252"/>
      <c r="CP50" s="1252"/>
      <c r="CQ50" s="1252"/>
      <c r="CR50" s="1252"/>
      <c r="CS50" s="1252"/>
      <c r="CT50" s="1252"/>
      <c r="CU50" s="1252"/>
      <c r="CV50" s="1252"/>
      <c r="CW50" s="1252"/>
      <c r="CX50" s="1252"/>
      <c r="CY50" s="1252"/>
      <c r="CZ50" s="1252"/>
      <c r="DA50" s="1252"/>
      <c r="DB50" s="1252"/>
      <c r="DC50" s="1252"/>
      <c r="DD50" s="1252"/>
      <c r="DE50" s="1252"/>
      <c r="DF50" s="1252"/>
      <c r="DG50" s="1252"/>
      <c r="DH50" s="1252"/>
      <c r="DI50" s="1252"/>
      <c r="DJ50" s="1252"/>
      <c r="DK50" s="1252"/>
      <c r="DL50" s="1252"/>
      <c r="DM50" s="1252"/>
      <c r="DN50" s="1252"/>
      <c r="DO50" s="1252"/>
      <c r="DP50" s="1252"/>
      <c r="DQ50" s="1252"/>
      <c r="DR50" s="1252"/>
      <c r="DS50" s="1252"/>
      <c r="DT50" s="1252"/>
      <c r="DU50" s="1252"/>
      <c r="DV50" s="1252"/>
      <c r="DW50" s="1252"/>
      <c r="DX50" s="1252"/>
      <c r="DY50" s="1252"/>
      <c r="DZ50" s="1252"/>
      <c r="EA50" s="1252"/>
      <c r="EB50" s="1252"/>
      <c r="EC50" s="1252"/>
      <c r="ED50" s="1252"/>
      <c r="EE50" s="1252"/>
      <c r="EF50" s="1252"/>
      <c r="EG50" s="1252"/>
      <c r="EH50" s="1252"/>
      <c r="EI50" s="1252"/>
      <c r="EJ50" s="1252"/>
      <c r="EK50" s="1252"/>
      <c r="EL50" s="1252"/>
      <c r="EM50" s="1252"/>
      <c r="EN50" s="1252"/>
      <c r="EO50" s="1252"/>
      <c r="EP50" s="1252"/>
      <c r="EQ50" s="1252"/>
      <c r="ER50" s="1252"/>
      <c r="ES50" s="1252"/>
      <c r="ET50" s="1252"/>
      <c r="EU50" s="1252"/>
      <c r="EV50" s="1252"/>
      <c r="EW50" s="1252"/>
      <c r="EX50" s="1252"/>
      <c r="EY50" s="1252"/>
      <c r="EZ50" s="1252"/>
      <c r="FA50" s="1252"/>
      <c r="FB50" s="1252"/>
      <c r="FC50" s="1252"/>
      <c r="FD50" s="1252"/>
      <c r="FE50" s="1252"/>
      <c r="FF50" s="1252"/>
      <c r="FG50" s="1252"/>
      <c r="FH50" s="1252"/>
      <c r="FI50" s="1252"/>
      <c r="FJ50" s="1252"/>
      <c r="FK50" s="1252"/>
      <c r="FL50" s="1252"/>
      <c r="FM50" s="1252"/>
      <c r="FN50" s="1252"/>
      <c r="FO50" s="1252"/>
      <c r="FP50" s="1252"/>
      <c r="FQ50" s="1252"/>
      <c r="FR50" s="1252"/>
      <c r="FS50" s="1252"/>
      <c r="FT50" s="1252"/>
      <c r="FU50" s="1252"/>
      <c r="FV50" s="1252"/>
      <c r="FW50" s="1252"/>
      <c r="FX50" s="1252"/>
      <c r="FY50" s="1252"/>
      <c r="FZ50" s="1252"/>
      <c r="GA50" s="1252"/>
      <c r="GB50" s="1252"/>
      <c r="GC50" s="1252"/>
      <c r="GD50" s="1252"/>
      <c r="GE50" s="1252"/>
      <c r="GF50" s="1252"/>
      <c r="GG50" s="1252"/>
      <c r="GH50" s="1252"/>
      <c r="GI50" s="1252"/>
      <c r="GJ50" s="1252"/>
      <c r="GK50" s="1252"/>
      <c r="GL50" s="1252"/>
      <c r="GM50" s="1252"/>
      <c r="GN50" s="1252"/>
      <c r="GO50" s="1252"/>
      <c r="GP50" s="1252"/>
      <c r="GQ50" s="1252"/>
      <c r="GR50" s="1252"/>
      <c r="GS50" s="1252"/>
      <c r="GT50" s="1252"/>
      <c r="GU50" s="1252"/>
      <c r="GV50" s="1252"/>
      <c r="GW50" s="1252"/>
      <c r="GX50" s="1252"/>
      <c r="GY50" s="1252"/>
      <c r="GZ50" s="1252"/>
      <c r="HA50" s="1252"/>
      <c r="HB50" s="1252"/>
      <c r="HC50" s="1252"/>
      <c r="HD50" s="1252"/>
      <c r="HE50" s="1252"/>
      <c r="HF50" s="1252"/>
      <c r="HG50" s="1252"/>
      <c r="HH50" s="1252"/>
      <c r="HI50" s="1252"/>
      <c r="HJ50" s="1252"/>
      <c r="HK50" s="1252"/>
      <c r="HL50" s="1252"/>
      <c r="HM50" s="1252"/>
      <c r="HN50" s="1252"/>
      <c r="HO50" s="1252"/>
      <c r="HP50" s="1252"/>
      <c r="HQ50" s="1252"/>
      <c r="HR50" s="1252"/>
      <c r="HS50" s="1252"/>
      <c r="HT50" s="1252"/>
      <c r="HU50" s="1252"/>
      <c r="HV50" s="1252"/>
      <c r="HW50" s="1252"/>
      <c r="HX50" s="1252"/>
      <c r="HY50" s="1252"/>
      <c r="HZ50" s="1252"/>
      <c r="IA50" s="1252"/>
      <c r="IB50" s="1252"/>
      <c r="IC50" s="1252"/>
      <c r="ID50" s="1252"/>
      <c r="IE50" s="1252"/>
      <c r="IF50" s="1252"/>
      <c r="IG50" s="1252"/>
      <c r="IH50" s="1252"/>
      <c r="II50" s="1252"/>
      <c r="IJ50" s="1252"/>
      <c r="IK50" s="1252"/>
      <c r="IL50" s="1252"/>
      <c r="IM50" s="1252"/>
      <c r="IN50" s="1252"/>
      <c r="IO50" s="1252"/>
      <c r="IP50" s="1252"/>
      <c r="IQ50" s="1252"/>
      <c r="IR50" s="1252"/>
      <c r="IS50" s="1252"/>
      <c r="IT50" s="1252"/>
      <c r="IU50" s="1252"/>
      <c r="IV50" s="1252"/>
      <c r="IW50" s="1252"/>
      <c r="IX50" s="1252"/>
      <c r="IY50" s="1252"/>
      <c r="IZ50" s="1252"/>
      <c r="JA50" s="1252"/>
      <c r="JB50" s="1252"/>
      <c r="JC50" s="1252"/>
      <c r="JD50" s="1252"/>
      <c r="JE50" s="1252"/>
      <c r="JF50" s="1252"/>
      <c r="JG50" s="1252"/>
      <c r="JH50" s="1252"/>
      <c r="JI50" s="1252"/>
      <c r="JJ50" s="1252"/>
      <c r="JK50" s="1252"/>
      <c r="JL50" s="1252"/>
      <c r="JM50" s="1252"/>
      <c r="JN50" s="1252"/>
      <c r="JO50" s="1252"/>
      <c r="JP50" s="1252"/>
      <c r="JQ50" s="1252"/>
      <c r="JR50" s="1252"/>
      <c r="JS50" s="1252"/>
      <c r="JT50" s="1252"/>
      <c r="JU50" s="1252"/>
      <c r="JV50" s="1252"/>
      <c r="JW50" s="1252"/>
      <c r="JX50" s="1252"/>
      <c r="JY50" s="1252"/>
      <c r="JZ50" s="1252"/>
      <c r="KA50" s="1252"/>
      <c r="KB50" s="1252"/>
      <c r="KC50" s="1252"/>
      <c r="KD50" s="1252"/>
      <c r="KE50" s="1252"/>
      <c r="KF50" s="1252"/>
      <c r="KG50" s="1252"/>
      <c r="KH50" s="1252"/>
      <c r="KI50" s="1252"/>
      <c r="KJ50" s="1252"/>
      <c r="KK50" s="1252"/>
      <c r="KL50" s="1252"/>
      <c r="KM50" s="1252"/>
      <c r="KN50" s="1252"/>
      <c r="KO50" s="1252"/>
      <c r="KP50" s="1252"/>
      <c r="KQ50" s="1252"/>
      <c r="KR50" s="1252"/>
      <c r="KS50" s="1252"/>
      <c r="KT50" s="1252"/>
      <c r="KU50" s="1252"/>
      <c r="KV50" s="1252"/>
      <c r="KW50" s="1252"/>
      <c r="KX50" s="1252"/>
      <c r="KY50" s="1252"/>
      <c r="KZ50" s="1252"/>
      <c r="LA50" s="1252"/>
      <c r="LB50" s="1252"/>
      <c r="LC50" s="1252"/>
      <c r="LD50" s="1252"/>
      <c r="LE50" s="1252"/>
      <c r="LF50" s="1252"/>
      <c r="LG50" s="1252"/>
      <c r="LH50" s="1252"/>
      <c r="LI50" s="1252"/>
      <c r="LJ50" s="1252"/>
      <c r="LK50" s="1252"/>
      <c r="LL50" s="1252"/>
      <c r="LM50" s="1252"/>
      <c r="LN50" s="1252"/>
      <c r="LO50" s="1252"/>
      <c r="LP50" s="1252"/>
      <c r="LQ50" s="1252"/>
      <c r="LR50" s="1252"/>
      <c r="LS50" s="1252"/>
      <c r="LT50" s="1252"/>
      <c r="LU50" s="1252"/>
    </row>
    <row r="51" spans="1:333" s="1269" customFormat="1" ht="36" customHeight="1" x14ac:dyDescent="0.2">
      <c r="A51" s="1227"/>
      <c r="B51" s="1228"/>
      <c r="C51" s="1229"/>
      <c r="D51" s="1228"/>
      <c r="E51" s="1228"/>
      <c r="F51" s="1229"/>
      <c r="G51" s="1264">
        <v>39</v>
      </c>
      <c r="H51" s="1233" t="s">
        <v>806</v>
      </c>
      <c r="I51" s="1233"/>
      <c r="J51" s="1233"/>
      <c r="K51" s="1234"/>
      <c r="L51" s="1233"/>
      <c r="M51" s="1233"/>
      <c r="N51" s="1235"/>
      <c r="O51" s="1233"/>
      <c r="P51" s="1234"/>
      <c r="Q51" s="1233"/>
      <c r="R51" s="1233"/>
      <c r="S51" s="1233"/>
      <c r="T51" s="1234"/>
      <c r="U51" s="1234"/>
      <c r="V51" s="1236"/>
      <c r="W51" s="1265"/>
      <c r="X51" s="1235"/>
      <c r="Y51" s="1235"/>
      <c r="Z51" s="1235"/>
      <c r="AA51" s="1235"/>
      <c r="AB51" s="1235"/>
      <c r="AC51" s="1235"/>
      <c r="AD51" s="1235"/>
      <c r="AE51" s="1235"/>
      <c r="AF51" s="1235"/>
      <c r="AG51" s="1235"/>
      <c r="AH51" s="1235"/>
      <c r="AI51" s="1235"/>
      <c r="AJ51" s="1235"/>
      <c r="AK51" s="1235"/>
      <c r="AL51" s="1233"/>
      <c r="AM51" s="1266"/>
      <c r="AN51" s="1217"/>
      <c r="AO51" s="1217"/>
      <c r="AP51" s="1217"/>
      <c r="AQ51" s="1217"/>
      <c r="AR51" s="1217"/>
      <c r="AS51" s="1217"/>
    </row>
    <row r="52" spans="1:333" s="1252" customFormat="1" ht="65.25" customHeight="1" x14ac:dyDescent="0.2">
      <c r="A52" s="1239"/>
      <c r="B52" s="1240"/>
      <c r="C52" s="1241"/>
      <c r="D52" s="1240"/>
      <c r="E52" s="1240"/>
      <c r="F52" s="1241"/>
      <c r="G52" s="1242"/>
      <c r="H52" s="1243"/>
      <c r="I52" s="1244"/>
      <c r="J52" s="3026">
        <v>139</v>
      </c>
      <c r="K52" s="3029" t="s">
        <v>807</v>
      </c>
      <c r="L52" s="3026" t="s">
        <v>287</v>
      </c>
      <c r="M52" s="3026">
        <v>1</v>
      </c>
      <c r="N52" s="3026" t="s">
        <v>808</v>
      </c>
      <c r="O52" s="3026">
        <v>138</v>
      </c>
      <c r="P52" s="3029" t="s">
        <v>809</v>
      </c>
      <c r="Q52" s="3032">
        <f>(V52+V53+V54)/R52</f>
        <v>0.6428571428571429</v>
      </c>
      <c r="R52" s="3039">
        <v>144200000</v>
      </c>
      <c r="S52" s="3029" t="s">
        <v>810</v>
      </c>
      <c r="T52" s="3029" t="s">
        <v>811</v>
      </c>
      <c r="U52" s="1267" t="s">
        <v>812</v>
      </c>
      <c r="V52" s="1253">
        <v>30900000</v>
      </c>
      <c r="W52" s="3062">
        <v>61</v>
      </c>
      <c r="X52" s="3026" t="s">
        <v>739</v>
      </c>
      <c r="Y52" s="3113">
        <v>64149</v>
      </c>
      <c r="Z52" s="3113">
        <v>72224</v>
      </c>
      <c r="AA52" s="3113">
        <v>27477</v>
      </c>
      <c r="AB52" s="3113">
        <v>86843</v>
      </c>
      <c r="AC52" s="3113">
        <v>236429</v>
      </c>
      <c r="AD52" s="3113">
        <v>81384</v>
      </c>
      <c r="AE52" s="3113">
        <v>13208</v>
      </c>
      <c r="AF52" s="3113">
        <v>2145</v>
      </c>
      <c r="AG52" s="3113">
        <v>413</v>
      </c>
      <c r="AH52" s="3113">
        <v>520</v>
      </c>
      <c r="AI52" s="3113">
        <v>16897</v>
      </c>
      <c r="AJ52" s="3113">
        <v>75612</v>
      </c>
      <c r="AK52" s="3020">
        <v>42948</v>
      </c>
      <c r="AL52" s="3020">
        <v>43100</v>
      </c>
      <c r="AM52" s="3023" t="s">
        <v>797</v>
      </c>
    </row>
    <row r="53" spans="1:333" s="1252" customFormat="1" ht="66.75" customHeight="1" x14ac:dyDescent="0.2">
      <c r="A53" s="1239"/>
      <c r="B53" s="1240"/>
      <c r="C53" s="1241"/>
      <c r="D53" s="1240"/>
      <c r="E53" s="1240"/>
      <c r="F53" s="1241"/>
      <c r="G53" s="1239"/>
      <c r="H53" s="1240"/>
      <c r="I53" s="1241"/>
      <c r="J53" s="3027"/>
      <c r="K53" s="3030"/>
      <c r="L53" s="3027"/>
      <c r="M53" s="3027"/>
      <c r="N53" s="3027"/>
      <c r="O53" s="3027"/>
      <c r="P53" s="3030"/>
      <c r="Q53" s="3033"/>
      <c r="R53" s="3040"/>
      <c r="S53" s="3030"/>
      <c r="T53" s="3030"/>
      <c r="U53" s="1267" t="s">
        <v>813</v>
      </c>
      <c r="V53" s="1253">
        <v>30900000</v>
      </c>
      <c r="W53" s="3063"/>
      <c r="X53" s="3027"/>
      <c r="Y53" s="3114"/>
      <c r="Z53" s="3114"/>
      <c r="AA53" s="3114"/>
      <c r="AB53" s="3114"/>
      <c r="AC53" s="3114"/>
      <c r="AD53" s="3114"/>
      <c r="AE53" s="3114"/>
      <c r="AF53" s="3114"/>
      <c r="AG53" s="3114"/>
      <c r="AH53" s="3114"/>
      <c r="AI53" s="3114"/>
      <c r="AJ53" s="3114"/>
      <c r="AK53" s="3021"/>
      <c r="AL53" s="3021"/>
      <c r="AM53" s="3024"/>
    </row>
    <row r="54" spans="1:333" s="1252" customFormat="1" ht="61.5" customHeight="1" x14ac:dyDescent="0.2">
      <c r="A54" s="1239"/>
      <c r="B54" s="1240"/>
      <c r="C54" s="1241"/>
      <c r="D54" s="1240"/>
      <c r="E54" s="1240"/>
      <c r="F54" s="1241"/>
      <c r="G54" s="1239"/>
      <c r="H54" s="1240"/>
      <c r="I54" s="1241"/>
      <c r="J54" s="3028"/>
      <c r="K54" s="3031"/>
      <c r="L54" s="3028"/>
      <c r="M54" s="3028"/>
      <c r="N54" s="3027"/>
      <c r="O54" s="3027"/>
      <c r="P54" s="3030"/>
      <c r="Q54" s="3034"/>
      <c r="R54" s="3040"/>
      <c r="S54" s="3030"/>
      <c r="T54" s="3031"/>
      <c r="U54" s="1267" t="s">
        <v>814</v>
      </c>
      <c r="V54" s="1253">
        <v>30900000</v>
      </c>
      <c r="W54" s="3063"/>
      <c r="X54" s="3027"/>
      <c r="Y54" s="3114"/>
      <c r="Z54" s="3114"/>
      <c r="AA54" s="3114"/>
      <c r="AB54" s="3114"/>
      <c r="AC54" s="3114"/>
      <c r="AD54" s="3114"/>
      <c r="AE54" s="3114"/>
      <c r="AF54" s="3114"/>
      <c r="AG54" s="3114"/>
      <c r="AH54" s="3114"/>
      <c r="AI54" s="3114"/>
      <c r="AJ54" s="3114"/>
      <c r="AK54" s="3021"/>
      <c r="AL54" s="3021"/>
      <c r="AM54" s="3024"/>
    </row>
    <row r="55" spans="1:333" s="1252" customFormat="1" ht="60.75" customHeight="1" x14ac:dyDescent="0.2">
      <c r="A55" s="1239"/>
      <c r="B55" s="1240"/>
      <c r="C55" s="1241"/>
      <c r="D55" s="1240"/>
      <c r="E55" s="1240"/>
      <c r="F55" s="1241"/>
      <c r="G55" s="1239"/>
      <c r="H55" s="1240"/>
      <c r="I55" s="1241"/>
      <c r="J55" s="3026">
        <v>140</v>
      </c>
      <c r="K55" s="3029" t="s">
        <v>815</v>
      </c>
      <c r="L55" s="3026" t="s">
        <v>287</v>
      </c>
      <c r="M55" s="3026">
        <v>1</v>
      </c>
      <c r="N55" s="3027"/>
      <c r="O55" s="3027"/>
      <c r="P55" s="3030"/>
      <c r="Q55" s="3032">
        <f>(V55+V56+V57)/R52</f>
        <v>0.17857142857142858</v>
      </c>
      <c r="R55" s="3040"/>
      <c r="S55" s="3030"/>
      <c r="T55" s="3029" t="s">
        <v>816</v>
      </c>
      <c r="U55" s="1267" t="s">
        <v>817</v>
      </c>
      <c r="V55" s="1253">
        <v>8583333</v>
      </c>
      <c r="W55" s="3063"/>
      <c r="X55" s="3027"/>
      <c r="Y55" s="3114"/>
      <c r="Z55" s="3114"/>
      <c r="AA55" s="3114"/>
      <c r="AB55" s="3114"/>
      <c r="AC55" s="3114"/>
      <c r="AD55" s="3114"/>
      <c r="AE55" s="3114"/>
      <c r="AF55" s="3114"/>
      <c r="AG55" s="3114"/>
      <c r="AH55" s="3114"/>
      <c r="AI55" s="3114"/>
      <c r="AJ55" s="3114"/>
      <c r="AK55" s="3021"/>
      <c r="AL55" s="3021"/>
      <c r="AM55" s="3024"/>
    </row>
    <row r="56" spans="1:333" s="1252" customFormat="1" ht="73.5" customHeight="1" x14ac:dyDescent="0.2">
      <c r="A56" s="1239"/>
      <c r="B56" s="1240"/>
      <c r="C56" s="1241"/>
      <c r="D56" s="1240"/>
      <c r="E56" s="1240"/>
      <c r="F56" s="1241"/>
      <c r="G56" s="1239"/>
      <c r="H56" s="1240"/>
      <c r="I56" s="1241"/>
      <c r="J56" s="3027"/>
      <c r="K56" s="3030"/>
      <c r="L56" s="3027"/>
      <c r="M56" s="3027"/>
      <c r="N56" s="3027"/>
      <c r="O56" s="3027"/>
      <c r="P56" s="3030"/>
      <c r="Q56" s="3033"/>
      <c r="R56" s="3040"/>
      <c r="S56" s="3030"/>
      <c r="T56" s="3030"/>
      <c r="U56" s="1267" t="s">
        <v>818</v>
      </c>
      <c r="V56" s="1253">
        <v>8583334</v>
      </c>
      <c r="W56" s="3063"/>
      <c r="X56" s="3027"/>
      <c r="Y56" s="3114"/>
      <c r="Z56" s="3114"/>
      <c r="AA56" s="3114"/>
      <c r="AB56" s="3114"/>
      <c r="AC56" s="3114"/>
      <c r="AD56" s="3114"/>
      <c r="AE56" s="3114"/>
      <c r="AF56" s="3114"/>
      <c r="AG56" s="3114"/>
      <c r="AH56" s="3114"/>
      <c r="AI56" s="3114"/>
      <c r="AJ56" s="3114"/>
      <c r="AK56" s="3021"/>
      <c r="AL56" s="3021"/>
      <c r="AM56" s="3024"/>
    </row>
    <row r="57" spans="1:333" s="1252" customFormat="1" ht="68.25" customHeight="1" x14ac:dyDescent="0.2">
      <c r="A57" s="1239"/>
      <c r="B57" s="1240"/>
      <c r="C57" s="1241"/>
      <c r="D57" s="1240"/>
      <c r="E57" s="1240"/>
      <c r="F57" s="1241"/>
      <c r="G57" s="1239"/>
      <c r="H57" s="1240"/>
      <c r="I57" s="1241"/>
      <c r="J57" s="3028"/>
      <c r="K57" s="3031"/>
      <c r="L57" s="3028"/>
      <c r="M57" s="3028"/>
      <c r="N57" s="3027"/>
      <c r="O57" s="3027"/>
      <c r="P57" s="3030"/>
      <c r="Q57" s="3034"/>
      <c r="R57" s="3040"/>
      <c r="S57" s="3030"/>
      <c r="T57" s="3031"/>
      <c r="U57" s="1267" t="s">
        <v>819</v>
      </c>
      <c r="V57" s="1253">
        <v>8583333</v>
      </c>
      <c r="W57" s="3063"/>
      <c r="X57" s="3027"/>
      <c r="Y57" s="3114"/>
      <c r="Z57" s="3114"/>
      <c r="AA57" s="3114"/>
      <c r="AB57" s="3114"/>
      <c r="AC57" s="3114"/>
      <c r="AD57" s="3114"/>
      <c r="AE57" s="3114"/>
      <c r="AF57" s="3114"/>
      <c r="AG57" s="3114"/>
      <c r="AH57" s="3114"/>
      <c r="AI57" s="3114"/>
      <c r="AJ57" s="3114"/>
      <c r="AK57" s="3021"/>
      <c r="AL57" s="3021"/>
      <c r="AM57" s="3024"/>
    </row>
    <row r="58" spans="1:333" s="1252" customFormat="1" ht="87" customHeight="1" x14ac:dyDescent="0.2">
      <c r="A58" s="1239"/>
      <c r="B58" s="1240"/>
      <c r="C58" s="1241"/>
      <c r="D58" s="1240"/>
      <c r="E58" s="1240"/>
      <c r="F58" s="1241"/>
      <c r="G58" s="1239"/>
      <c r="H58" s="1240"/>
      <c r="I58" s="1241"/>
      <c r="J58" s="3026">
        <v>141</v>
      </c>
      <c r="K58" s="3029" t="s">
        <v>820</v>
      </c>
      <c r="L58" s="3026" t="s">
        <v>287</v>
      </c>
      <c r="M58" s="3026">
        <v>1</v>
      </c>
      <c r="N58" s="3027"/>
      <c r="O58" s="3027"/>
      <c r="P58" s="3030"/>
      <c r="Q58" s="3032">
        <f>(V58+V59)/R52</f>
        <v>0.17857142857142858</v>
      </c>
      <c r="R58" s="3040"/>
      <c r="S58" s="3030"/>
      <c r="T58" s="3029" t="s">
        <v>821</v>
      </c>
      <c r="U58" s="1267" t="s">
        <v>822</v>
      </c>
      <c r="V58" s="1253">
        <v>10750000</v>
      </c>
      <c r="W58" s="3063"/>
      <c r="X58" s="3027"/>
      <c r="Y58" s="3114"/>
      <c r="Z58" s="3114"/>
      <c r="AA58" s="3114"/>
      <c r="AB58" s="3114"/>
      <c r="AC58" s="3114"/>
      <c r="AD58" s="3114"/>
      <c r="AE58" s="3114"/>
      <c r="AF58" s="3114"/>
      <c r="AG58" s="3114"/>
      <c r="AH58" s="3114"/>
      <c r="AI58" s="3114"/>
      <c r="AJ58" s="3114"/>
      <c r="AK58" s="3021"/>
      <c r="AL58" s="3021"/>
      <c r="AM58" s="3024"/>
    </row>
    <row r="59" spans="1:333" s="1252" customFormat="1" ht="81.75" customHeight="1" x14ac:dyDescent="0.2">
      <c r="A59" s="1239"/>
      <c r="B59" s="1240"/>
      <c r="C59" s="1241"/>
      <c r="D59" s="1240"/>
      <c r="E59" s="1240"/>
      <c r="F59" s="1241"/>
      <c r="G59" s="1257"/>
      <c r="H59" s="1255"/>
      <c r="I59" s="1256"/>
      <c r="J59" s="3028"/>
      <c r="K59" s="3031"/>
      <c r="L59" s="3028"/>
      <c r="M59" s="3028"/>
      <c r="N59" s="3028"/>
      <c r="O59" s="3028"/>
      <c r="P59" s="3031"/>
      <c r="Q59" s="3034"/>
      <c r="R59" s="3041"/>
      <c r="S59" s="3031"/>
      <c r="T59" s="3031"/>
      <c r="U59" s="1267" t="s">
        <v>823</v>
      </c>
      <c r="V59" s="1253">
        <v>15000000</v>
      </c>
      <c r="W59" s="3064"/>
      <c r="X59" s="3028"/>
      <c r="Y59" s="3115"/>
      <c r="Z59" s="3115"/>
      <c r="AA59" s="3115"/>
      <c r="AB59" s="3115"/>
      <c r="AC59" s="3115"/>
      <c r="AD59" s="3115"/>
      <c r="AE59" s="3115"/>
      <c r="AF59" s="3115"/>
      <c r="AG59" s="3115"/>
      <c r="AH59" s="3115"/>
      <c r="AI59" s="3115"/>
      <c r="AJ59" s="3115"/>
      <c r="AK59" s="3022"/>
      <c r="AL59" s="3022"/>
      <c r="AM59" s="3025"/>
    </row>
    <row r="60" spans="1:333" s="1269" customFormat="1" ht="36" customHeight="1" x14ac:dyDescent="0.2">
      <c r="A60" s="1227"/>
      <c r="B60" s="1228"/>
      <c r="C60" s="1229"/>
      <c r="D60" s="1228"/>
      <c r="E60" s="1228"/>
      <c r="F60" s="1229"/>
      <c r="G60" s="1264">
        <v>40</v>
      </c>
      <c r="H60" s="1233" t="s">
        <v>824</v>
      </c>
      <c r="I60" s="1233"/>
      <c r="J60" s="1233"/>
      <c r="K60" s="1234"/>
      <c r="L60" s="1233"/>
      <c r="M60" s="1233"/>
      <c r="N60" s="1235"/>
      <c r="O60" s="1233"/>
      <c r="P60" s="1234"/>
      <c r="Q60" s="1233"/>
      <c r="R60" s="1233"/>
      <c r="S60" s="1233"/>
      <c r="T60" s="1234"/>
      <c r="U60" s="1234"/>
      <c r="V60" s="1236"/>
      <c r="W60" s="1265"/>
      <c r="X60" s="1235"/>
      <c r="Y60" s="1235"/>
      <c r="Z60" s="1235"/>
      <c r="AA60" s="1235"/>
      <c r="AB60" s="1235"/>
      <c r="AC60" s="1235"/>
      <c r="AD60" s="1235"/>
      <c r="AE60" s="1235"/>
      <c r="AF60" s="1235"/>
      <c r="AG60" s="1235"/>
      <c r="AH60" s="1235"/>
      <c r="AI60" s="1235"/>
      <c r="AJ60" s="1235"/>
      <c r="AK60" s="1235"/>
      <c r="AL60" s="1233"/>
      <c r="AM60" s="1266"/>
      <c r="AN60" s="1217"/>
      <c r="AO60" s="1217"/>
      <c r="AP60" s="1217"/>
      <c r="AQ60" s="1217"/>
      <c r="AR60" s="1217"/>
      <c r="AS60" s="1217"/>
    </row>
    <row r="61" spans="1:333" ht="110.25" customHeight="1" x14ac:dyDescent="0.2">
      <c r="A61" s="1270"/>
      <c r="B61" s="1271"/>
      <c r="C61" s="1272"/>
      <c r="D61" s="1271"/>
      <c r="E61" s="1271"/>
      <c r="F61" s="1272"/>
      <c r="G61" s="1273"/>
      <c r="H61" s="1274"/>
      <c r="I61" s="1275"/>
      <c r="J61" s="1245">
        <v>142</v>
      </c>
      <c r="K61" s="1286" t="s">
        <v>825</v>
      </c>
      <c r="L61" s="1245" t="s">
        <v>287</v>
      </c>
      <c r="M61" s="1245">
        <v>12</v>
      </c>
      <c r="N61" s="3026" t="s">
        <v>826</v>
      </c>
      <c r="O61" s="3026">
        <v>139</v>
      </c>
      <c r="P61" s="3029" t="s">
        <v>827</v>
      </c>
      <c r="Q61" s="1282">
        <v>0.9</v>
      </c>
      <c r="R61" s="3039">
        <f>SUM(V61:V63)</f>
        <v>82147580</v>
      </c>
      <c r="S61" s="3029" t="s">
        <v>828</v>
      </c>
      <c r="T61" s="1286" t="s">
        <v>829</v>
      </c>
      <c r="U61" s="1287" t="s">
        <v>830</v>
      </c>
      <c r="V61" s="1288">
        <f>6147580+56000000</f>
        <v>62147580</v>
      </c>
      <c r="W61" s="3062">
        <v>61</v>
      </c>
      <c r="X61" s="3026" t="s">
        <v>739</v>
      </c>
      <c r="Y61" s="3122">
        <v>64149</v>
      </c>
      <c r="Z61" s="3106" t="s">
        <v>133</v>
      </c>
      <c r="AA61" s="3106" t="s">
        <v>133</v>
      </c>
      <c r="AB61" s="3106" t="s">
        <v>133</v>
      </c>
      <c r="AC61" s="3106" t="s">
        <v>133</v>
      </c>
      <c r="AD61" s="3106" t="s">
        <v>133</v>
      </c>
      <c r="AE61" s="3106" t="s">
        <v>133</v>
      </c>
      <c r="AF61" s="3106" t="s">
        <v>133</v>
      </c>
      <c r="AG61" s="3106" t="s">
        <v>133</v>
      </c>
      <c r="AH61" s="3106" t="s">
        <v>133</v>
      </c>
      <c r="AI61" s="3106" t="s">
        <v>133</v>
      </c>
      <c r="AJ61" s="3106" t="s">
        <v>133</v>
      </c>
      <c r="AK61" s="3020">
        <v>42948</v>
      </c>
      <c r="AL61" s="3020">
        <v>43100</v>
      </c>
      <c r="AM61" s="3023" t="s">
        <v>797</v>
      </c>
    </row>
    <row r="62" spans="1:333" ht="78" customHeight="1" x14ac:dyDescent="0.2">
      <c r="A62" s="1270"/>
      <c r="B62" s="1271"/>
      <c r="C62" s="1272"/>
      <c r="D62" s="1271"/>
      <c r="E62" s="1271"/>
      <c r="F62" s="1272"/>
      <c r="G62" s="1270"/>
      <c r="H62" s="1271"/>
      <c r="I62" s="1272"/>
      <c r="J62" s="3026">
        <v>143</v>
      </c>
      <c r="K62" s="3075" t="s">
        <v>831</v>
      </c>
      <c r="L62" s="3026" t="s">
        <v>287</v>
      </c>
      <c r="M62" s="3026">
        <v>1</v>
      </c>
      <c r="N62" s="3027"/>
      <c r="O62" s="3027"/>
      <c r="P62" s="3030"/>
      <c r="Q62" s="1289"/>
      <c r="R62" s="3040"/>
      <c r="S62" s="3030"/>
      <c r="T62" s="3075" t="s">
        <v>832</v>
      </c>
      <c r="U62" s="1246" t="s">
        <v>833</v>
      </c>
      <c r="V62" s="1290">
        <v>0</v>
      </c>
      <c r="W62" s="3063"/>
      <c r="X62" s="3027"/>
      <c r="Y62" s="3123"/>
      <c r="Z62" s="3107"/>
      <c r="AA62" s="3107"/>
      <c r="AB62" s="3107"/>
      <c r="AC62" s="3107"/>
      <c r="AD62" s="3107"/>
      <c r="AE62" s="3107"/>
      <c r="AF62" s="3107"/>
      <c r="AG62" s="3107"/>
      <c r="AH62" s="3107"/>
      <c r="AI62" s="3107"/>
      <c r="AJ62" s="3107"/>
      <c r="AK62" s="3021"/>
      <c r="AL62" s="3021"/>
      <c r="AM62" s="3024"/>
    </row>
    <row r="63" spans="1:333" ht="96" customHeight="1" x14ac:dyDescent="0.2">
      <c r="A63" s="1270"/>
      <c r="B63" s="1271"/>
      <c r="C63" s="1272"/>
      <c r="D63" s="1271"/>
      <c r="E63" s="1271"/>
      <c r="F63" s="1272"/>
      <c r="G63" s="1270"/>
      <c r="H63" s="1271"/>
      <c r="I63" s="1272"/>
      <c r="J63" s="3028"/>
      <c r="K63" s="3075"/>
      <c r="L63" s="3028"/>
      <c r="M63" s="3028"/>
      <c r="N63" s="3028"/>
      <c r="O63" s="3028"/>
      <c r="P63" s="3031"/>
      <c r="Q63" s="1291">
        <v>0.1</v>
      </c>
      <c r="R63" s="3041"/>
      <c r="S63" s="3031"/>
      <c r="T63" s="3075"/>
      <c r="U63" s="1246" t="s">
        <v>834</v>
      </c>
      <c r="V63" s="1288">
        <v>20000000</v>
      </c>
      <c r="W63" s="3064"/>
      <c r="X63" s="3028"/>
      <c r="Y63" s="3124"/>
      <c r="Z63" s="3108"/>
      <c r="AA63" s="3108"/>
      <c r="AB63" s="3108"/>
      <c r="AC63" s="3108"/>
      <c r="AD63" s="3108"/>
      <c r="AE63" s="3108"/>
      <c r="AF63" s="3108"/>
      <c r="AG63" s="3108"/>
      <c r="AH63" s="3108"/>
      <c r="AI63" s="3108"/>
      <c r="AJ63" s="3108"/>
      <c r="AK63" s="3022"/>
      <c r="AL63" s="3022"/>
      <c r="AM63" s="3025"/>
      <c r="AN63" s="1292"/>
    </row>
    <row r="64" spans="1:333" s="1205" customFormat="1" ht="114" x14ac:dyDescent="0.2">
      <c r="A64" s="1293"/>
      <c r="B64" s="1294"/>
      <c r="C64" s="1295"/>
      <c r="D64" s="1294"/>
      <c r="E64" s="1294"/>
      <c r="F64" s="1295"/>
      <c r="G64" s="1293"/>
      <c r="H64" s="1294"/>
      <c r="I64" s="1295"/>
      <c r="J64" s="3053">
        <v>144</v>
      </c>
      <c r="K64" s="3050" t="s">
        <v>835</v>
      </c>
      <c r="L64" s="3053" t="s">
        <v>287</v>
      </c>
      <c r="M64" s="3053">
        <v>5</v>
      </c>
      <c r="N64" s="1296"/>
      <c r="O64" s="3053">
        <v>141</v>
      </c>
      <c r="P64" s="3029" t="s">
        <v>836</v>
      </c>
      <c r="Q64" s="3125">
        <f>(V64+V65+V66+V67+V68)/R64</f>
        <v>0.83251096606464636</v>
      </c>
      <c r="R64" s="3128">
        <f>289708258.45023+198060852+40000000</f>
        <v>527769110.45023</v>
      </c>
      <c r="S64" s="3050" t="s">
        <v>837</v>
      </c>
      <c r="T64" s="3029" t="s">
        <v>838</v>
      </c>
      <c r="U64" s="1276" t="s">
        <v>839</v>
      </c>
      <c r="V64" s="1250">
        <f>48262544+198060852</f>
        <v>246323396</v>
      </c>
      <c r="W64" s="1297"/>
      <c r="X64" s="1296"/>
      <c r="Y64" s="3106">
        <v>64149</v>
      </c>
      <c r="Z64" s="3106">
        <v>72224</v>
      </c>
      <c r="AA64" s="3106">
        <v>27477</v>
      </c>
      <c r="AB64" s="3106">
        <v>86843</v>
      </c>
      <c r="AC64" s="3106">
        <v>236429</v>
      </c>
      <c r="AD64" s="3106">
        <v>81384</v>
      </c>
      <c r="AE64" s="3106">
        <v>13208</v>
      </c>
      <c r="AF64" s="3106">
        <v>2145</v>
      </c>
      <c r="AG64" s="3106">
        <v>413</v>
      </c>
      <c r="AH64" s="3106">
        <v>520</v>
      </c>
      <c r="AI64" s="3106">
        <v>16897</v>
      </c>
      <c r="AJ64" s="3106">
        <v>75612</v>
      </c>
      <c r="AK64" s="3116">
        <v>42948</v>
      </c>
      <c r="AL64" s="3116">
        <v>43100</v>
      </c>
      <c r="AM64" s="3118" t="s">
        <v>797</v>
      </c>
      <c r="AN64" s="1251"/>
    </row>
    <row r="65" spans="1:45" s="1205" customFormat="1" ht="42.75" x14ac:dyDescent="0.2">
      <c r="A65" s="1293"/>
      <c r="B65" s="1294"/>
      <c r="C65" s="1295"/>
      <c r="D65" s="1294"/>
      <c r="E65" s="1294"/>
      <c r="F65" s="1295"/>
      <c r="G65" s="1293"/>
      <c r="H65" s="1294"/>
      <c r="I65" s="1295"/>
      <c r="J65" s="3054"/>
      <c r="K65" s="3051"/>
      <c r="L65" s="3054"/>
      <c r="M65" s="3054"/>
      <c r="N65" s="1298"/>
      <c r="O65" s="3054"/>
      <c r="P65" s="3030"/>
      <c r="Q65" s="3126"/>
      <c r="R65" s="3129"/>
      <c r="S65" s="3051"/>
      <c r="T65" s="3030"/>
      <c r="U65" s="1276" t="s">
        <v>840</v>
      </c>
      <c r="V65" s="1250">
        <v>48262544</v>
      </c>
      <c r="W65" s="1299"/>
      <c r="X65" s="1298"/>
      <c r="Y65" s="3107"/>
      <c r="Z65" s="3107"/>
      <c r="AA65" s="3107"/>
      <c r="AB65" s="3107"/>
      <c r="AC65" s="3107"/>
      <c r="AD65" s="3107"/>
      <c r="AE65" s="3107"/>
      <c r="AF65" s="3107"/>
      <c r="AG65" s="3107"/>
      <c r="AH65" s="3107"/>
      <c r="AI65" s="3107"/>
      <c r="AJ65" s="3107"/>
      <c r="AK65" s="3117"/>
      <c r="AL65" s="3117"/>
      <c r="AM65" s="3119"/>
      <c r="AN65" s="1252"/>
    </row>
    <row r="66" spans="1:45" s="1205" customFormat="1" ht="57" x14ac:dyDescent="0.2">
      <c r="A66" s="1293"/>
      <c r="B66" s="1294"/>
      <c r="C66" s="1295"/>
      <c r="D66" s="1294"/>
      <c r="E66" s="1294"/>
      <c r="F66" s="1295"/>
      <c r="G66" s="1293"/>
      <c r="H66" s="1294"/>
      <c r="I66" s="1295"/>
      <c r="J66" s="3054"/>
      <c r="K66" s="3051"/>
      <c r="L66" s="3054"/>
      <c r="M66" s="3054"/>
      <c r="N66" s="1298" t="s">
        <v>841</v>
      </c>
      <c r="O66" s="3054"/>
      <c r="P66" s="3030"/>
      <c r="Q66" s="3126"/>
      <c r="R66" s="3129"/>
      <c r="S66" s="3051"/>
      <c r="T66" s="3030"/>
      <c r="U66" s="1276" t="s">
        <v>842</v>
      </c>
      <c r="V66" s="1250">
        <v>48262544</v>
      </c>
      <c r="W66" s="1299">
        <v>111</v>
      </c>
      <c r="X66" s="1298" t="s">
        <v>843</v>
      </c>
      <c r="Y66" s="3107"/>
      <c r="Z66" s="3107"/>
      <c r="AA66" s="3107"/>
      <c r="AB66" s="3107"/>
      <c r="AC66" s="3107"/>
      <c r="AD66" s="3107"/>
      <c r="AE66" s="3107"/>
      <c r="AF66" s="3107"/>
      <c r="AG66" s="3107"/>
      <c r="AH66" s="3107"/>
      <c r="AI66" s="3107"/>
      <c r="AJ66" s="3107"/>
      <c r="AK66" s="3117"/>
      <c r="AL66" s="3117"/>
      <c r="AM66" s="3119"/>
      <c r="AN66" s="1252"/>
    </row>
    <row r="67" spans="1:45" s="1205" customFormat="1" ht="85.5" x14ac:dyDescent="0.2">
      <c r="A67" s="1293"/>
      <c r="B67" s="1294"/>
      <c r="C67" s="1295"/>
      <c r="D67" s="1294"/>
      <c r="E67" s="1294"/>
      <c r="F67" s="1295"/>
      <c r="G67" s="1293"/>
      <c r="H67" s="1294"/>
      <c r="I67" s="1295"/>
      <c r="J67" s="3054"/>
      <c r="K67" s="3051"/>
      <c r="L67" s="3054"/>
      <c r="M67" s="3054"/>
      <c r="N67" s="1298" t="s">
        <v>844</v>
      </c>
      <c r="O67" s="3054"/>
      <c r="P67" s="3030"/>
      <c r="Q67" s="3126"/>
      <c r="R67" s="3129"/>
      <c r="S67" s="3051"/>
      <c r="T67" s="3030"/>
      <c r="U67" s="1276" t="s">
        <v>845</v>
      </c>
      <c r="V67" s="1250">
        <v>48262544</v>
      </c>
      <c r="W67" s="1299">
        <v>118</v>
      </c>
      <c r="X67" s="1298" t="s">
        <v>846</v>
      </c>
      <c r="Y67" s="3107"/>
      <c r="Z67" s="3107"/>
      <c r="AA67" s="3107"/>
      <c r="AB67" s="3107"/>
      <c r="AC67" s="3107"/>
      <c r="AD67" s="3107"/>
      <c r="AE67" s="3107"/>
      <c r="AF67" s="3107"/>
      <c r="AG67" s="3107"/>
      <c r="AH67" s="3107"/>
      <c r="AI67" s="3107"/>
      <c r="AJ67" s="3107"/>
      <c r="AK67" s="3117"/>
      <c r="AL67" s="3117"/>
      <c r="AM67" s="3119"/>
      <c r="AN67" s="1252"/>
    </row>
    <row r="68" spans="1:45" s="1205" customFormat="1" ht="99.75" x14ac:dyDescent="0.2">
      <c r="A68" s="1293"/>
      <c r="B68" s="1294"/>
      <c r="C68" s="1295"/>
      <c r="D68" s="1294"/>
      <c r="E68" s="1294"/>
      <c r="F68" s="1295"/>
      <c r="G68" s="1293"/>
      <c r="H68" s="1294"/>
      <c r="I68" s="1295"/>
      <c r="J68" s="3055"/>
      <c r="K68" s="3059"/>
      <c r="L68" s="3055"/>
      <c r="M68" s="3055"/>
      <c r="N68" s="1298" t="s">
        <v>847</v>
      </c>
      <c r="O68" s="3054"/>
      <c r="P68" s="3030"/>
      <c r="Q68" s="3127"/>
      <c r="R68" s="3129"/>
      <c r="S68" s="3051"/>
      <c r="T68" s="3031"/>
      <c r="U68" s="1276" t="s">
        <v>848</v>
      </c>
      <c r="V68" s="1250">
        <v>48262544</v>
      </c>
      <c r="W68" s="1299">
        <v>61</v>
      </c>
      <c r="X68" s="1298" t="s">
        <v>739</v>
      </c>
      <c r="Y68" s="3107"/>
      <c r="Z68" s="3107"/>
      <c r="AA68" s="3107"/>
      <c r="AB68" s="3107"/>
      <c r="AC68" s="3107"/>
      <c r="AD68" s="3107"/>
      <c r="AE68" s="3107"/>
      <c r="AF68" s="3107"/>
      <c r="AG68" s="3107"/>
      <c r="AH68" s="3107"/>
      <c r="AI68" s="3107"/>
      <c r="AJ68" s="3107"/>
      <c r="AK68" s="3117"/>
      <c r="AL68" s="3117"/>
      <c r="AM68" s="3119"/>
      <c r="AN68" s="1252"/>
    </row>
    <row r="69" spans="1:45" s="1205" customFormat="1" ht="71.25" x14ac:dyDescent="0.2">
      <c r="A69" s="1293"/>
      <c r="B69" s="1294"/>
      <c r="C69" s="1295"/>
      <c r="D69" s="1294"/>
      <c r="E69" s="1294"/>
      <c r="F69" s="1295"/>
      <c r="G69" s="1293"/>
      <c r="H69" s="1294"/>
      <c r="I69" s="1295"/>
      <c r="J69" s="1296">
        <v>145</v>
      </c>
      <c r="K69" s="1300" t="s">
        <v>849</v>
      </c>
      <c r="L69" s="1296" t="s">
        <v>287</v>
      </c>
      <c r="M69" s="1296">
        <v>1</v>
      </c>
      <c r="N69" s="1301"/>
      <c r="O69" s="3055"/>
      <c r="P69" s="3030"/>
      <c r="Q69" s="1302">
        <f>V69/R64</f>
        <v>0.16748903308227231</v>
      </c>
      <c r="R69" s="3129"/>
      <c r="S69" s="3051"/>
      <c r="T69" s="1303" t="s">
        <v>850</v>
      </c>
      <c r="U69" s="1287" t="s">
        <v>851</v>
      </c>
      <c r="V69" s="1250">
        <f>48395538+40000000</f>
        <v>88395538</v>
      </c>
      <c r="W69" s="1299"/>
      <c r="X69" s="1298"/>
      <c r="Y69" s="3107"/>
      <c r="Z69" s="3107"/>
      <c r="AA69" s="3107"/>
      <c r="AB69" s="3107"/>
      <c r="AC69" s="3107"/>
      <c r="AD69" s="3107"/>
      <c r="AE69" s="3107"/>
      <c r="AF69" s="3107"/>
      <c r="AG69" s="3107"/>
      <c r="AH69" s="3107"/>
      <c r="AI69" s="3107"/>
      <c r="AJ69" s="3107"/>
      <c r="AK69" s="3117"/>
      <c r="AL69" s="3117"/>
      <c r="AM69" s="3119"/>
      <c r="AN69" s="1251"/>
    </row>
    <row r="70" spans="1:45" s="1205" customFormat="1" ht="51" customHeight="1" x14ac:dyDescent="0.2">
      <c r="A70" s="1293"/>
      <c r="B70" s="1294"/>
      <c r="C70" s="1295"/>
      <c r="D70" s="1294"/>
      <c r="E70" s="1294"/>
      <c r="F70" s="1295"/>
      <c r="G70" s="1293"/>
      <c r="H70" s="1294"/>
      <c r="I70" s="1295"/>
      <c r="J70" s="3053">
        <v>146</v>
      </c>
      <c r="K70" s="3050" t="s">
        <v>852</v>
      </c>
      <c r="L70" s="3053" t="s">
        <v>287</v>
      </c>
      <c r="M70" s="3053">
        <v>1</v>
      </c>
      <c r="N70" s="1296"/>
      <c r="O70" s="3053">
        <v>142</v>
      </c>
      <c r="P70" s="3029" t="s">
        <v>853</v>
      </c>
      <c r="Q70" s="3125">
        <v>1</v>
      </c>
      <c r="R70" s="3128">
        <f>SUM(V70:V78)</f>
        <v>253647465</v>
      </c>
      <c r="S70" s="3050" t="s">
        <v>854</v>
      </c>
      <c r="T70" s="3029" t="s">
        <v>855</v>
      </c>
      <c r="U70" s="1276" t="s">
        <v>856</v>
      </c>
      <c r="V70" s="1304">
        <f>48000000+61389691</f>
        <v>109389691</v>
      </c>
      <c r="W70" s="1297"/>
      <c r="X70" s="1296"/>
      <c r="Y70" s="3035">
        <v>64149</v>
      </c>
      <c r="Z70" s="3035">
        <v>72224</v>
      </c>
      <c r="AA70" s="3035">
        <v>27477</v>
      </c>
      <c r="AB70" s="3035">
        <v>86843</v>
      </c>
      <c r="AC70" s="3035">
        <v>236429</v>
      </c>
      <c r="AD70" s="3035">
        <v>81384</v>
      </c>
      <c r="AE70" s="3035">
        <v>13208</v>
      </c>
      <c r="AF70" s="3035">
        <v>2145</v>
      </c>
      <c r="AG70" s="3035">
        <v>413</v>
      </c>
      <c r="AH70" s="3035">
        <v>520</v>
      </c>
      <c r="AI70" s="3035">
        <v>16897</v>
      </c>
      <c r="AJ70" s="3122">
        <v>75612</v>
      </c>
      <c r="AK70" s="3120">
        <v>42948</v>
      </c>
      <c r="AL70" s="3120">
        <v>43100</v>
      </c>
      <c r="AM70" s="3121" t="s">
        <v>797</v>
      </c>
    </row>
    <row r="71" spans="1:45" s="1205" customFormat="1" ht="39" customHeight="1" x14ac:dyDescent="0.2">
      <c r="A71" s="1293"/>
      <c r="B71" s="1294"/>
      <c r="C71" s="1295"/>
      <c r="D71" s="1294"/>
      <c r="E71" s="1294"/>
      <c r="F71" s="1295"/>
      <c r="G71" s="1293"/>
      <c r="H71" s="1294"/>
      <c r="I71" s="1295"/>
      <c r="J71" s="3054"/>
      <c r="K71" s="3051"/>
      <c r="L71" s="3054"/>
      <c r="M71" s="3054"/>
      <c r="N71" s="1298"/>
      <c r="O71" s="3054"/>
      <c r="P71" s="3030"/>
      <c r="Q71" s="3126"/>
      <c r="R71" s="3129"/>
      <c r="S71" s="3051"/>
      <c r="T71" s="3030"/>
      <c r="U71" s="1276" t="s">
        <v>857</v>
      </c>
      <c r="V71" s="1304">
        <v>16500000</v>
      </c>
      <c r="W71" s="1299"/>
      <c r="X71" s="1298"/>
      <c r="Y71" s="3036"/>
      <c r="Z71" s="3036"/>
      <c r="AA71" s="3036"/>
      <c r="AB71" s="3036"/>
      <c r="AC71" s="3036"/>
      <c r="AD71" s="3036"/>
      <c r="AE71" s="3036"/>
      <c r="AF71" s="3036"/>
      <c r="AG71" s="3036"/>
      <c r="AH71" s="3036"/>
      <c r="AI71" s="3036"/>
      <c r="AJ71" s="3123"/>
      <c r="AK71" s="3120"/>
      <c r="AL71" s="3120"/>
      <c r="AM71" s="3121"/>
    </row>
    <row r="72" spans="1:45" s="1205" customFormat="1" ht="64.5" customHeight="1" x14ac:dyDescent="0.2">
      <c r="A72" s="1293"/>
      <c r="B72" s="1294"/>
      <c r="C72" s="1295"/>
      <c r="D72" s="1294"/>
      <c r="E72" s="1294"/>
      <c r="F72" s="1295"/>
      <c r="G72" s="1293"/>
      <c r="H72" s="1294"/>
      <c r="I72" s="1295"/>
      <c r="J72" s="3054"/>
      <c r="K72" s="3051"/>
      <c r="L72" s="3054"/>
      <c r="M72" s="3054"/>
      <c r="N72" s="1298"/>
      <c r="O72" s="3054"/>
      <c r="P72" s="3030"/>
      <c r="Q72" s="3126"/>
      <c r="R72" s="3129"/>
      <c r="S72" s="3051"/>
      <c r="T72" s="3030"/>
      <c r="U72" s="1276" t="s">
        <v>858</v>
      </c>
      <c r="V72" s="1304">
        <v>36000000</v>
      </c>
      <c r="W72" s="1299"/>
      <c r="X72" s="1298"/>
      <c r="Y72" s="3036"/>
      <c r="Z72" s="3036"/>
      <c r="AA72" s="3036"/>
      <c r="AB72" s="3036"/>
      <c r="AC72" s="3036"/>
      <c r="AD72" s="3036"/>
      <c r="AE72" s="3036"/>
      <c r="AF72" s="3036"/>
      <c r="AG72" s="3036"/>
      <c r="AH72" s="3036"/>
      <c r="AI72" s="3036"/>
      <c r="AJ72" s="3123"/>
      <c r="AK72" s="3120"/>
      <c r="AL72" s="3120"/>
      <c r="AM72" s="3121"/>
    </row>
    <row r="73" spans="1:45" s="1205" customFormat="1" ht="65.25" customHeight="1" x14ac:dyDescent="0.2">
      <c r="A73" s="1293"/>
      <c r="B73" s="1294"/>
      <c r="C73" s="1295"/>
      <c r="D73" s="1294"/>
      <c r="E73" s="1294"/>
      <c r="F73" s="1295"/>
      <c r="G73" s="1293"/>
      <c r="H73" s="1294"/>
      <c r="I73" s="1295"/>
      <c r="J73" s="3054"/>
      <c r="K73" s="3051"/>
      <c r="L73" s="3054"/>
      <c r="M73" s="3054"/>
      <c r="N73" s="1298"/>
      <c r="O73" s="3054"/>
      <c r="P73" s="3030"/>
      <c r="Q73" s="3126"/>
      <c r="R73" s="3129"/>
      <c r="S73" s="3051"/>
      <c r="T73" s="3031"/>
      <c r="U73" s="1276" t="s">
        <v>859</v>
      </c>
      <c r="V73" s="1304">
        <v>10000000</v>
      </c>
      <c r="W73" s="1299"/>
      <c r="X73" s="1298"/>
      <c r="Y73" s="3036"/>
      <c r="Z73" s="3036"/>
      <c r="AA73" s="3036"/>
      <c r="AB73" s="3036"/>
      <c r="AC73" s="3036"/>
      <c r="AD73" s="3036"/>
      <c r="AE73" s="3036"/>
      <c r="AF73" s="3036"/>
      <c r="AG73" s="3036"/>
      <c r="AH73" s="3036"/>
      <c r="AI73" s="3036"/>
      <c r="AJ73" s="3123"/>
      <c r="AK73" s="3120"/>
      <c r="AL73" s="3120"/>
      <c r="AM73" s="3121"/>
    </row>
    <row r="74" spans="1:45" s="1205" customFormat="1" ht="56.25" customHeight="1" x14ac:dyDescent="0.2">
      <c r="A74" s="1293"/>
      <c r="B74" s="1294"/>
      <c r="C74" s="1295"/>
      <c r="D74" s="1294"/>
      <c r="E74" s="1294"/>
      <c r="F74" s="1295"/>
      <c r="G74" s="1293"/>
      <c r="H74" s="1294"/>
      <c r="I74" s="1295"/>
      <c r="J74" s="3054"/>
      <c r="K74" s="3051"/>
      <c r="L74" s="3054"/>
      <c r="M74" s="3054"/>
      <c r="N74" s="1298" t="s">
        <v>860</v>
      </c>
      <c r="O74" s="3054"/>
      <c r="P74" s="3030"/>
      <c r="Q74" s="3126"/>
      <c r="R74" s="3129"/>
      <c r="S74" s="3051"/>
      <c r="T74" s="3029" t="s">
        <v>861</v>
      </c>
      <c r="U74" s="1276" t="s">
        <v>862</v>
      </c>
      <c r="V74" s="1304">
        <v>10800000</v>
      </c>
      <c r="W74" s="1299">
        <v>113</v>
      </c>
      <c r="X74" s="1298" t="s">
        <v>863</v>
      </c>
      <c r="Y74" s="3036"/>
      <c r="Z74" s="3036"/>
      <c r="AA74" s="3036"/>
      <c r="AB74" s="3036"/>
      <c r="AC74" s="3036"/>
      <c r="AD74" s="3036"/>
      <c r="AE74" s="3036"/>
      <c r="AF74" s="3036"/>
      <c r="AG74" s="3036"/>
      <c r="AH74" s="3036"/>
      <c r="AI74" s="3036"/>
      <c r="AJ74" s="3123"/>
      <c r="AK74" s="3120"/>
      <c r="AL74" s="3120"/>
      <c r="AM74" s="3121"/>
    </row>
    <row r="75" spans="1:45" s="1205" customFormat="1" ht="95.25" customHeight="1" x14ac:dyDescent="0.2">
      <c r="A75" s="1293"/>
      <c r="B75" s="1294"/>
      <c r="C75" s="1295"/>
      <c r="D75" s="1294"/>
      <c r="E75" s="1294"/>
      <c r="F75" s="1295"/>
      <c r="G75" s="1293"/>
      <c r="H75" s="1294"/>
      <c r="I75" s="1295"/>
      <c r="J75" s="3054"/>
      <c r="K75" s="3051"/>
      <c r="L75" s="3054"/>
      <c r="M75" s="3054"/>
      <c r="N75" s="1298" t="s">
        <v>864</v>
      </c>
      <c r="O75" s="3054"/>
      <c r="P75" s="3030"/>
      <c r="Q75" s="3126"/>
      <c r="R75" s="3129"/>
      <c r="S75" s="3051"/>
      <c r="T75" s="3030"/>
      <c r="U75" s="1276" t="s">
        <v>865</v>
      </c>
      <c r="V75" s="1304">
        <v>20000000</v>
      </c>
      <c r="W75" s="1299">
        <v>114</v>
      </c>
      <c r="X75" s="1305" t="s">
        <v>866</v>
      </c>
      <c r="Y75" s="3036"/>
      <c r="Z75" s="3036"/>
      <c r="AA75" s="3036"/>
      <c r="AB75" s="3036"/>
      <c r="AC75" s="3036"/>
      <c r="AD75" s="3036"/>
      <c r="AE75" s="3036"/>
      <c r="AF75" s="3036"/>
      <c r="AG75" s="3036"/>
      <c r="AH75" s="3036"/>
      <c r="AI75" s="3036"/>
      <c r="AJ75" s="3123"/>
      <c r="AK75" s="3120"/>
      <c r="AL75" s="3120"/>
      <c r="AM75" s="3121"/>
    </row>
    <row r="76" spans="1:45" s="1205" customFormat="1" ht="68.25" customHeight="1" x14ac:dyDescent="0.2">
      <c r="A76" s="1293"/>
      <c r="B76" s="1294"/>
      <c r="C76" s="1295"/>
      <c r="D76" s="1294"/>
      <c r="E76" s="1294"/>
      <c r="F76" s="1295"/>
      <c r="G76" s="1293"/>
      <c r="H76" s="1294"/>
      <c r="I76" s="1295"/>
      <c r="J76" s="3054"/>
      <c r="K76" s="3051"/>
      <c r="L76" s="3054"/>
      <c r="M76" s="3054"/>
      <c r="N76" s="1298" t="s">
        <v>867</v>
      </c>
      <c r="O76" s="3054"/>
      <c r="P76" s="3030"/>
      <c r="Q76" s="3126"/>
      <c r="R76" s="3129"/>
      <c r="S76" s="3051"/>
      <c r="T76" s="3031"/>
      <c r="U76" s="1276" t="s">
        <v>868</v>
      </c>
      <c r="V76" s="1304">
        <v>957774</v>
      </c>
      <c r="W76" s="1299">
        <v>61</v>
      </c>
      <c r="X76" s="1298" t="s">
        <v>739</v>
      </c>
      <c r="Y76" s="3036"/>
      <c r="Z76" s="3036"/>
      <c r="AA76" s="3036"/>
      <c r="AB76" s="3036"/>
      <c r="AC76" s="3036"/>
      <c r="AD76" s="3036"/>
      <c r="AE76" s="3036"/>
      <c r="AF76" s="3036"/>
      <c r="AG76" s="3036"/>
      <c r="AH76" s="3036"/>
      <c r="AI76" s="3036"/>
      <c r="AJ76" s="3123"/>
      <c r="AK76" s="3120"/>
      <c r="AL76" s="3120"/>
      <c r="AM76" s="3121"/>
    </row>
    <row r="77" spans="1:45" s="1205" customFormat="1" ht="58.5" customHeight="1" x14ac:dyDescent="0.2">
      <c r="A77" s="1293"/>
      <c r="B77" s="1294"/>
      <c r="C77" s="1295"/>
      <c r="D77" s="1294"/>
      <c r="E77" s="1294"/>
      <c r="F77" s="1295"/>
      <c r="G77" s="1293"/>
      <c r="H77" s="1294"/>
      <c r="I77" s="1295"/>
      <c r="J77" s="3054"/>
      <c r="K77" s="3051"/>
      <c r="L77" s="3054"/>
      <c r="M77" s="3054"/>
      <c r="N77" s="1298"/>
      <c r="O77" s="3054"/>
      <c r="P77" s="3030"/>
      <c r="Q77" s="3126"/>
      <c r="R77" s="3129"/>
      <c r="S77" s="3051"/>
      <c r="T77" s="3029" t="s">
        <v>869</v>
      </c>
      <c r="U77" s="1276" t="s">
        <v>870</v>
      </c>
      <c r="V77" s="1304">
        <v>20000000</v>
      </c>
      <c r="W77" s="1299"/>
      <c r="X77" s="1298"/>
      <c r="Y77" s="3036"/>
      <c r="Z77" s="3036"/>
      <c r="AA77" s="3036"/>
      <c r="AB77" s="3036"/>
      <c r="AC77" s="3036"/>
      <c r="AD77" s="3036"/>
      <c r="AE77" s="3036"/>
      <c r="AF77" s="3036"/>
      <c r="AG77" s="3036"/>
      <c r="AH77" s="3036"/>
      <c r="AI77" s="3036"/>
      <c r="AJ77" s="3123"/>
      <c r="AK77" s="3120"/>
      <c r="AL77" s="3120"/>
      <c r="AM77" s="3121"/>
    </row>
    <row r="78" spans="1:45" s="1205" customFormat="1" ht="74.25" customHeight="1" x14ac:dyDescent="0.2">
      <c r="A78" s="1293"/>
      <c r="B78" s="1294"/>
      <c r="C78" s="1295"/>
      <c r="D78" s="1294"/>
      <c r="E78" s="1294"/>
      <c r="F78" s="1295"/>
      <c r="G78" s="1306"/>
      <c r="H78" s="1307"/>
      <c r="I78" s="1308"/>
      <c r="J78" s="3055"/>
      <c r="K78" s="3059"/>
      <c r="L78" s="3055"/>
      <c r="M78" s="3055"/>
      <c r="N78" s="1301"/>
      <c r="O78" s="3055"/>
      <c r="P78" s="3031"/>
      <c r="Q78" s="3127"/>
      <c r="R78" s="3130"/>
      <c r="S78" s="3059"/>
      <c r="T78" s="3031"/>
      <c r="U78" s="1276" t="s">
        <v>871</v>
      </c>
      <c r="V78" s="1304">
        <v>30000000</v>
      </c>
      <c r="W78" s="1309"/>
      <c r="X78" s="1301"/>
      <c r="Y78" s="3037"/>
      <c r="Z78" s="3037"/>
      <c r="AA78" s="3037"/>
      <c r="AB78" s="3037"/>
      <c r="AC78" s="3037"/>
      <c r="AD78" s="3037"/>
      <c r="AE78" s="3037"/>
      <c r="AF78" s="3037"/>
      <c r="AG78" s="3037"/>
      <c r="AH78" s="3037"/>
      <c r="AI78" s="3037"/>
      <c r="AJ78" s="3124"/>
      <c r="AK78" s="3120"/>
      <c r="AL78" s="3120"/>
      <c r="AM78" s="3121"/>
    </row>
    <row r="79" spans="1:45" s="1269" customFormat="1" ht="38.25" customHeight="1" x14ac:dyDescent="0.2">
      <c r="A79" s="1227"/>
      <c r="B79" s="1228"/>
      <c r="C79" s="1229"/>
      <c r="D79" s="1228"/>
      <c r="E79" s="1228"/>
      <c r="F79" s="1229"/>
      <c r="G79" s="1264">
        <v>41</v>
      </c>
      <c r="H79" s="1233" t="s">
        <v>872</v>
      </c>
      <c r="I79" s="1233"/>
      <c r="J79" s="1233"/>
      <c r="K79" s="1234"/>
      <c r="L79" s="1233"/>
      <c r="M79" s="1233"/>
      <c r="N79" s="1235"/>
      <c r="O79" s="1233"/>
      <c r="P79" s="1234"/>
      <c r="Q79" s="1233"/>
      <c r="R79" s="1233"/>
      <c r="S79" s="1233"/>
      <c r="T79" s="1234"/>
      <c r="U79" s="1234"/>
      <c r="V79" s="1236"/>
      <c r="W79" s="1265"/>
      <c r="X79" s="1235"/>
      <c r="Y79" s="1235"/>
      <c r="Z79" s="1235"/>
      <c r="AA79" s="1235"/>
      <c r="AB79" s="1235"/>
      <c r="AC79" s="1235"/>
      <c r="AD79" s="1235"/>
      <c r="AE79" s="1235"/>
      <c r="AF79" s="1235"/>
      <c r="AG79" s="1235"/>
      <c r="AH79" s="1235"/>
      <c r="AI79" s="1235"/>
      <c r="AJ79" s="1235"/>
      <c r="AK79" s="1233"/>
      <c r="AL79" s="1233"/>
      <c r="AM79" s="1266"/>
      <c r="AN79" s="1217"/>
      <c r="AO79" s="1217"/>
      <c r="AP79" s="1217"/>
      <c r="AQ79" s="1217"/>
      <c r="AR79" s="1217"/>
      <c r="AS79" s="1217"/>
    </row>
    <row r="80" spans="1:45" ht="68.25" customHeight="1" x14ac:dyDescent="0.2">
      <c r="A80" s="1239"/>
      <c r="B80" s="1240"/>
      <c r="C80" s="1241"/>
      <c r="D80" s="1240"/>
      <c r="E80" s="1240"/>
      <c r="F80" s="1241"/>
      <c r="G80" s="1242"/>
      <c r="H80" s="1243"/>
      <c r="I80" s="1244"/>
      <c r="J80" s="3026">
        <v>147</v>
      </c>
      <c r="K80" s="3029" t="s">
        <v>873</v>
      </c>
      <c r="L80" s="3026" t="s">
        <v>287</v>
      </c>
      <c r="M80" s="3026">
        <v>14</v>
      </c>
      <c r="N80" s="3026" t="s">
        <v>874</v>
      </c>
      <c r="O80" s="3026">
        <v>143</v>
      </c>
      <c r="P80" s="3029" t="s">
        <v>875</v>
      </c>
      <c r="Q80" s="3032">
        <f>(V80+V81+V82)/R80</f>
        <v>0.5</v>
      </c>
      <c r="R80" s="3039">
        <v>10300000</v>
      </c>
      <c r="S80" s="3029" t="s">
        <v>876</v>
      </c>
      <c r="T80" s="3029" t="s">
        <v>877</v>
      </c>
      <c r="U80" s="1267" t="s">
        <v>878</v>
      </c>
      <c r="V80" s="1304">
        <v>2000000</v>
      </c>
      <c r="W80" s="3062">
        <v>61</v>
      </c>
      <c r="X80" s="3026" t="s">
        <v>739</v>
      </c>
      <c r="Y80" s="3035">
        <f t="shared" ref="Y80:AJ80" si="1">Y70</f>
        <v>64149</v>
      </c>
      <c r="Z80" s="3035">
        <f t="shared" si="1"/>
        <v>72224</v>
      </c>
      <c r="AA80" s="3035">
        <f t="shared" si="1"/>
        <v>27477</v>
      </c>
      <c r="AB80" s="3035">
        <f t="shared" si="1"/>
        <v>86843</v>
      </c>
      <c r="AC80" s="3035">
        <f t="shared" si="1"/>
        <v>236429</v>
      </c>
      <c r="AD80" s="3035">
        <f t="shared" si="1"/>
        <v>81384</v>
      </c>
      <c r="AE80" s="3035">
        <f t="shared" si="1"/>
        <v>13208</v>
      </c>
      <c r="AF80" s="3035">
        <f t="shared" si="1"/>
        <v>2145</v>
      </c>
      <c r="AG80" s="3035">
        <f t="shared" si="1"/>
        <v>413</v>
      </c>
      <c r="AH80" s="3035">
        <f t="shared" si="1"/>
        <v>520</v>
      </c>
      <c r="AI80" s="3035">
        <f t="shared" si="1"/>
        <v>16897</v>
      </c>
      <c r="AJ80" s="3035">
        <f t="shared" si="1"/>
        <v>75612</v>
      </c>
      <c r="AK80" s="3020">
        <v>42948</v>
      </c>
      <c r="AL80" s="3020">
        <v>43100</v>
      </c>
      <c r="AM80" s="3023" t="s">
        <v>797</v>
      </c>
    </row>
    <row r="81" spans="1:45" ht="84" customHeight="1" x14ac:dyDescent="0.2">
      <c r="A81" s="1239"/>
      <c r="B81" s="1240"/>
      <c r="C81" s="1241"/>
      <c r="D81" s="1240"/>
      <c r="E81" s="1240"/>
      <c r="F81" s="1241"/>
      <c r="G81" s="1239"/>
      <c r="H81" s="1240"/>
      <c r="I81" s="1241"/>
      <c r="J81" s="3027"/>
      <c r="K81" s="3030"/>
      <c r="L81" s="3027"/>
      <c r="M81" s="3027"/>
      <c r="N81" s="3027"/>
      <c r="O81" s="3027"/>
      <c r="P81" s="3030"/>
      <c r="Q81" s="3033"/>
      <c r="R81" s="3040"/>
      <c r="S81" s="3030"/>
      <c r="T81" s="3030"/>
      <c r="U81" s="1267" t="s">
        <v>879</v>
      </c>
      <c r="V81" s="1304">
        <v>2000000</v>
      </c>
      <c r="W81" s="3063"/>
      <c r="X81" s="3027"/>
      <c r="Y81" s="3036"/>
      <c r="Z81" s="3036"/>
      <c r="AA81" s="3036"/>
      <c r="AB81" s="3036"/>
      <c r="AC81" s="3036"/>
      <c r="AD81" s="3036"/>
      <c r="AE81" s="3036"/>
      <c r="AF81" s="3036"/>
      <c r="AG81" s="3036"/>
      <c r="AH81" s="3036"/>
      <c r="AI81" s="3036"/>
      <c r="AJ81" s="3036"/>
      <c r="AK81" s="3021"/>
      <c r="AL81" s="3021"/>
      <c r="AM81" s="3024"/>
    </row>
    <row r="82" spans="1:45" ht="81.75" customHeight="1" x14ac:dyDescent="0.2">
      <c r="A82" s="1239"/>
      <c r="B82" s="1240"/>
      <c r="C82" s="1241"/>
      <c r="D82" s="1240"/>
      <c r="E82" s="1240"/>
      <c r="F82" s="1241"/>
      <c r="G82" s="1239"/>
      <c r="H82" s="1240"/>
      <c r="I82" s="1241"/>
      <c r="J82" s="3028"/>
      <c r="K82" s="3031"/>
      <c r="L82" s="3028"/>
      <c r="M82" s="3028"/>
      <c r="N82" s="3027"/>
      <c r="O82" s="3027"/>
      <c r="P82" s="3030"/>
      <c r="Q82" s="3034"/>
      <c r="R82" s="3040"/>
      <c r="S82" s="3030"/>
      <c r="T82" s="3031"/>
      <c r="U82" s="1267" t="s">
        <v>880</v>
      </c>
      <c r="V82" s="1304">
        <v>1150000</v>
      </c>
      <c r="W82" s="3063"/>
      <c r="X82" s="3027"/>
      <c r="Y82" s="3036"/>
      <c r="Z82" s="3036"/>
      <c r="AA82" s="3036"/>
      <c r="AB82" s="3036"/>
      <c r="AC82" s="3036"/>
      <c r="AD82" s="3036"/>
      <c r="AE82" s="3036"/>
      <c r="AF82" s="3036"/>
      <c r="AG82" s="3036"/>
      <c r="AH82" s="3036"/>
      <c r="AI82" s="3036"/>
      <c r="AJ82" s="3036"/>
      <c r="AK82" s="3021"/>
      <c r="AL82" s="3021"/>
      <c r="AM82" s="3024"/>
    </row>
    <row r="83" spans="1:45" ht="88.5" customHeight="1" x14ac:dyDescent="0.2">
      <c r="A83" s="1239"/>
      <c r="B83" s="1240"/>
      <c r="C83" s="1241"/>
      <c r="D83" s="1240"/>
      <c r="E83" s="1240"/>
      <c r="F83" s="1241"/>
      <c r="G83" s="1239"/>
      <c r="H83" s="1240"/>
      <c r="I83" s="1241"/>
      <c r="J83" s="3026">
        <v>148</v>
      </c>
      <c r="K83" s="3029" t="s">
        <v>881</v>
      </c>
      <c r="L83" s="3026" t="s">
        <v>287</v>
      </c>
      <c r="M83" s="3026">
        <v>11</v>
      </c>
      <c r="N83" s="3027"/>
      <c r="O83" s="3027"/>
      <c r="P83" s="3030"/>
      <c r="Q83" s="3032">
        <f>(V83+V84+V85+V86)/R80</f>
        <v>0.5</v>
      </c>
      <c r="R83" s="3040"/>
      <c r="S83" s="3030"/>
      <c r="T83" s="3029" t="s">
        <v>882</v>
      </c>
      <c r="U83" s="1267" t="s">
        <v>883</v>
      </c>
      <c r="V83" s="1304">
        <v>3000000</v>
      </c>
      <c r="W83" s="3063"/>
      <c r="X83" s="3027"/>
      <c r="Y83" s="3036"/>
      <c r="Z83" s="3036"/>
      <c r="AA83" s="3036"/>
      <c r="AB83" s="3036"/>
      <c r="AC83" s="3036"/>
      <c r="AD83" s="3036"/>
      <c r="AE83" s="3036"/>
      <c r="AF83" s="3036"/>
      <c r="AG83" s="3036"/>
      <c r="AH83" s="3036"/>
      <c r="AI83" s="3036"/>
      <c r="AJ83" s="3036"/>
      <c r="AK83" s="3021"/>
      <c r="AL83" s="3021"/>
      <c r="AM83" s="3024"/>
    </row>
    <row r="84" spans="1:45" ht="67.5" customHeight="1" x14ac:dyDescent="0.2">
      <c r="A84" s="1239"/>
      <c r="B84" s="1240"/>
      <c r="C84" s="1241"/>
      <c r="D84" s="1240"/>
      <c r="E84" s="1240"/>
      <c r="F84" s="1241"/>
      <c r="G84" s="1239"/>
      <c r="H84" s="1240"/>
      <c r="I84" s="1241"/>
      <c r="J84" s="3027"/>
      <c r="K84" s="3030"/>
      <c r="L84" s="3027"/>
      <c r="M84" s="3027"/>
      <c r="N84" s="3027"/>
      <c r="O84" s="3027"/>
      <c r="P84" s="3030"/>
      <c r="Q84" s="3033"/>
      <c r="R84" s="3040"/>
      <c r="S84" s="3030"/>
      <c r="T84" s="3030"/>
      <c r="U84" s="1267" t="s">
        <v>884</v>
      </c>
      <c r="V84" s="1304">
        <v>500000</v>
      </c>
      <c r="W84" s="3063"/>
      <c r="X84" s="3027"/>
      <c r="Y84" s="3036"/>
      <c r="Z84" s="3036"/>
      <c r="AA84" s="3036"/>
      <c r="AB84" s="3036"/>
      <c r="AC84" s="3036"/>
      <c r="AD84" s="3036"/>
      <c r="AE84" s="3036"/>
      <c r="AF84" s="3036"/>
      <c r="AG84" s="3036"/>
      <c r="AH84" s="3036"/>
      <c r="AI84" s="3036"/>
      <c r="AJ84" s="3036"/>
      <c r="AK84" s="3021"/>
      <c r="AL84" s="3021"/>
      <c r="AM84" s="3024"/>
    </row>
    <row r="85" spans="1:45" ht="85.5" customHeight="1" x14ac:dyDescent="0.2">
      <c r="A85" s="1239"/>
      <c r="B85" s="1240"/>
      <c r="C85" s="1241"/>
      <c r="D85" s="1240"/>
      <c r="E85" s="1240"/>
      <c r="F85" s="1241"/>
      <c r="G85" s="1239"/>
      <c r="H85" s="1240"/>
      <c r="I85" s="1241"/>
      <c r="J85" s="3027"/>
      <c r="K85" s="3030"/>
      <c r="L85" s="3027"/>
      <c r="M85" s="3027"/>
      <c r="N85" s="3027"/>
      <c r="O85" s="3027"/>
      <c r="P85" s="3030"/>
      <c r="Q85" s="3033"/>
      <c r="R85" s="3040"/>
      <c r="S85" s="3030"/>
      <c r="T85" s="3030"/>
      <c r="U85" s="1267" t="s">
        <v>885</v>
      </c>
      <c r="V85" s="1304">
        <v>500000</v>
      </c>
      <c r="W85" s="3063"/>
      <c r="X85" s="3027"/>
      <c r="Y85" s="3036"/>
      <c r="Z85" s="3036"/>
      <c r="AA85" s="3036"/>
      <c r="AB85" s="3036"/>
      <c r="AC85" s="3036"/>
      <c r="AD85" s="3036"/>
      <c r="AE85" s="3036"/>
      <c r="AF85" s="3036"/>
      <c r="AG85" s="3036"/>
      <c r="AH85" s="3036"/>
      <c r="AI85" s="3036"/>
      <c r="AJ85" s="3036"/>
      <c r="AK85" s="3021"/>
      <c r="AL85" s="3021"/>
      <c r="AM85" s="3024"/>
    </row>
    <row r="86" spans="1:45" ht="90.75" customHeight="1" x14ac:dyDescent="0.2">
      <c r="A86" s="1239"/>
      <c r="B86" s="1240"/>
      <c r="C86" s="1241"/>
      <c r="D86" s="1240"/>
      <c r="E86" s="1240"/>
      <c r="F86" s="1241"/>
      <c r="G86" s="1257"/>
      <c r="H86" s="1255"/>
      <c r="I86" s="1256"/>
      <c r="J86" s="3028"/>
      <c r="K86" s="3031"/>
      <c r="L86" s="3028"/>
      <c r="M86" s="3028"/>
      <c r="N86" s="3028"/>
      <c r="O86" s="3028"/>
      <c r="P86" s="3031"/>
      <c r="Q86" s="3034"/>
      <c r="R86" s="3041"/>
      <c r="S86" s="3031"/>
      <c r="T86" s="3031"/>
      <c r="U86" s="1267" t="s">
        <v>886</v>
      </c>
      <c r="V86" s="1304">
        <v>1150000</v>
      </c>
      <c r="W86" s="3064"/>
      <c r="X86" s="3028"/>
      <c r="Y86" s="3037"/>
      <c r="Z86" s="3037"/>
      <c r="AA86" s="3037"/>
      <c r="AB86" s="3037"/>
      <c r="AC86" s="3037"/>
      <c r="AD86" s="3037"/>
      <c r="AE86" s="3037"/>
      <c r="AF86" s="3037"/>
      <c r="AG86" s="3037"/>
      <c r="AH86" s="3037"/>
      <c r="AI86" s="3037"/>
      <c r="AJ86" s="3037"/>
      <c r="AK86" s="3022"/>
      <c r="AL86" s="3022"/>
      <c r="AM86" s="3025"/>
    </row>
    <row r="87" spans="1:45" s="1269" customFormat="1" ht="36" customHeight="1" x14ac:dyDescent="0.2">
      <c r="A87" s="1227"/>
      <c r="B87" s="1228"/>
      <c r="C87" s="1229"/>
      <c r="D87" s="1228"/>
      <c r="E87" s="1228"/>
      <c r="F87" s="1229"/>
      <c r="G87" s="1264">
        <v>42</v>
      </c>
      <c r="H87" s="1233" t="s">
        <v>887</v>
      </c>
      <c r="I87" s="1233"/>
      <c r="J87" s="1233"/>
      <c r="K87" s="1234"/>
      <c r="L87" s="1233"/>
      <c r="M87" s="1233"/>
      <c r="N87" s="1235"/>
      <c r="O87" s="1233"/>
      <c r="P87" s="1234"/>
      <c r="Q87" s="1233"/>
      <c r="R87" s="1233"/>
      <c r="S87" s="1233"/>
      <c r="T87" s="1234"/>
      <c r="U87" s="1234"/>
      <c r="V87" s="1236"/>
      <c r="W87" s="1265"/>
      <c r="X87" s="1235"/>
      <c r="Y87" s="1235"/>
      <c r="Z87" s="1235"/>
      <c r="AA87" s="1235"/>
      <c r="AB87" s="1235"/>
      <c r="AC87" s="1235"/>
      <c r="AD87" s="1235"/>
      <c r="AE87" s="1235"/>
      <c r="AF87" s="1235"/>
      <c r="AG87" s="1235"/>
      <c r="AH87" s="1235"/>
      <c r="AI87" s="1235"/>
      <c r="AJ87" s="1235"/>
      <c r="AK87" s="1233"/>
      <c r="AL87" s="1233"/>
      <c r="AM87" s="1266"/>
      <c r="AN87" s="1217"/>
      <c r="AO87" s="1217"/>
      <c r="AP87" s="1217"/>
      <c r="AQ87" s="1217"/>
      <c r="AR87" s="1217"/>
      <c r="AS87" s="1217"/>
    </row>
    <row r="88" spans="1:45" ht="55.5" customHeight="1" x14ac:dyDescent="0.2">
      <c r="A88" s="1239"/>
      <c r="B88" s="1240"/>
      <c r="C88" s="1241"/>
      <c r="D88" s="1240"/>
      <c r="E88" s="1240"/>
      <c r="F88" s="1241"/>
      <c r="G88" s="1242"/>
      <c r="H88" s="1243"/>
      <c r="I88" s="1244"/>
      <c r="J88" s="3026">
        <v>149</v>
      </c>
      <c r="K88" s="3029" t="s">
        <v>888</v>
      </c>
      <c r="L88" s="3026" t="s">
        <v>287</v>
      </c>
      <c r="M88" s="3026">
        <v>8</v>
      </c>
      <c r="N88" s="3026" t="s">
        <v>889</v>
      </c>
      <c r="O88" s="3026">
        <v>145</v>
      </c>
      <c r="P88" s="3029" t="s">
        <v>890</v>
      </c>
      <c r="Q88" s="3032">
        <f>(V88+V89+V90)/R88</f>
        <v>0.75</v>
      </c>
      <c r="R88" s="3039">
        <v>51500000</v>
      </c>
      <c r="S88" s="3029" t="s">
        <v>891</v>
      </c>
      <c r="T88" s="3029" t="s">
        <v>892</v>
      </c>
      <c r="U88" s="1267" t="s">
        <v>893</v>
      </c>
      <c r="V88" s="1304">
        <v>16000000</v>
      </c>
      <c r="W88" s="3062">
        <v>61</v>
      </c>
      <c r="X88" s="3026" t="s">
        <v>739</v>
      </c>
      <c r="Y88" s="3113">
        <f t="shared" ref="Y88:AJ88" si="2">Y80</f>
        <v>64149</v>
      </c>
      <c r="Z88" s="3113">
        <f t="shared" si="2"/>
        <v>72224</v>
      </c>
      <c r="AA88" s="3113">
        <f t="shared" si="2"/>
        <v>27477</v>
      </c>
      <c r="AB88" s="3113">
        <f t="shared" si="2"/>
        <v>86843</v>
      </c>
      <c r="AC88" s="3113">
        <f t="shared" si="2"/>
        <v>236429</v>
      </c>
      <c r="AD88" s="3113">
        <f t="shared" si="2"/>
        <v>81384</v>
      </c>
      <c r="AE88" s="3113">
        <f t="shared" si="2"/>
        <v>13208</v>
      </c>
      <c r="AF88" s="3113">
        <f t="shared" si="2"/>
        <v>2145</v>
      </c>
      <c r="AG88" s="3113">
        <f t="shared" si="2"/>
        <v>413</v>
      </c>
      <c r="AH88" s="3113">
        <f t="shared" si="2"/>
        <v>520</v>
      </c>
      <c r="AI88" s="3113">
        <f t="shared" si="2"/>
        <v>16897</v>
      </c>
      <c r="AJ88" s="3113">
        <f t="shared" si="2"/>
        <v>75612</v>
      </c>
      <c r="AK88" s="3020">
        <v>42948</v>
      </c>
      <c r="AL88" s="3020">
        <v>43100</v>
      </c>
      <c r="AM88" s="3023" t="s">
        <v>797</v>
      </c>
      <c r="AN88" s="1206"/>
      <c r="AO88" s="1206"/>
    </row>
    <row r="89" spans="1:45" ht="81" customHeight="1" x14ac:dyDescent="0.2">
      <c r="A89" s="1239"/>
      <c r="B89" s="1240"/>
      <c r="C89" s="1241"/>
      <c r="D89" s="1240"/>
      <c r="E89" s="1240"/>
      <c r="F89" s="1241"/>
      <c r="G89" s="1239"/>
      <c r="H89" s="1240"/>
      <c r="I89" s="1241"/>
      <c r="J89" s="3027"/>
      <c r="K89" s="3030"/>
      <c r="L89" s="3027"/>
      <c r="M89" s="3027"/>
      <c r="N89" s="3027"/>
      <c r="O89" s="3027"/>
      <c r="P89" s="3030"/>
      <c r="Q89" s="3033"/>
      <c r="R89" s="3040"/>
      <c r="S89" s="3030"/>
      <c r="T89" s="3030"/>
      <c r="U89" s="1267" t="s">
        <v>894</v>
      </c>
      <c r="V89" s="1304">
        <v>11000000</v>
      </c>
      <c r="W89" s="3063"/>
      <c r="X89" s="3027"/>
      <c r="Y89" s="3114"/>
      <c r="Z89" s="3114"/>
      <c r="AA89" s="3114"/>
      <c r="AB89" s="3114"/>
      <c r="AC89" s="3114"/>
      <c r="AD89" s="3114"/>
      <c r="AE89" s="3114"/>
      <c r="AF89" s="3114"/>
      <c r="AG89" s="3114"/>
      <c r="AH89" s="3114"/>
      <c r="AI89" s="3114"/>
      <c r="AJ89" s="3114"/>
      <c r="AK89" s="3021"/>
      <c r="AL89" s="3021"/>
      <c r="AM89" s="3024"/>
      <c r="AN89" s="1206"/>
      <c r="AO89" s="1206"/>
    </row>
    <row r="90" spans="1:45" ht="135.75" customHeight="1" x14ac:dyDescent="0.2">
      <c r="A90" s="1239"/>
      <c r="B90" s="1240"/>
      <c r="C90" s="1241"/>
      <c r="D90" s="1240"/>
      <c r="E90" s="1240"/>
      <c r="F90" s="1241"/>
      <c r="G90" s="1239"/>
      <c r="H90" s="1240"/>
      <c r="I90" s="1241"/>
      <c r="J90" s="3028"/>
      <c r="K90" s="3031"/>
      <c r="L90" s="3028"/>
      <c r="M90" s="3028"/>
      <c r="N90" s="3027"/>
      <c r="O90" s="3027"/>
      <c r="P90" s="3030"/>
      <c r="Q90" s="3034"/>
      <c r="R90" s="3040"/>
      <c r="S90" s="3030"/>
      <c r="T90" s="3031"/>
      <c r="U90" s="1267" t="s">
        <v>895</v>
      </c>
      <c r="V90" s="1304">
        <v>11625000</v>
      </c>
      <c r="W90" s="3063"/>
      <c r="X90" s="3027"/>
      <c r="Y90" s="3114"/>
      <c r="Z90" s="3114"/>
      <c r="AA90" s="3114"/>
      <c r="AB90" s="3114"/>
      <c r="AC90" s="3114"/>
      <c r="AD90" s="3114"/>
      <c r="AE90" s="3114"/>
      <c r="AF90" s="3114"/>
      <c r="AG90" s="3114"/>
      <c r="AH90" s="3114"/>
      <c r="AI90" s="3114"/>
      <c r="AJ90" s="3114"/>
      <c r="AK90" s="3021"/>
      <c r="AL90" s="3021"/>
      <c r="AM90" s="3024"/>
      <c r="AN90" s="1206"/>
      <c r="AO90" s="1251"/>
    </row>
    <row r="91" spans="1:45" ht="62.25" customHeight="1" x14ac:dyDescent="0.2">
      <c r="A91" s="1239"/>
      <c r="B91" s="1240"/>
      <c r="C91" s="1241"/>
      <c r="D91" s="1240"/>
      <c r="E91" s="1240"/>
      <c r="F91" s="1241"/>
      <c r="G91" s="1239"/>
      <c r="H91" s="1240"/>
      <c r="I91" s="1241"/>
      <c r="J91" s="3026">
        <v>150</v>
      </c>
      <c r="K91" s="3029" t="s">
        <v>896</v>
      </c>
      <c r="L91" s="3026" t="s">
        <v>287</v>
      </c>
      <c r="M91" s="3026">
        <v>14</v>
      </c>
      <c r="N91" s="3027"/>
      <c r="O91" s="3027"/>
      <c r="P91" s="3030"/>
      <c r="Q91" s="3032">
        <f>(V91+V92+V93)/R88</f>
        <v>0.25</v>
      </c>
      <c r="R91" s="3040"/>
      <c r="S91" s="3030"/>
      <c r="T91" s="3029" t="s">
        <v>897</v>
      </c>
      <c r="U91" s="1267" t="s">
        <v>898</v>
      </c>
      <c r="V91" s="1304">
        <v>4291667</v>
      </c>
      <c r="W91" s="3063"/>
      <c r="X91" s="3027"/>
      <c r="Y91" s="3114"/>
      <c r="Z91" s="3114"/>
      <c r="AA91" s="3114"/>
      <c r="AB91" s="3114"/>
      <c r="AC91" s="3114"/>
      <c r="AD91" s="3114"/>
      <c r="AE91" s="3114"/>
      <c r="AF91" s="3114"/>
      <c r="AG91" s="3114"/>
      <c r="AH91" s="3114"/>
      <c r="AI91" s="3114"/>
      <c r="AJ91" s="3114"/>
      <c r="AK91" s="3021"/>
      <c r="AL91" s="3021"/>
      <c r="AM91" s="3024"/>
      <c r="AN91" s="1206"/>
      <c r="AO91" s="1206"/>
    </row>
    <row r="92" spans="1:45" ht="65.25" customHeight="1" x14ac:dyDescent="0.2">
      <c r="A92" s="1239"/>
      <c r="B92" s="1240"/>
      <c r="C92" s="1241"/>
      <c r="D92" s="1240"/>
      <c r="E92" s="1240"/>
      <c r="F92" s="1241"/>
      <c r="G92" s="1239"/>
      <c r="H92" s="1240"/>
      <c r="I92" s="1241"/>
      <c r="J92" s="3027"/>
      <c r="K92" s="3030"/>
      <c r="L92" s="3027"/>
      <c r="M92" s="3027"/>
      <c r="N92" s="3027"/>
      <c r="O92" s="3027"/>
      <c r="P92" s="3030"/>
      <c r="Q92" s="3033"/>
      <c r="R92" s="3040"/>
      <c r="S92" s="3030"/>
      <c r="T92" s="3030"/>
      <c r="U92" s="1267" t="s">
        <v>899</v>
      </c>
      <c r="V92" s="1304">
        <v>4291667</v>
      </c>
      <c r="W92" s="3063"/>
      <c r="X92" s="3027"/>
      <c r="Y92" s="3114"/>
      <c r="Z92" s="3114"/>
      <c r="AA92" s="3114"/>
      <c r="AB92" s="3114"/>
      <c r="AC92" s="3114"/>
      <c r="AD92" s="3114"/>
      <c r="AE92" s="3114"/>
      <c r="AF92" s="3114"/>
      <c r="AG92" s="3114"/>
      <c r="AH92" s="3114"/>
      <c r="AI92" s="3114"/>
      <c r="AJ92" s="3114"/>
      <c r="AK92" s="3021"/>
      <c r="AL92" s="3021"/>
      <c r="AM92" s="3024"/>
      <c r="AN92" s="1206"/>
      <c r="AO92" s="1206"/>
    </row>
    <row r="93" spans="1:45" ht="102" customHeight="1" x14ac:dyDescent="0.2">
      <c r="A93" s="1239"/>
      <c r="B93" s="1240"/>
      <c r="C93" s="1241"/>
      <c r="D93" s="1240"/>
      <c r="E93" s="1240"/>
      <c r="F93" s="1241"/>
      <c r="G93" s="1257"/>
      <c r="H93" s="1255"/>
      <c r="I93" s="1256"/>
      <c r="J93" s="3028"/>
      <c r="K93" s="3031"/>
      <c r="L93" s="3028"/>
      <c r="M93" s="3028"/>
      <c r="N93" s="3028"/>
      <c r="O93" s="3028"/>
      <c r="P93" s="3031"/>
      <c r="Q93" s="3034"/>
      <c r="R93" s="3041"/>
      <c r="S93" s="3031"/>
      <c r="T93" s="3031"/>
      <c r="U93" s="1267" t="s">
        <v>900</v>
      </c>
      <c r="V93" s="1304">
        <v>4291666</v>
      </c>
      <c r="W93" s="3064"/>
      <c r="X93" s="3028"/>
      <c r="Y93" s="3115"/>
      <c r="Z93" s="3115"/>
      <c r="AA93" s="3115"/>
      <c r="AB93" s="3115"/>
      <c r="AC93" s="3115"/>
      <c r="AD93" s="3115"/>
      <c r="AE93" s="3115"/>
      <c r="AF93" s="3115"/>
      <c r="AG93" s="3115"/>
      <c r="AH93" s="3115"/>
      <c r="AI93" s="3115"/>
      <c r="AJ93" s="3115"/>
      <c r="AK93" s="3022"/>
      <c r="AL93" s="3022"/>
      <c r="AM93" s="3025"/>
      <c r="AN93" s="1206"/>
      <c r="AO93" s="1206"/>
    </row>
    <row r="94" spans="1:45" s="1269" customFormat="1" ht="36" customHeight="1" x14ac:dyDescent="0.2">
      <c r="A94" s="1227"/>
      <c r="B94" s="1228"/>
      <c r="C94" s="1229"/>
      <c r="D94" s="1228"/>
      <c r="E94" s="1228"/>
      <c r="F94" s="1229"/>
      <c r="G94" s="1264">
        <v>43</v>
      </c>
      <c r="H94" s="1233" t="s">
        <v>901</v>
      </c>
      <c r="I94" s="1233"/>
      <c r="J94" s="1233"/>
      <c r="K94" s="1234"/>
      <c r="L94" s="1233"/>
      <c r="M94" s="1233"/>
      <c r="N94" s="1235"/>
      <c r="O94" s="1233"/>
      <c r="P94" s="1234"/>
      <c r="Q94" s="1233"/>
      <c r="R94" s="1233"/>
      <c r="S94" s="1233"/>
      <c r="T94" s="1234"/>
      <c r="U94" s="1234"/>
      <c r="V94" s="1310"/>
      <c r="W94" s="1265"/>
      <c r="X94" s="1235"/>
      <c r="Y94" s="1235"/>
      <c r="Z94" s="1235"/>
      <c r="AA94" s="1235"/>
      <c r="AB94" s="1235"/>
      <c r="AC94" s="1235"/>
      <c r="AD94" s="1235"/>
      <c r="AE94" s="1235"/>
      <c r="AF94" s="1235"/>
      <c r="AG94" s="1235"/>
      <c r="AH94" s="1235"/>
      <c r="AI94" s="1235"/>
      <c r="AJ94" s="1235"/>
      <c r="AK94" s="1233"/>
      <c r="AL94" s="1233"/>
      <c r="AM94" s="1266"/>
      <c r="AN94" s="1217"/>
      <c r="AO94" s="1217"/>
      <c r="AP94" s="1217"/>
      <c r="AQ94" s="1217"/>
      <c r="AR94" s="1217"/>
      <c r="AS94" s="1217"/>
    </row>
    <row r="95" spans="1:45" ht="85.5" x14ac:dyDescent="0.2">
      <c r="A95" s="1270"/>
      <c r="B95" s="1271"/>
      <c r="C95" s="1272"/>
      <c r="D95" s="1271"/>
      <c r="E95" s="1271"/>
      <c r="F95" s="1272"/>
      <c r="G95" s="1273"/>
      <c r="H95" s="1274"/>
      <c r="I95" s="1275"/>
      <c r="J95" s="3026">
        <v>151</v>
      </c>
      <c r="K95" s="3029" t="s">
        <v>902</v>
      </c>
      <c r="L95" s="3075" t="s">
        <v>287</v>
      </c>
      <c r="M95" s="3075">
        <v>12</v>
      </c>
      <c r="N95" s="1247"/>
      <c r="O95" s="3026">
        <v>146</v>
      </c>
      <c r="P95" s="3029" t="s">
        <v>903</v>
      </c>
      <c r="Q95" s="3032">
        <f>+(V95+V96)/R95</f>
        <v>0.13079586870379448</v>
      </c>
      <c r="R95" s="3039">
        <f>SUM(V95:V102)</f>
        <v>1688415254.9200001</v>
      </c>
      <c r="S95" s="3029" t="s">
        <v>904</v>
      </c>
      <c r="T95" s="3029" t="s">
        <v>905</v>
      </c>
      <c r="U95" s="1276" t="s">
        <v>906</v>
      </c>
      <c r="V95" s="1304">
        <v>97618870</v>
      </c>
      <c r="W95" s="1311"/>
      <c r="X95" s="1247"/>
      <c r="Y95" s="3035">
        <f t="shared" ref="Y95:AJ95" si="3">Y88</f>
        <v>64149</v>
      </c>
      <c r="Z95" s="3035">
        <f t="shared" si="3"/>
        <v>72224</v>
      </c>
      <c r="AA95" s="3035">
        <f t="shared" si="3"/>
        <v>27477</v>
      </c>
      <c r="AB95" s="3035">
        <f t="shared" si="3"/>
        <v>86843</v>
      </c>
      <c r="AC95" s="3035">
        <f t="shared" si="3"/>
        <v>236429</v>
      </c>
      <c r="AD95" s="3035">
        <f t="shared" si="3"/>
        <v>81384</v>
      </c>
      <c r="AE95" s="3035">
        <f t="shared" si="3"/>
        <v>13208</v>
      </c>
      <c r="AF95" s="3035">
        <f t="shared" si="3"/>
        <v>2145</v>
      </c>
      <c r="AG95" s="3035">
        <f t="shared" si="3"/>
        <v>413</v>
      </c>
      <c r="AH95" s="3035">
        <f t="shared" si="3"/>
        <v>520</v>
      </c>
      <c r="AI95" s="3035">
        <f t="shared" si="3"/>
        <v>16897</v>
      </c>
      <c r="AJ95" s="3035">
        <f t="shared" si="3"/>
        <v>75612</v>
      </c>
      <c r="AK95" s="3103">
        <v>42948</v>
      </c>
      <c r="AL95" s="3103">
        <v>43100</v>
      </c>
      <c r="AM95" s="3023" t="s">
        <v>797</v>
      </c>
      <c r="AN95" s="1252"/>
      <c r="AO95" s="1206"/>
      <c r="AQ95" s="3109"/>
      <c r="AR95" s="3109"/>
    </row>
    <row r="96" spans="1:45" ht="57" x14ac:dyDescent="0.2">
      <c r="A96" s="1270"/>
      <c r="B96" s="1271"/>
      <c r="C96" s="1272"/>
      <c r="D96" s="1271"/>
      <c r="E96" s="1271"/>
      <c r="F96" s="1272"/>
      <c r="G96" s="1270"/>
      <c r="H96" s="1271"/>
      <c r="I96" s="1272"/>
      <c r="J96" s="3028"/>
      <c r="K96" s="3031"/>
      <c r="L96" s="3075"/>
      <c r="M96" s="3075"/>
      <c r="N96" s="1312"/>
      <c r="O96" s="3027"/>
      <c r="P96" s="3030"/>
      <c r="Q96" s="3034"/>
      <c r="R96" s="3040"/>
      <c r="S96" s="3030"/>
      <c r="T96" s="3031"/>
      <c r="U96" s="1276" t="s">
        <v>907</v>
      </c>
      <c r="V96" s="1304">
        <f>97618870+25600000</f>
        <v>123218870</v>
      </c>
      <c r="W96" s="1313"/>
      <c r="X96" s="1312"/>
      <c r="Y96" s="3036"/>
      <c r="Z96" s="3036"/>
      <c r="AA96" s="3036"/>
      <c r="AB96" s="3036"/>
      <c r="AC96" s="3036"/>
      <c r="AD96" s="3036"/>
      <c r="AE96" s="3036"/>
      <c r="AF96" s="3036"/>
      <c r="AG96" s="3036"/>
      <c r="AH96" s="3036"/>
      <c r="AI96" s="3036"/>
      <c r="AJ96" s="3036"/>
      <c r="AK96" s="3104"/>
      <c r="AL96" s="3104"/>
      <c r="AM96" s="3024"/>
      <c r="AN96" s="1251"/>
      <c r="AO96" s="1206"/>
      <c r="AQ96" s="3109"/>
      <c r="AR96" s="3109"/>
    </row>
    <row r="97" spans="1:45" ht="71.25" x14ac:dyDescent="0.2">
      <c r="A97" s="1270"/>
      <c r="B97" s="1271"/>
      <c r="C97" s="1272"/>
      <c r="D97" s="1271"/>
      <c r="E97" s="1271"/>
      <c r="F97" s="1272"/>
      <c r="G97" s="1270"/>
      <c r="H97" s="1271"/>
      <c r="I97" s="1272"/>
      <c r="J97" s="3026">
        <v>152</v>
      </c>
      <c r="K97" s="3029" t="s">
        <v>908</v>
      </c>
      <c r="L97" s="3075" t="s">
        <v>287</v>
      </c>
      <c r="M97" s="3075">
        <v>1</v>
      </c>
      <c r="N97" s="1312" t="s">
        <v>909</v>
      </c>
      <c r="O97" s="3027"/>
      <c r="P97" s="3030"/>
      <c r="Q97" s="3032">
        <f>+(V97+V98)/R95</f>
        <v>5.2724176555854402E-2</v>
      </c>
      <c r="R97" s="3040"/>
      <c r="S97" s="3030"/>
      <c r="T97" s="3029" t="s">
        <v>910</v>
      </c>
      <c r="U97" s="1276" t="s">
        <v>911</v>
      </c>
      <c r="V97" s="1304">
        <v>60000000</v>
      </c>
      <c r="W97" s="1314">
        <v>61</v>
      </c>
      <c r="X97" s="1312" t="s">
        <v>739</v>
      </c>
      <c r="Y97" s="3036"/>
      <c r="Z97" s="3036"/>
      <c r="AA97" s="3036"/>
      <c r="AB97" s="3036"/>
      <c r="AC97" s="3036"/>
      <c r="AD97" s="3036"/>
      <c r="AE97" s="3036"/>
      <c r="AF97" s="3036"/>
      <c r="AG97" s="3036"/>
      <c r="AH97" s="3036"/>
      <c r="AI97" s="3036"/>
      <c r="AJ97" s="3036"/>
      <c r="AK97" s="3104"/>
      <c r="AL97" s="3104"/>
      <c r="AM97" s="3024"/>
      <c r="AN97" s="1251"/>
      <c r="AO97" s="1206"/>
    </row>
    <row r="98" spans="1:45" ht="71.25" x14ac:dyDescent="0.2">
      <c r="A98" s="1270"/>
      <c r="B98" s="1271"/>
      <c r="C98" s="1272"/>
      <c r="D98" s="1271"/>
      <c r="E98" s="1271"/>
      <c r="F98" s="1272"/>
      <c r="G98" s="1270"/>
      <c r="H98" s="1271"/>
      <c r="I98" s="1272"/>
      <c r="J98" s="3028"/>
      <c r="K98" s="3031"/>
      <c r="L98" s="3075"/>
      <c r="M98" s="3075"/>
      <c r="N98" s="1312" t="s">
        <v>912</v>
      </c>
      <c r="O98" s="3027"/>
      <c r="P98" s="3030"/>
      <c r="Q98" s="3034"/>
      <c r="R98" s="3040"/>
      <c r="S98" s="3030"/>
      <c r="T98" s="3030"/>
      <c r="U98" s="1276" t="s">
        <v>913</v>
      </c>
      <c r="V98" s="1304">
        <v>29020304</v>
      </c>
      <c r="W98" s="1314">
        <v>63</v>
      </c>
      <c r="X98" s="1312" t="s">
        <v>914</v>
      </c>
      <c r="Y98" s="3036"/>
      <c r="Z98" s="3036"/>
      <c r="AA98" s="3036"/>
      <c r="AB98" s="3036"/>
      <c r="AC98" s="3036"/>
      <c r="AD98" s="3036"/>
      <c r="AE98" s="3036"/>
      <c r="AF98" s="3036"/>
      <c r="AG98" s="3036"/>
      <c r="AH98" s="3036"/>
      <c r="AI98" s="3036"/>
      <c r="AJ98" s="3036"/>
      <c r="AK98" s="3104"/>
      <c r="AL98" s="3104"/>
      <c r="AM98" s="3024"/>
      <c r="AN98" s="1252"/>
      <c r="AO98" s="1206"/>
    </row>
    <row r="99" spans="1:45" ht="57" x14ac:dyDescent="0.2">
      <c r="A99" s="1270"/>
      <c r="B99" s="1271"/>
      <c r="C99" s="1272"/>
      <c r="D99" s="1271"/>
      <c r="E99" s="1271"/>
      <c r="F99" s="1272"/>
      <c r="G99" s="1270"/>
      <c r="H99" s="1271"/>
      <c r="I99" s="1272"/>
      <c r="J99" s="3075">
        <v>153</v>
      </c>
      <c r="K99" s="3029" t="s">
        <v>915</v>
      </c>
      <c r="L99" s="3027" t="s">
        <v>287</v>
      </c>
      <c r="M99" s="3027">
        <v>150</v>
      </c>
      <c r="N99" s="1312" t="s">
        <v>916</v>
      </c>
      <c r="O99" s="3027"/>
      <c r="P99" s="3030"/>
      <c r="Q99" s="3032">
        <f>SUM(V99:V102)/R95</f>
        <v>0.81647995474035118</v>
      </c>
      <c r="R99" s="3040"/>
      <c r="S99" s="3030"/>
      <c r="T99" s="3030"/>
      <c r="U99" s="1276" t="s">
        <v>917</v>
      </c>
      <c r="V99" s="1304">
        <f>623214302+405342908.92</f>
        <v>1028557210.9200001</v>
      </c>
      <c r="W99" s="1314">
        <v>20</v>
      </c>
      <c r="X99" s="1312" t="s">
        <v>185</v>
      </c>
      <c r="Y99" s="3036"/>
      <c r="Z99" s="3036"/>
      <c r="AA99" s="3036"/>
      <c r="AB99" s="3036"/>
      <c r="AC99" s="3036"/>
      <c r="AD99" s="3036"/>
      <c r="AE99" s="3036"/>
      <c r="AF99" s="3036"/>
      <c r="AG99" s="3036"/>
      <c r="AH99" s="3036"/>
      <c r="AI99" s="3036"/>
      <c r="AJ99" s="3036"/>
      <c r="AK99" s="3104"/>
      <c r="AL99" s="3104"/>
      <c r="AM99" s="3024"/>
      <c r="AN99" s="1251"/>
      <c r="AO99" s="1206"/>
    </row>
    <row r="100" spans="1:45" ht="42.75" x14ac:dyDescent="0.2">
      <c r="A100" s="1270"/>
      <c r="B100" s="1271"/>
      <c r="C100" s="1272"/>
      <c r="D100" s="1271"/>
      <c r="E100" s="1271"/>
      <c r="F100" s="1272"/>
      <c r="G100" s="1270"/>
      <c r="H100" s="1271"/>
      <c r="I100" s="1272"/>
      <c r="J100" s="3075"/>
      <c r="K100" s="3030"/>
      <c r="L100" s="3027"/>
      <c r="M100" s="3027"/>
      <c r="N100" s="1312"/>
      <c r="O100" s="3027"/>
      <c r="P100" s="3030"/>
      <c r="Q100" s="3033"/>
      <c r="R100" s="3040"/>
      <c r="S100" s="3030"/>
      <c r="T100" s="3030"/>
      <c r="U100" s="1276" t="s">
        <v>918</v>
      </c>
      <c r="V100" s="1304">
        <v>190000000</v>
      </c>
      <c r="W100" s="1314"/>
      <c r="X100" s="1312"/>
      <c r="Y100" s="3036"/>
      <c r="Z100" s="3036"/>
      <c r="AA100" s="3036"/>
      <c r="AB100" s="3036"/>
      <c r="AC100" s="3036"/>
      <c r="AD100" s="3036"/>
      <c r="AE100" s="3036"/>
      <c r="AF100" s="3036"/>
      <c r="AG100" s="3036"/>
      <c r="AH100" s="3036"/>
      <c r="AI100" s="3036"/>
      <c r="AJ100" s="3036"/>
      <c r="AK100" s="3104"/>
      <c r="AL100" s="3104"/>
      <c r="AM100" s="3024"/>
      <c r="AN100" s="1251"/>
      <c r="AO100" s="1206"/>
    </row>
    <row r="101" spans="1:45" ht="57" x14ac:dyDescent="0.2">
      <c r="A101" s="1239"/>
      <c r="B101" s="1240"/>
      <c r="C101" s="1241"/>
      <c r="D101" s="1271"/>
      <c r="E101" s="1271"/>
      <c r="F101" s="1272"/>
      <c r="G101" s="1270"/>
      <c r="H101" s="1271"/>
      <c r="I101" s="1272"/>
      <c r="J101" s="3075"/>
      <c r="K101" s="3030"/>
      <c r="L101" s="3027"/>
      <c r="M101" s="3027"/>
      <c r="N101" s="1312"/>
      <c r="O101" s="3027"/>
      <c r="P101" s="3030"/>
      <c r="Q101" s="3033"/>
      <c r="R101" s="3040"/>
      <c r="S101" s="3030"/>
      <c r="T101" s="3030"/>
      <c r="U101" s="1276" t="s">
        <v>919</v>
      </c>
      <c r="V101" s="1304">
        <f>50000000+20000000</f>
        <v>70000000</v>
      </c>
      <c r="W101" s="1313"/>
      <c r="X101" s="1312"/>
      <c r="Y101" s="3036"/>
      <c r="Z101" s="3036"/>
      <c r="AA101" s="3036"/>
      <c r="AB101" s="3036"/>
      <c r="AC101" s="3036"/>
      <c r="AD101" s="3036"/>
      <c r="AE101" s="3036"/>
      <c r="AF101" s="3036"/>
      <c r="AG101" s="3036"/>
      <c r="AH101" s="3036"/>
      <c r="AI101" s="3036"/>
      <c r="AJ101" s="3036"/>
      <c r="AK101" s="3104"/>
      <c r="AL101" s="3104"/>
      <c r="AM101" s="3024"/>
      <c r="AN101" s="1251"/>
      <c r="AO101" s="1206"/>
    </row>
    <row r="102" spans="1:45" ht="71.25" x14ac:dyDescent="0.2">
      <c r="A102" s="1239"/>
      <c r="B102" s="1240"/>
      <c r="C102" s="1241"/>
      <c r="D102" s="1240"/>
      <c r="E102" s="1240"/>
      <c r="F102" s="1241"/>
      <c r="G102" s="1257"/>
      <c r="H102" s="1255"/>
      <c r="I102" s="1256"/>
      <c r="J102" s="3075"/>
      <c r="K102" s="3031"/>
      <c r="L102" s="3028"/>
      <c r="M102" s="3028"/>
      <c r="N102" s="1281"/>
      <c r="O102" s="3028"/>
      <c r="P102" s="3031"/>
      <c r="Q102" s="3034"/>
      <c r="R102" s="3041"/>
      <c r="S102" s="3031"/>
      <c r="T102" s="3031"/>
      <c r="U102" s="1276" t="s">
        <v>920</v>
      </c>
      <c r="V102" s="1304">
        <f>50000000+40000000</f>
        <v>90000000</v>
      </c>
      <c r="W102" s="1315"/>
      <c r="X102" s="1281"/>
      <c r="Y102" s="3037"/>
      <c r="Z102" s="3037"/>
      <c r="AA102" s="3037"/>
      <c r="AB102" s="3037"/>
      <c r="AC102" s="3037"/>
      <c r="AD102" s="3037"/>
      <c r="AE102" s="3037"/>
      <c r="AF102" s="3037"/>
      <c r="AG102" s="3037"/>
      <c r="AH102" s="3037"/>
      <c r="AI102" s="3037"/>
      <c r="AJ102" s="3037"/>
      <c r="AK102" s="3105"/>
      <c r="AL102" s="3105"/>
      <c r="AM102" s="3025"/>
      <c r="AN102" s="1251"/>
      <c r="AO102" s="1206"/>
    </row>
    <row r="103" spans="1:45" s="1269" customFormat="1" ht="36" customHeight="1" x14ac:dyDescent="0.2">
      <c r="A103" s="1227"/>
      <c r="B103" s="1228"/>
      <c r="C103" s="1229"/>
      <c r="D103" s="1228"/>
      <c r="E103" s="1228"/>
      <c r="F103" s="1229"/>
      <c r="G103" s="1264">
        <v>44</v>
      </c>
      <c r="H103" s="1233" t="s">
        <v>921</v>
      </c>
      <c r="I103" s="1233"/>
      <c r="J103" s="1233"/>
      <c r="K103" s="1234"/>
      <c r="L103" s="1233"/>
      <c r="M103" s="1233"/>
      <c r="N103" s="1235"/>
      <c r="O103" s="1233"/>
      <c r="P103" s="1234"/>
      <c r="Q103" s="1233"/>
      <c r="R103" s="1233"/>
      <c r="S103" s="1233"/>
      <c r="T103" s="1234"/>
      <c r="U103" s="1233"/>
      <c r="V103" s="1233"/>
      <c r="W103" s="1265"/>
      <c r="X103" s="1235"/>
      <c r="Y103" s="1235"/>
      <c r="Z103" s="1235"/>
      <c r="AA103" s="1235"/>
      <c r="AB103" s="1235"/>
      <c r="AC103" s="1235"/>
      <c r="AD103" s="1235"/>
      <c r="AE103" s="1235"/>
      <c r="AF103" s="1235"/>
      <c r="AG103" s="1235"/>
      <c r="AH103" s="1235"/>
      <c r="AI103" s="1235"/>
      <c r="AJ103" s="1235"/>
      <c r="AK103" s="1235"/>
      <c r="AL103" s="1233"/>
      <c r="AM103" s="1266"/>
      <c r="AN103" s="1217"/>
      <c r="AO103" s="1217"/>
      <c r="AP103" s="1217"/>
      <c r="AQ103" s="1217"/>
      <c r="AR103" s="1217"/>
      <c r="AS103" s="1217"/>
    </row>
    <row r="104" spans="1:45" ht="54" customHeight="1" x14ac:dyDescent="0.2">
      <c r="A104" s="1239"/>
      <c r="B104" s="1240"/>
      <c r="C104" s="1241"/>
      <c r="D104" s="1240"/>
      <c r="E104" s="1240"/>
      <c r="F104" s="1241"/>
      <c r="G104" s="1242"/>
      <c r="H104" s="1243"/>
      <c r="I104" s="1244"/>
      <c r="J104" s="3026">
        <v>154</v>
      </c>
      <c r="K104" s="3029" t="s">
        <v>922</v>
      </c>
      <c r="L104" s="3026" t="s">
        <v>287</v>
      </c>
      <c r="M104" s="3026">
        <v>5</v>
      </c>
      <c r="N104" s="1247"/>
      <c r="O104" s="3026">
        <v>148</v>
      </c>
      <c r="P104" s="3029" t="s">
        <v>923</v>
      </c>
      <c r="Q104" s="3032">
        <f>(V104+V105+V106)/R104</f>
        <v>0.39450160823589159</v>
      </c>
      <c r="R104" s="3039">
        <f>SUM(V104:V118)</f>
        <v>404307604</v>
      </c>
      <c r="S104" s="3029" t="s">
        <v>924</v>
      </c>
      <c r="T104" s="3029" t="s">
        <v>925</v>
      </c>
      <c r="U104" s="1276" t="s">
        <v>926</v>
      </c>
      <c r="V104" s="1304">
        <f>17500000+10000000</f>
        <v>27500000</v>
      </c>
      <c r="W104" s="1311"/>
      <c r="X104" s="1316"/>
      <c r="Y104" s="3106" t="s">
        <v>133</v>
      </c>
      <c r="Z104" s="3106" t="s">
        <v>133</v>
      </c>
      <c r="AA104" s="3106" t="s">
        <v>133</v>
      </c>
      <c r="AB104" s="3106" t="s">
        <v>133</v>
      </c>
      <c r="AC104" s="3106" t="s">
        <v>133</v>
      </c>
      <c r="AD104" s="3106" t="s">
        <v>133</v>
      </c>
      <c r="AE104" s="3035">
        <f t="shared" ref="AE104:AJ104" si="4">AE95</f>
        <v>13208</v>
      </c>
      <c r="AF104" s="3035">
        <f t="shared" si="4"/>
        <v>2145</v>
      </c>
      <c r="AG104" s="3035">
        <f t="shared" si="4"/>
        <v>413</v>
      </c>
      <c r="AH104" s="3035">
        <f t="shared" si="4"/>
        <v>520</v>
      </c>
      <c r="AI104" s="3035">
        <f t="shared" si="4"/>
        <v>16897</v>
      </c>
      <c r="AJ104" s="3035">
        <f t="shared" si="4"/>
        <v>75612</v>
      </c>
      <c r="AK104" s="3103">
        <v>42948</v>
      </c>
      <c r="AL104" s="3103">
        <v>43100</v>
      </c>
      <c r="AM104" s="3110" t="s">
        <v>797</v>
      </c>
    </row>
    <row r="105" spans="1:45" ht="59.25" customHeight="1" x14ac:dyDescent="0.2">
      <c r="A105" s="1239"/>
      <c r="B105" s="1240"/>
      <c r="C105" s="1241"/>
      <c r="D105" s="1240"/>
      <c r="E105" s="1240"/>
      <c r="F105" s="1241"/>
      <c r="G105" s="1239"/>
      <c r="H105" s="1240"/>
      <c r="I105" s="1241"/>
      <c r="J105" s="3027"/>
      <c r="K105" s="3030"/>
      <c r="L105" s="3027"/>
      <c r="M105" s="3027"/>
      <c r="N105" s="1312"/>
      <c r="O105" s="3027"/>
      <c r="P105" s="3030"/>
      <c r="Q105" s="3033"/>
      <c r="R105" s="3040"/>
      <c r="S105" s="3030"/>
      <c r="T105" s="3030"/>
      <c r="U105" s="1276" t="s">
        <v>927</v>
      </c>
      <c r="V105" s="1304">
        <f>6000000+10000000</f>
        <v>16000000</v>
      </c>
      <c r="W105" s="1313"/>
      <c r="X105" s="1314"/>
      <c r="Y105" s="3107"/>
      <c r="Z105" s="3107"/>
      <c r="AA105" s="3107"/>
      <c r="AB105" s="3107"/>
      <c r="AC105" s="3107"/>
      <c r="AD105" s="3107"/>
      <c r="AE105" s="3036"/>
      <c r="AF105" s="3036"/>
      <c r="AG105" s="3036"/>
      <c r="AH105" s="3036"/>
      <c r="AI105" s="3036"/>
      <c r="AJ105" s="3036"/>
      <c r="AK105" s="3104"/>
      <c r="AL105" s="3104"/>
      <c r="AM105" s="3111"/>
    </row>
    <row r="106" spans="1:45" ht="35.25" customHeight="1" x14ac:dyDescent="0.2">
      <c r="A106" s="1239"/>
      <c r="B106" s="1240"/>
      <c r="C106" s="1241"/>
      <c r="D106" s="1240"/>
      <c r="E106" s="1240"/>
      <c r="F106" s="1241"/>
      <c r="G106" s="1239"/>
      <c r="H106" s="1240"/>
      <c r="I106" s="1241"/>
      <c r="J106" s="3028"/>
      <c r="K106" s="3031"/>
      <c r="L106" s="3028"/>
      <c r="M106" s="3028"/>
      <c r="N106" s="1312"/>
      <c r="O106" s="3027"/>
      <c r="P106" s="3030"/>
      <c r="Q106" s="3034"/>
      <c r="R106" s="3040"/>
      <c r="S106" s="3030"/>
      <c r="T106" s="3031"/>
      <c r="U106" s="1276" t="s">
        <v>928</v>
      </c>
      <c r="V106" s="1304">
        <f>6000000+10000000+100000000</f>
        <v>116000000</v>
      </c>
      <c r="W106" s="1313"/>
      <c r="X106" s="1314"/>
      <c r="Y106" s="3107"/>
      <c r="Z106" s="3107"/>
      <c r="AA106" s="3107"/>
      <c r="AB106" s="3107"/>
      <c r="AC106" s="3107"/>
      <c r="AD106" s="3107"/>
      <c r="AE106" s="3036"/>
      <c r="AF106" s="3036"/>
      <c r="AG106" s="3036"/>
      <c r="AH106" s="3036"/>
      <c r="AI106" s="3036"/>
      <c r="AJ106" s="3036"/>
      <c r="AK106" s="3104"/>
      <c r="AL106" s="3104"/>
      <c r="AM106" s="3111"/>
    </row>
    <row r="107" spans="1:45" ht="42.75" customHeight="1" x14ac:dyDescent="0.2">
      <c r="A107" s="1239"/>
      <c r="B107" s="1240"/>
      <c r="C107" s="1241"/>
      <c r="D107" s="1240"/>
      <c r="E107" s="1240"/>
      <c r="F107" s="1241"/>
      <c r="G107" s="1239"/>
      <c r="H107" s="1240"/>
      <c r="I107" s="1241"/>
      <c r="J107" s="3026">
        <v>155</v>
      </c>
      <c r="K107" s="3029" t="s">
        <v>929</v>
      </c>
      <c r="L107" s="3026" t="s">
        <v>287</v>
      </c>
      <c r="M107" s="3026">
        <v>1</v>
      </c>
      <c r="N107" s="1312"/>
      <c r="O107" s="3027"/>
      <c r="P107" s="3030"/>
      <c r="Q107" s="3032">
        <f>(V107+V108+V109)/R104</f>
        <v>8.4094386708591318E-2</v>
      </c>
      <c r="R107" s="3040"/>
      <c r="S107" s="3030"/>
      <c r="T107" s="3029" t="s">
        <v>930</v>
      </c>
      <c r="U107" s="1276" t="s">
        <v>931</v>
      </c>
      <c r="V107" s="1304">
        <v>6000000</v>
      </c>
      <c r="W107" s="1313"/>
      <c r="X107" s="1314"/>
      <c r="Y107" s="3107"/>
      <c r="Z107" s="3107"/>
      <c r="AA107" s="3107"/>
      <c r="AB107" s="3107"/>
      <c r="AC107" s="3107"/>
      <c r="AD107" s="3107"/>
      <c r="AE107" s="3036"/>
      <c r="AF107" s="3036"/>
      <c r="AG107" s="3036"/>
      <c r="AH107" s="3036"/>
      <c r="AI107" s="3036"/>
      <c r="AJ107" s="3036"/>
      <c r="AK107" s="3104"/>
      <c r="AL107" s="3104"/>
      <c r="AM107" s="3111"/>
    </row>
    <row r="108" spans="1:45" ht="57" customHeight="1" x14ac:dyDescent="0.2">
      <c r="A108" s="1239"/>
      <c r="B108" s="1240"/>
      <c r="C108" s="1241"/>
      <c r="D108" s="1240"/>
      <c r="E108" s="1240"/>
      <c r="F108" s="1241"/>
      <c r="G108" s="1239"/>
      <c r="H108" s="1240"/>
      <c r="I108" s="1241"/>
      <c r="J108" s="3027"/>
      <c r="K108" s="3030"/>
      <c r="L108" s="3027"/>
      <c r="M108" s="3027"/>
      <c r="N108" s="1312"/>
      <c r="O108" s="3027"/>
      <c r="P108" s="3030"/>
      <c r="Q108" s="3033"/>
      <c r="R108" s="3040"/>
      <c r="S108" s="3030"/>
      <c r="T108" s="3030"/>
      <c r="U108" s="1276" t="s">
        <v>932</v>
      </c>
      <c r="V108" s="1304">
        <v>20000000</v>
      </c>
      <c r="W108" s="1313"/>
      <c r="X108" s="1314"/>
      <c r="Y108" s="3107"/>
      <c r="Z108" s="3107"/>
      <c r="AA108" s="3107"/>
      <c r="AB108" s="3107"/>
      <c r="AC108" s="3107"/>
      <c r="AD108" s="3107"/>
      <c r="AE108" s="3036"/>
      <c r="AF108" s="3036"/>
      <c r="AG108" s="3036"/>
      <c r="AH108" s="3036"/>
      <c r="AI108" s="3036"/>
      <c r="AJ108" s="3036"/>
      <c r="AK108" s="3104"/>
      <c r="AL108" s="3104"/>
      <c r="AM108" s="3111"/>
    </row>
    <row r="109" spans="1:45" ht="45" customHeight="1" x14ac:dyDescent="0.2">
      <c r="A109" s="1239"/>
      <c r="B109" s="1240"/>
      <c r="C109" s="1241"/>
      <c r="D109" s="1240"/>
      <c r="E109" s="1240"/>
      <c r="F109" s="1241"/>
      <c r="G109" s="1239"/>
      <c r="H109" s="1240"/>
      <c r="I109" s="1241"/>
      <c r="J109" s="3028"/>
      <c r="K109" s="3031"/>
      <c r="L109" s="3028"/>
      <c r="M109" s="3028"/>
      <c r="N109" s="1312" t="s">
        <v>933</v>
      </c>
      <c r="O109" s="3027"/>
      <c r="P109" s="3030"/>
      <c r="Q109" s="3034"/>
      <c r="R109" s="3040"/>
      <c r="S109" s="3030"/>
      <c r="T109" s="3031"/>
      <c r="U109" s="1276" t="s">
        <v>934</v>
      </c>
      <c r="V109" s="1304">
        <v>8000000</v>
      </c>
      <c r="W109" s="1314">
        <v>61</v>
      </c>
      <c r="X109" s="1312" t="s">
        <v>739</v>
      </c>
      <c r="Y109" s="3107"/>
      <c r="Z109" s="3107"/>
      <c r="AA109" s="3107"/>
      <c r="AB109" s="3107"/>
      <c r="AC109" s="3107"/>
      <c r="AD109" s="3107"/>
      <c r="AE109" s="3036"/>
      <c r="AF109" s="3036"/>
      <c r="AG109" s="3036"/>
      <c r="AH109" s="3036"/>
      <c r="AI109" s="3036"/>
      <c r="AJ109" s="3036"/>
      <c r="AK109" s="3104"/>
      <c r="AL109" s="3104"/>
      <c r="AM109" s="3111"/>
      <c r="AO109" s="1251"/>
    </row>
    <row r="110" spans="1:45" ht="45.75" customHeight="1" x14ac:dyDescent="0.2">
      <c r="A110" s="1239"/>
      <c r="B110" s="1240"/>
      <c r="C110" s="1241"/>
      <c r="D110" s="1240"/>
      <c r="E110" s="1240"/>
      <c r="F110" s="1241"/>
      <c r="G110" s="1239"/>
      <c r="H110" s="1240"/>
      <c r="I110" s="1241"/>
      <c r="J110" s="3026">
        <v>156</v>
      </c>
      <c r="K110" s="3029" t="s">
        <v>935</v>
      </c>
      <c r="L110" s="3026" t="s">
        <v>287</v>
      </c>
      <c r="M110" s="3026">
        <v>12</v>
      </c>
      <c r="N110" s="1312" t="s">
        <v>936</v>
      </c>
      <c r="O110" s="3027"/>
      <c r="P110" s="3030"/>
      <c r="Q110" s="3032">
        <f>(V110+V111+V112+V113+V114+V115+V116)/R104</f>
        <v>0.36902595579181835</v>
      </c>
      <c r="R110" s="3040"/>
      <c r="S110" s="3030"/>
      <c r="T110" s="3029" t="s">
        <v>937</v>
      </c>
      <c r="U110" s="1276" t="s">
        <v>938</v>
      </c>
      <c r="V110" s="1304">
        <f>50000000-50000000</f>
        <v>0</v>
      </c>
      <c r="W110" s="1314">
        <v>20</v>
      </c>
      <c r="X110" s="1312" t="s">
        <v>185</v>
      </c>
      <c r="Y110" s="3107"/>
      <c r="Z110" s="3107"/>
      <c r="AA110" s="3107"/>
      <c r="AB110" s="3107"/>
      <c r="AC110" s="3107"/>
      <c r="AD110" s="3107"/>
      <c r="AE110" s="3036"/>
      <c r="AF110" s="3036"/>
      <c r="AG110" s="3036"/>
      <c r="AH110" s="3036"/>
      <c r="AI110" s="3036"/>
      <c r="AJ110" s="3036"/>
      <c r="AK110" s="3104"/>
      <c r="AL110" s="3104"/>
      <c r="AM110" s="3111"/>
    </row>
    <row r="111" spans="1:45" ht="69" customHeight="1" x14ac:dyDescent="0.2">
      <c r="A111" s="1239"/>
      <c r="B111" s="1240"/>
      <c r="C111" s="1241"/>
      <c r="D111" s="1240"/>
      <c r="E111" s="1240"/>
      <c r="F111" s="1241"/>
      <c r="G111" s="1239"/>
      <c r="H111" s="1240"/>
      <c r="I111" s="1241"/>
      <c r="J111" s="3027"/>
      <c r="K111" s="3030"/>
      <c r="L111" s="3027"/>
      <c r="M111" s="3027"/>
      <c r="N111" s="1312"/>
      <c r="O111" s="3027"/>
      <c r="P111" s="3030"/>
      <c r="Q111" s="3033"/>
      <c r="R111" s="3040"/>
      <c r="S111" s="3030"/>
      <c r="T111" s="3030"/>
      <c r="U111" s="1276" t="s">
        <v>939</v>
      </c>
      <c r="V111" s="1304">
        <f>99200000-99200000</f>
        <v>0</v>
      </c>
      <c r="W111" s="1314"/>
      <c r="X111" s="1312"/>
      <c r="Y111" s="3107"/>
      <c r="Z111" s="3107"/>
      <c r="AA111" s="3107"/>
      <c r="AB111" s="3107"/>
      <c r="AC111" s="3107"/>
      <c r="AD111" s="3107"/>
      <c r="AE111" s="3036"/>
      <c r="AF111" s="3036"/>
      <c r="AG111" s="3036"/>
      <c r="AH111" s="3036"/>
      <c r="AI111" s="3036"/>
      <c r="AJ111" s="3036"/>
      <c r="AK111" s="3104"/>
      <c r="AL111" s="3104"/>
      <c r="AM111" s="3111"/>
    </row>
    <row r="112" spans="1:45" ht="62.25" customHeight="1" x14ac:dyDescent="0.2">
      <c r="A112" s="1239"/>
      <c r="B112" s="1240"/>
      <c r="C112" s="1241"/>
      <c r="D112" s="1240"/>
      <c r="E112" s="1240"/>
      <c r="F112" s="1241"/>
      <c r="G112" s="1239"/>
      <c r="H112" s="1240"/>
      <c r="I112" s="1241"/>
      <c r="J112" s="3027"/>
      <c r="K112" s="3030"/>
      <c r="L112" s="3027"/>
      <c r="M112" s="3027"/>
      <c r="N112" s="1312"/>
      <c r="O112" s="3027"/>
      <c r="P112" s="3030"/>
      <c r="Q112" s="3033"/>
      <c r="R112" s="3040"/>
      <c r="S112" s="3030"/>
      <c r="T112" s="3030"/>
      <c r="U112" s="1276" t="s">
        <v>940</v>
      </c>
      <c r="V112" s="1304">
        <v>42000000</v>
      </c>
      <c r="W112" s="1314"/>
      <c r="X112" s="1312"/>
      <c r="Y112" s="3107"/>
      <c r="Z112" s="3107"/>
      <c r="AA112" s="3107"/>
      <c r="AB112" s="3107"/>
      <c r="AC112" s="3107"/>
      <c r="AD112" s="3107"/>
      <c r="AE112" s="3036"/>
      <c r="AF112" s="3036"/>
      <c r="AG112" s="3036"/>
      <c r="AH112" s="3036"/>
      <c r="AI112" s="3036"/>
      <c r="AJ112" s="3036"/>
      <c r="AK112" s="3104"/>
      <c r="AL112" s="3104"/>
      <c r="AM112" s="3111"/>
    </row>
    <row r="113" spans="1:45" ht="62.25" customHeight="1" x14ac:dyDescent="0.2">
      <c r="A113" s="1239"/>
      <c r="B113" s="1240"/>
      <c r="C113" s="1241"/>
      <c r="D113" s="1240"/>
      <c r="E113" s="1240"/>
      <c r="F113" s="1241"/>
      <c r="G113" s="1239"/>
      <c r="H113" s="1240"/>
      <c r="I113" s="1241"/>
      <c r="J113" s="3027"/>
      <c r="K113" s="3030"/>
      <c r="L113" s="3027"/>
      <c r="M113" s="3027"/>
      <c r="N113" s="1312"/>
      <c r="O113" s="3027"/>
      <c r="P113" s="3030"/>
      <c r="Q113" s="3033"/>
      <c r="R113" s="3040"/>
      <c r="S113" s="3030"/>
      <c r="T113" s="3030"/>
      <c r="U113" s="1276" t="s">
        <v>941</v>
      </c>
      <c r="V113" s="1304">
        <v>42000000</v>
      </c>
      <c r="W113" s="1314"/>
      <c r="X113" s="1312"/>
      <c r="Y113" s="3107"/>
      <c r="Z113" s="3107"/>
      <c r="AA113" s="3107"/>
      <c r="AB113" s="3107"/>
      <c r="AC113" s="3107"/>
      <c r="AD113" s="3107"/>
      <c r="AE113" s="3036"/>
      <c r="AF113" s="3036"/>
      <c r="AG113" s="3036"/>
      <c r="AH113" s="3036"/>
      <c r="AI113" s="3036"/>
      <c r="AJ113" s="3036"/>
      <c r="AK113" s="3104"/>
      <c r="AL113" s="3104"/>
      <c r="AM113" s="3111"/>
    </row>
    <row r="114" spans="1:45" ht="62.25" customHeight="1" x14ac:dyDescent="0.2">
      <c r="A114" s="1239"/>
      <c r="B114" s="1240"/>
      <c r="C114" s="1241"/>
      <c r="D114" s="1240"/>
      <c r="E114" s="1240"/>
      <c r="F114" s="1241"/>
      <c r="G114" s="1239"/>
      <c r="H114" s="1240"/>
      <c r="I114" s="1241"/>
      <c r="J114" s="3027"/>
      <c r="K114" s="3030"/>
      <c r="L114" s="3027"/>
      <c r="M114" s="3027"/>
      <c r="N114" s="1312"/>
      <c r="O114" s="3027"/>
      <c r="P114" s="3030"/>
      <c r="Q114" s="3033"/>
      <c r="R114" s="3040"/>
      <c r="S114" s="3030"/>
      <c r="T114" s="3030"/>
      <c r="U114" s="1276" t="s">
        <v>942</v>
      </c>
      <c r="V114" s="1304">
        <v>42000000</v>
      </c>
      <c r="W114" s="1314"/>
      <c r="X114" s="1312"/>
      <c r="Y114" s="3107"/>
      <c r="Z114" s="3107"/>
      <c r="AA114" s="3107"/>
      <c r="AB114" s="3107"/>
      <c r="AC114" s="3107"/>
      <c r="AD114" s="3107"/>
      <c r="AE114" s="3036"/>
      <c r="AF114" s="3036"/>
      <c r="AG114" s="3036"/>
      <c r="AH114" s="3036"/>
      <c r="AI114" s="3036"/>
      <c r="AJ114" s="3036"/>
      <c r="AK114" s="3104"/>
      <c r="AL114" s="3104"/>
      <c r="AM114" s="3111"/>
    </row>
    <row r="115" spans="1:45" ht="62.25" customHeight="1" x14ac:dyDescent="0.2">
      <c r="A115" s="1239"/>
      <c r="B115" s="1240"/>
      <c r="C115" s="1241"/>
      <c r="D115" s="1240"/>
      <c r="E115" s="1240"/>
      <c r="F115" s="1241"/>
      <c r="G115" s="1239"/>
      <c r="H115" s="1240"/>
      <c r="I115" s="1241"/>
      <c r="J115" s="3027"/>
      <c r="K115" s="3030"/>
      <c r="L115" s="3027"/>
      <c r="M115" s="3027"/>
      <c r="N115" s="1312"/>
      <c r="O115" s="3027"/>
      <c r="P115" s="3030"/>
      <c r="Q115" s="3033"/>
      <c r="R115" s="3040"/>
      <c r="S115" s="3030"/>
      <c r="T115" s="3030"/>
      <c r="U115" s="1276" t="s">
        <v>943</v>
      </c>
      <c r="V115" s="1304">
        <v>23200000</v>
      </c>
      <c r="W115" s="1314"/>
      <c r="X115" s="1312"/>
      <c r="Y115" s="3107"/>
      <c r="Z115" s="3107"/>
      <c r="AA115" s="3107"/>
      <c r="AB115" s="3107"/>
      <c r="AC115" s="3107"/>
      <c r="AD115" s="3107"/>
      <c r="AE115" s="3036"/>
      <c r="AF115" s="3036"/>
      <c r="AG115" s="3036"/>
      <c r="AH115" s="3036"/>
      <c r="AI115" s="3036"/>
      <c r="AJ115" s="3036"/>
      <c r="AK115" s="3104"/>
      <c r="AL115" s="3104"/>
      <c r="AM115" s="3111"/>
    </row>
    <row r="116" spans="1:45" ht="67.5" customHeight="1" x14ac:dyDescent="0.2">
      <c r="A116" s="1239"/>
      <c r="B116" s="1240"/>
      <c r="C116" s="1241"/>
      <c r="D116" s="1240"/>
      <c r="E116" s="1240"/>
      <c r="F116" s="1241"/>
      <c r="G116" s="1239"/>
      <c r="H116" s="1240"/>
      <c r="I116" s="1241"/>
      <c r="J116" s="3028"/>
      <c r="K116" s="3031"/>
      <c r="L116" s="3028"/>
      <c r="M116" s="3028"/>
      <c r="N116" s="1312"/>
      <c r="O116" s="3027"/>
      <c r="P116" s="3030"/>
      <c r="Q116" s="3034"/>
      <c r="R116" s="3040"/>
      <c r="S116" s="3030"/>
      <c r="T116" s="3031"/>
      <c r="U116" s="1276" t="s">
        <v>944</v>
      </c>
      <c r="V116" s="1304">
        <v>0</v>
      </c>
      <c r="W116" s="1313"/>
      <c r="X116" s="1314"/>
      <c r="Y116" s="3107"/>
      <c r="Z116" s="3107"/>
      <c r="AA116" s="3107"/>
      <c r="AB116" s="3107"/>
      <c r="AC116" s="3107"/>
      <c r="AD116" s="3107"/>
      <c r="AE116" s="3036"/>
      <c r="AF116" s="3036"/>
      <c r="AG116" s="3036"/>
      <c r="AH116" s="3036"/>
      <c r="AI116" s="3036"/>
      <c r="AJ116" s="3036"/>
      <c r="AK116" s="3104"/>
      <c r="AL116" s="3104"/>
      <c r="AM116" s="3111"/>
    </row>
    <row r="117" spans="1:45" ht="48.75" customHeight="1" x14ac:dyDescent="0.2">
      <c r="A117" s="1239"/>
      <c r="B117" s="1240"/>
      <c r="C117" s="1241"/>
      <c r="D117" s="1240"/>
      <c r="E117" s="1240"/>
      <c r="F117" s="1241"/>
      <c r="G117" s="1239"/>
      <c r="H117" s="1240"/>
      <c r="I117" s="1241"/>
      <c r="J117" s="3026">
        <v>157</v>
      </c>
      <c r="K117" s="3029" t="s">
        <v>945</v>
      </c>
      <c r="L117" s="3026" t="s">
        <v>287</v>
      </c>
      <c r="M117" s="3026">
        <v>12</v>
      </c>
      <c r="N117" s="1312"/>
      <c r="O117" s="3027"/>
      <c r="P117" s="3030"/>
      <c r="Q117" s="3032">
        <f>(V117+V118)/R104</f>
        <v>0.15237804926369874</v>
      </c>
      <c r="R117" s="3040"/>
      <c r="S117" s="3030"/>
      <c r="T117" s="3029" t="s">
        <v>946</v>
      </c>
      <c r="U117" s="1276" t="s">
        <v>947</v>
      </c>
      <c r="V117" s="1317">
        <f>33607604-12500000</f>
        <v>21107604</v>
      </c>
      <c r="W117" s="1313"/>
      <c r="X117" s="1314"/>
      <c r="Y117" s="3107"/>
      <c r="Z117" s="3107"/>
      <c r="AA117" s="3107"/>
      <c r="AB117" s="3107"/>
      <c r="AC117" s="3107"/>
      <c r="AD117" s="3107"/>
      <c r="AE117" s="3036"/>
      <c r="AF117" s="3036"/>
      <c r="AG117" s="3036"/>
      <c r="AH117" s="3036"/>
      <c r="AI117" s="3036"/>
      <c r="AJ117" s="3036"/>
      <c r="AK117" s="3104"/>
      <c r="AL117" s="3104"/>
      <c r="AM117" s="3111"/>
    </row>
    <row r="118" spans="1:45" ht="66" customHeight="1" x14ac:dyDescent="0.2">
      <c r="A118" s="1239"/>
      <c r="B118" s="1240"/>
      <c r="C118" s="1241"/>
      <c r="D118" s="1240"/>
      <c r="E118" s="1240"/>
      <c r="F118" s="1241"/>
      <c r="G118" s="1257"/>
      <c r="H118" s="1255"/>
      <c r="I118" s="1256"/>
      <c r="J118" s="3028"/>
      <c r="K118" s="3031"/>
      <c r="L118" s="3028"/>
      <c r="M118" s="3028"/>
      <c r="N118" s="1281"/>
      <c r="O118" s="3028"/>
      <c r="P118" s="3031"/>
      <c r="Q118" s="3034"/>
      <c r="R118" s="3041"/>
      <c r="S118" s="3031"/>
      <c r="T118" s="3031"/>
      <c r="U118" s="1276" t="s">
        <v>948</v>
      </c>
      <c r="V118" s="1304">
        <f>12500000+28000000</f>
        <v>40500000</v>
      </c>
      <c r="W118" s="1315"/>
      <c r="X118" s="1318"/>
      <c r="Y118" s="3108"/>
      <c r="Z118" s="3108"/>
      <c r="AA118" s="3108"/>
      <c r="AB118" s="3108"/>
      <c r="AC118" s="3108"/>
      <c r="AD118" s="3108"/>
      <c r="AE118" s="3037"/>
      <c r="AF118" s="3037"/>
      <c r="AG118" s="3037"/>
      <c r="AH118" s="3037"/>
      <c r="AI118" s="3037"/>
      <c r="AJ118" s="3037"/>
      <c r="AK118" s="3105"/>
      <c r="AL118" s="3105"/>
      <c r="AM118" s="3112"/>
    </row>
    <row r="119" spans="1:45" s="1269" customFormat="1" ht="36" customHeight="1" x14ac:dyDescent="0.2">
      <c r="A119" s="1227"/>
      <c r="B119" s="1228"/>
      <c r="C119" s="1229"/>
      <c r="D119" s="1228"/>
      <c r="E119" s="1228"/>
      <c r="F119" s="1229"/>
      <c r="G119" s="1264">
        <v>45</v>
      </c>
      <c r="H119" s="1233" t="s">
        <v>949</v>
      </c>
      <c r="I119" s="1233"/>
      <c r="J119" s="1233"/>
      <c r="K119" s="1234"/>
      <c r="L119" s="1233"/>
      <c r="M119" s="1233"/>
      <c r="N119" s="1235"/>
      <c r="O119" s="1233"/>
      <c r="P119" s="1234"/>
      <c r="Q119" s="1233"/>
      <c r="R119" s="1233"/>
      <c r="S119" s="1233"/>
      <c r="T119" s="1234"/>
      <c r="U119" s="1234"/>
      <c r="V119" s="1234"/>
      <c r="W119" s="1265"/>
      <c r="X119" s="1235"/>
      <c r="Y119" s="1235"/>
      <c r="Z119" s="1235"/>
      <c r="AA119" s="1235"/>
      <c r="AB119" s="1235"/>
      <c r="AC119" s="1235"/>
      <c r="AD119" s="1235"/>
      <c r="AE119" s="1235"/>
      <c r="AF119" s="1235"/>
      <c r="AG119" s="1235"/>
      <c r="AH119" s="1235"/>
      <c r="AI119" s="1235"/>
      <c r="AJ119" s="1235"/>
      <c r="AK119" s="1235"/>
      <c r="AL119" s="1233"/>
      <c r="AM119" s="1266"/>
      <c r="AN119" s="1217"/>
      <c r="AO119" s="1217"/>
      <c r="AP119" s="1217"/>
      <c r="AQ119" s="1217"/>
      <c r="AR119" s="1217"/>
      <c r="AS119" s="1217"/>
    </row>
    <row r="120" spans="1:45" s="1252" customFormat="1" ht="54.75" customHeight="1" x14ac:dyDescent="0.2">
      <c r="A120" s="1239"/>
      <c r="B120" s="1240"/>
      <c r="C120" s="1241"/>
      <c r="D120" s="1240"/>
      <c r="E120" s="1240"/>
      <c r="F120" s="1241"/>
      <c r="G120" s="1242"/>
      <c r="H120" s="1243"/>
      <c r="I120" s="1244"/>
      <c r="J120" s="3026">
        <v>158</v>
      </c>
      <c r="K120" s="3026" t="s">
        <v>950</v>
      </c>
      <c r="L120" s="3026" t="s">
        <v>287</v>
      </c>
      <c r="M120" s="3026">
        <v>11</v>
      </c>
      <c r="N120" s="3026" t="s">
        <v>951</v>
      </c>
      <c r="O120" s="3026">
        <v>150</v>
      </c>
      <c r="P120" s="3029" t="s">
        <v>952</v>
      </c>
      <c r="Q120" s="3032">
        <v>0.9</v>
      </c>
      <c r="R120" s="3039">
        <f>SUM(V120:V124)</f>
        <v>1396230607</v>
      </c>
      <c r="S120" s="3029" t="s">
        <v>953</v>
      </c>
      <c r="T120" s="3042" t="s">
        <v>954</v>
      </c>
      <c r="U120" s="1276" t="s">
        <v>955</v>
      </c>
      <c r="V120" s="1250">
        <f>215000000+40530000</f>
        <v>255530000</v>
      </c>
      <c r="W120" s="3062">
        <v>61</v>
      </c>
      <c r="X120" s="3026" t="s">
        <v>739</v>
      </c>
      <c r="Y120" s="3035">
        <v>64149</v>
      </c>
      <c r="Z120" s="3035">
        <v>72224</v>
      </c>
      <c r="AA120" s="3035">
        <v>27477</v>
      </c>
      <c r="AB120" s="3035">
        <v>86843</v>
      </c>
      <c r="AC120" s="3035">
        <v>236429</v>
      </c>
      <c r="AD120" s="3035">
        <v>81384</v>
      </c>
      <c r="AE120" s="3035">
        <v>13208</v>
      </c>
      <c r="AF120" s="3035">
        <v>2145</v>
      </c>
      <c r="AG120" s="3035">
        <v>413</v>
      </c>
      <c r="AH120" s="3035">
        <v>520</v>
      </c>
      <c r="AI120" s="3035">
        <v>16897</v>
      </c>
      <c r="AJ120" s="3035">
        <v>75612</v>
      </c>
      <c r="AK120" s="3020">
        <v>42948</v>
      </c>
      <c r="AL120" s="3020">
        <v>43100</v>
      </c>
      <c r="AM120" s="3023" t="s">
        <v>797</v>
      </c>
    </row>
    <row r="121" spans="1:45" s="1252" customFormat="1" ht="54.75" customHeight="1" x14ac:dyDescent="0.2">
      <c r="A121" s="1239"/>
      <c r="B121" s="1240"/>
      <c r="C121" s="1241"/>
      <c r="D121" s="1240"/>
      <c r="E121" s="1240"/>
      <c r="F121" s="1241"/>
      <c r="G121" s="1239"/>
      <c r="H121" s="1240"/>
      <c r="I121" s="1241"/>
      <c r="J121" s="3027"/>
      <c r="K121" s="3027"/>
      <c r="L121" s="3027"/>
      <c r="M121" s="3027"/>
      <c r="N121" s="3027"/>
      <c r="O121" s="3027"/>
      <c r="P121" s="3030"/>
      <c r="Q121" s="3033"/>
      <c r="R121" s="3040"/>
      <c r="S121" s="3030"/>
      <c r="T121" s="3043"/>
      <c r="U121" s="1276" t="s">
        <v>956</v>
      </c>
      <c r="V121" s="1250">
        <v>25920000</v>
      </c>
      <c r="W121" s="3063"/>
      <c r="X121" s="3027"/>
      <c r="Y121" s="3036"/>
      <c r="Z121" s="3036"/>
      <c r="AA121" s="3036"/>
      <c r="AB121" s="3036"/>
      <c r="AC121" s="3036"/>
      <c r="AD121" s="3036"/>
      <c r="AE121" s="3036"/>
      <c r="AF121" s="3036"/>
      <c r="AG121" s="3036"/>
      <c r="AH121" s="3036"/>
      <c r="AI121" s="3036"/>
      <c r="AJ121" s="3036"/>
      <c r="AK121" s="3021"/>
      <c r="AL121" s="3021"/>
      <c r="AM121" s="3024"/>
    </row>
    <row r="122" spans="1:45" s="1252" customFormat="1" ht="54.75" customHeight="1" x14ac:dyDescent="0.2">
      <c r="A122" s="1239"/>
      <c r="B122" s="1240"/>
      <c r="C122" s="1241"/>
      <c r="D122" s="1240"/>
      <c r="E122" s="1240"/>
      <c r="F122" s="1241"/>
      <c r="G122" s="1239"/>
      <c r="H122" s="1240"/>
      <c r="I122" s="1241"/>
      <c r="J122" s="3027"/>
      <c r="K122" s="3027"/>
      <c r="L122" s="3027"/>
      <c r="M122" s="3027"/>
      <c r="N122" s="3027"/>
      <c r="O122" s="3027"/>
      <c r="P122" s="3030"/>
      <c r="Q122" s="3033"/>
      <c r="R122" s="3040"/>
      <c r="S122" s="3030"/>
      <c r="T122" s="3044"/>
      <c r="U122" s="1276" t="s">
        <v>957</v>
      </c>
      <c r="V122" s="1250">
        <f>656161907+94103700</f>
        <v>750265607</v>
      </c>
      <c r="W122" s="3063"/>
      <c r="X122" s="3027"/>
      <c r="Y122" s="3036"/>
      <c r="Z122" s="3036"/>
      <c r="AA122" s="3036"/>
      <c r="AB122" s="3036"/>
      <c r="AC122" s="3036"/>
      <c r="AD122" s="3036"/>
      <c r="AE122" s="3036"/>
      <c r="AF122" s="3036"/>
      <c r="AG122" s="3036"/>
      <c r="AH122" s="3036"/>
      <c r="AI122" s="3036"/>
      <c r="AJ122" s="3036"/>
      <c r="AK122" s="3021"/>
      <c r="AL122" s="3021"/>
      <c r="AM122" s="3024"/>
    </row>
    <row r="123" spans="1:45" s="1252" customFormat="1" ht="54.75" customHeight="1" x14ac:dyDescent="0.2">
      <c r="A123" s="1239"/>
      <c r="B123" s="1240"/>
      <c r="C123" s="1241"/>
      <c r="D123" s="1240"/>
      <c r="E123" s="1240"/>
      <c r="F123" s="1241"/>
      <c r="G123" s="1239"/>
      <c r="H123" s="1240"/>
      <c r="I123" s="1241"/>
      <c r="J123" s="3028"/>
      <c r="K123" s="3028"/>
      <c r="L123" s="3028"/>
      <c r="M123" s="3028"/>
      <c r="N123" s="3027"/>
      <c r="O123" s="3027"/>
      <c r="P123" s="3030"/>
      <c r="Q123" s="3034"/>
      <c r="R123" s="3040"/>
      <c r="S123" s="3030"/>
      <c r="T123" s="1319" t="s">
        <v>958</v>
      </c>
      <c r="U123" s="1276" t="s">
        <v>959</v>
      </c>
      <c r="V123" s="1250">
        <f>160000000+204515000</f>
        <v>364515000</v>
      </c>
      <c r="W123" s="3063"/>
      <c r="X123" s="3027"/>
      <c r="Y123" s="3036"/>
      <c r="Z123" s="3036"/>
      <c r="AA123" s="3036"/>
      <c r="AB123" s="3036"/>
      <c r="AC123" s="3036"/>
      <c r="AD123" s="3036"/>
      <c r="AE123" s="3036"/>
      <c r="AF123" s="3036"/>
      <c r="AG123" s="3036"/>
      <c r="AH123" s="3036"/>
      <c r="AI123" s="3036"/>
      <c r="AJ123" s="3036"/>
      <c r="AK123" s="3021"/>
      <c r="AL123" s="3021"/>
      <c r="AM123" s="3024"/>
      <c r="AO123" s="1251"/>
    </row>
    <row r="124" spans="1:45" s="1252" customFormat="1" ht="65.25" customHeight="1" x14ac:dyDescent="0.2">
      <c r="A124" s="1239"/>
      <c r="B124" s="1240"/>
      <c r="C124" s="1241"/>
      <c r="D124" s="1240"/>
      <c r="E124" s="1240"/>
      <c r="F124" s="1241"/>
      <c r="G124" s="1257"/>
      <c r="H124" s="1255"/>
      <c r="I124" s="1256"/>
      <c r="J124" s="1245">
        <v>159</v>
      </c>
      <c r="K124" s="1246" t="s">
        <v>960</v>
      </c>
      <c r="L124" s="1281" t="s">
        <v>287</v>
      </c>
      <c r="M124" s="1245">
        <v>8</v>
      </c>
      <c r="N124" s="3028"/>
      <c r="O124" s="3028"/>
      <c r="P124" s="3031"/>
      <c r="Q124" s="1248">
        <v>0.1</v>
      </c>
      <c r="R124" s="3041"/>
      <c r="S124" s="3031"/>
      <c r="T124" s="1320" t="s">
        <v>961</v>
      </c>
      <c r="U124" s="1276" t="s">
        <v>962</v>
      </c>
      <c r="V124" s="1250">
        <v>0</v>
      </c>
      <c r="W124" s="3064"/>
      <c r="X124" s="3028"/>
      <c r="Y124" s="3037"/>
      <c r="Z124" s="3037"/>
      <c r="AA124" s="3037"/>
      <c r="AB124" s="3037"/>
      <c r="AC124" s="3037"/>
      <c r="AD124" s="3037"/>
      <c r="AE124" s="3037"/>
      <c r="AF124" s="3037"/>
      <c r="AG124" s="3037"/>
      <c r="AH124" s="3037"/>
      <c r="AI124" s="3037"/>
      <c r="AJ124" s="3037"/>
      <c r="AK124" s="3022"/>
      <c r="AL124" s="3022"/>
      <c r="AM124" s="3025"/>
    </row>
    <row r="125" spans="1:45" s="1269" customFormat="1" ht="36" customHeight="1" x14ac:dyDescent="0.2">
      <c r="A125" s="1227"/>
      <c r="B125" s="1228"/>
      <c r="C125" s="1229"/>
      <c r="D125" s="1228"/>
      <c r="E125" s="1228"/>
      <c r="F125" s="1229"/>
      <c r="G125" s="1264">
        <v>46</v>
      </c>
      <c r="H125" s="1233" t="s">
        <v>963</v>
      </c>
      <c r="I125" s="1233"/>
      <c r="J125" s="1233"/>
      <c r="K125" s="1234"/>
      <c r="L125" s="1233"/>
      <c r="M125" s="1233"/>
      <c r="N125" s="1235"/>
      <c r="O125" s="1233"/>
      <c r="P125" s="1234"/>
      <c r="Q125" s="1233"/>
      <c r="R125" s="1233"/>
      <c r="S125" s="1233"/>
      <c r="T125" s="1234"/>
      <c r="U125" s="1234"/>
      <c r="V125" s="1321"/>
      <c r="W125" s="1265"/>
      <c r="X125" s="1235"/>
      <c r="Y125" s="1235"/>
      <c r="Z125" s="1235"/>
      <c r="AA125" s="1235"/>
      <c r="AB125" s="1235"/>
      <c r="AC125" s="1235"/>
      <c r="AD125" s="1235"/>
      <c r="AE125" s="1235"/>
      <c r="AF125" s="1235"/>
      <c r="AG125" s="1235"/>
      <c r="AH125" s="1235"/>
      <c r="AI125" s="1235"/>
      <c r="AJ125" s="1235"/>
      <c r="AK125" s="1233"/>
      <c r="AL125" s="1233"/>
      <c r="AM125" s="1266"/>
      <c r="AN125" s="1322"/>
      <c r="AO125" s="1217"/>
      <c r="AP125" s="1217"/>
      <c r="AQ125" s="1217"/>
      <c r="AR125" s="1217"/>
      <c r="AS125" s="1217"/>
    </row>
    <row r="126" spans="1:45" ht="36.75" customHeight="1" x14ac:dyDescent="0.2">
      <c r="A126" s="1239"/>
      <c r="B126" s="1240"/>
      <c r="C126" s="1241"/>
      <c r="D126" s="1240"/>
      <c r="E126" s="1240"/>
      <c r="F126" s="1241"/>
      <c r="G126" s="1242"/>
      <c r="H126" s="1243"/>
      <c r="I126" s="1244"/>
      <c r="J126" s="3075">
        <v>160</v>
      </c>
      <c r="K126" s="3029" t="s">
        <v>964</v>
      </c>
      <c r="L126" s="3026" t="s">
        <v>287</v>
      </c>
      <c r="M126" s="3026">
        <v>300</v>
      </c>
      <c r="N126" s="3026" t="s">
        <v>965</v>
      </c>
      <c r="O126" s="3026">
        <v>151</v>
      </c>
      <c r="P126" s="3029" t="s">
        <v>966</v>
      </c>
      <c r="Q126" s="3032">
        <v>1</v>
      </c>
      <c r="R126" s="3039">
        <f>SUM(V126:V130)</f>
        <v>1021461289</v>
      </c>
      <c r="S126" s="3029" t="s">
        <v>967</v>
      </c>
      <c r="T126" s="3029" t="s">
        <v>968</v>
      </c>
      <c r="U126" s="1267" t="s">
        <v>969</v>
      </c>
      <c r="V126" s="1250">
        <f>290000000+61826931</f>
        <v>351826931</v>
      </c>
      <c r="W126" s="3062">
        <v>61</v>
      </c>
      <c r="X126" s="3026" t="s">
        <v>739</v>
      </c>
      <c r="Y126" s="3098">
        <v>64149</v>
      </c>
      <c r="Z126" s="3098">
        <v>72224</v>
      </c>
      <c r="AA126" s="3098">
        <v>27477</v>
      </c>
      <c r="AB126" s="3098">
        <v>86843</v>
      </c>
      <c r="AC126" s="3098">
        <v>236429</v>
      </c>
      <c r="AD126" s="3098">
        <v>81384</v>
      </c>
      <c r="AE126" s="3098">
        <v>13208</v>
      </c>
      <c r="AF126" s="3098">
        <v>2145</v>
      </c>
      <c r="AG126" s="3098">
        <v>413</v>
      </c>
      <c r="AH126" s="3098">
        <v>520</v>
      </c>
      <c r="AI126" s="3098">
        <v>16897</v>
      </c>
      <c r="AJ126" s="3098">
        <v>75612</v>
      </c>
      <c r="AK126" s="3065">
        <v>42948</v>
      </c>
      <c r="AL126" s="3065">
        <v>43100</v>
      </c>
      <c r="AM126" s="3038" t="s">
        <v>797</v>
      </c>
      <c r="AN126" s="1252"/>
    </row>
    <row r="127" spans="1:45" ht="51" customHeight="1" x14ac:dyDescent="0.2">
      <c r="A127" s="1239"/>
      <c r="B127" s="1240"/>
      <c r="C127" s="1241"/>
      <c r="D127" s="1240"/>
      <c r="E127" s="1240"/>
      <c r="F127" s="1241"/>
      <c r="G127" s="1239"/>
      <c r="H127" s="1240"/>
      <c r="I127" s="1241"/>
      <c r="J127" s="3075"/>
      <c r="K127" s="3030"/>
      <c r="L127" s="3027"/>
      <c r="M127" s="3027"/>
      <c r="N127" s="3027"/>
      <c r="O127" s="3027"/>
      <c r="P127" s="3030"/>
      <c r="Q127" s="3033"/>
      <c r="R127" s="3040"/>
      <c r="S127" s="3030"/>
      <c r="T127" s="3031"/>
      <c r="U127" s="1267" t="s">
        <v>970</v>
      </c>
      <c r="V127" s="1250">
        <f>210000000+100000000</f>
        <v>310000000</v>
      </c>
      <c r="W127" s="3063"/>
      <c r="X127" s="3027"/>
      <c r="Y127" s="3099"/>
      <c r="Z127" s="3099"/>
      <c r="AA127" s="3099"/>
      <c r="AB127" s="3099"/>
      <c r="AC127" s="3099"/>
      <c r="AD127" s="3099"/>
      <c r="AE127" s="3099"/>
      <c r="AF127" s="3099"/>
      <c r="AG127" s="3099"/>
      <c r="AH127" s="3099"/>
      <c r="AI127" s="3099"/>
      <c r="AJ127" s="3099"/>
      <c r="AK127" s="3065"/>
      <c r="AL127" s="3065"/>
      <c r="AM127" s="3038"/>
      <c r="AN127" s="1252"/>
    </row>
    <row r="128" spans="1:45" ht="44.25" customHeight="1" x14ac:dyDescent="0.2">
      <c r="A128" s="1239"/>
      <c r="B128" s="1240"/>
      <c r="C128" s="1241"/>
      <c r="D128" s="1240"/>
      <c r="E128" s="1240"/>
      <c r="F128" s="1241"/>
      <c r="G128" s="1239"/>
      <c r="H128" s="1240"/>
      <c r="I128" s="1241"/>
      <c r="J128" s="3075"/>
      <c r="K128" s="3030"/>
      <c r="L128" s="3027"/>
      <c r="M128" s="3027"/>
      <c r="N128" s="3027"/>
      <c r="O128" s="3027"/>
      <c r="P128" s="3030"/>
      <c r="Q128" s="3033"/>
      <c r="R128" s="3040"/>
      <c r="S128" s="3030"/>
      <c r="T128" s="3101" t="s">
        <v>971</v>
      </c>
      <c r="U128" s="1267" t="s">
        <v>972</v>
      </c>
      <c r="V128" s="1250">
        <v>80000000</v>
      </c>
      <c r="W128" s="3063"/>
      <c r="X128" s="3027"/>
      <c r="Y128" s="3099"/>
      <c r="Z128" s="3099"/>
      <c r="AA128" s="3099"/>
      <c r="AB128" s="3099"/>
      <c r="AC128" s="3099"/>
      <c r="AD128" s="3099"/>
      <c r="AE128" s="3099"/>
      <c r="AF128" s="3099"/>
      <c r="AG128" s="3099"/>
      <c r="AH128" s="3099"/>
      <c r="AI128" s="3099"/>
      <c r="AJ128" s="3099"/>
      <c r="AK128" s="3065"/>
      <c r="AL128" s="3065"/>
      <c r="AM128" s="3038"/>
      <c r="AN128" s="1252"/>
    </row>
    <row r="129" spans="1:345" ht="52.5" customHeight="1" x14ac:dyDescent="0.2">
      <c r="A129" s="1239"/>
      <c r="B129" s="1240"/>
      <c r="C129" s="1241"/>
      <c r="D129" s="1240"/>
      <c r="E129" s="1240"/>
      <c r="F129" s="1241"/>
      <c r="G129" s="1239"/>
      <c r="H129" s="1240"/>
      <c r="I129" s="1241"/>
      <c r="J129" s="3075"/>
      <c r="K129" s="3030"/>
      <c r="L129" s="3027"/>
      <c r="M129" s="3027"/>
      <c r="N129" s="3027"/>
      <c r="O129" s="3027"/>
      <c r="P129" s="3030"/>
      <c r="Q129" s="3033"/>
      <c r="R129" s="3040"/>
      <c r="S129" s="3030"/>
      <c r="T129" s="3102"/>
      <c r="U129" s="1267" t="s">
        <v>973</v>
      </c>
      <c r="V129" s="1250">
        <v>120000000</v>
      </c>
      <c r="W129" s="3063"/>
      <c r="X129" s="3027"/>
      <c r="Y129" s="3099"/>
      <c r="Z129" s="3099"/>
      <c r="AA129" s="3099"/>
      <c r="AB129" s="3099"/>
      <c r="AC129" s="3099"/>
      <c r="AD129" s="3099"/>
      <c r="AE129" s="3099"/>
      <c r="AF129" s="3099"/>
      <c r="AG129" s="3099"/>
      <c r="AH129" s="3099"/>
      <c r="AI129" s="3099"/>
      <c r="AJ129" s="3099"/>
      <c r="AK129" s="3065"/>
      <c r="AL129" s="3065"/>
      <c r="AM129" s="3038"/>
      <c r="AN129" s="1252"/>
    </row>
    <row r="130" spans="1:345" ht="57.75" customHeight="1" x14ac:dyDescent="0.2">
      <c r="A130" s="1239"/>
      <c r="B130" s="1240"/>
      <c r="C130" s="1241"/>
      <c r="D130" s="1240"/>
      <c r="E130" s="1240"/>
      <c r="F130" s="1241"/>
      <c r="G130" s="1239"/>
      <c r="H130" s="1240"/>
      <c r="I130" s="1241"/>
      <c r="J130" s="3075"/>
      <c r="K130" s="3031"/>
      <c r="L130" s="3028"/>
      <c r="M130" s="3028"/>
      <c r="N130" s="3028"/>
      <c r="O130" s="3028"/>
      <c r="P130" s="3031"/>
      <c r="Q130" s="3034"/>
      <c r="R130" s="3041"/>
      <c r="S130" s="3031"/>
      <c r="T130" s="1267" t="s">
        <v>974</v>
      </c>
      <c r="U130" s="1267" t="s">
        <v>975</v>
      </c>
      <c r="V130" s="1250">
        <v>159634358</v>
      </c>
      <c r="W130" s="3064"/>
      <c r="X130" s="3028"/>
      <c r="Y130" s="3100"/>
      <c r="Z130" s="3100"/>
      <c r="AA130" s="3100"/>
      <c r="AB130" s="3100"/>
      <c r="AC130" s="3100"/>
      <c r="AD130" s="3100"/>
      <c r="AE130" s="3100"/>
      <c r="AF130" s="3100"/>
      <c r="AG130" s="3100"/>
      <c r="AH130" s="3100"/>
      <c r="AI130" s="3100"/>
      <c r="AJ130" s="3100"/>
      <c r="AK130" s="3065"/>
      <c r="AL130" s="3065"/>
      <c r="AM130" s="3038"/>
      <c r="AN130" s="1252"/>
      <c r="BW130" s="1252"/>
      <c r="BX130" s="1252"/>
      <c r="BY130" s="1252"/>
      <c r="BZ130" s="1252"/>
      <c r="CA130" s="1252"/>
      <c r="CB130" s="1252"/>
      <c r="CC130" s="1252"/>
      <c r="CD130" s="1252"/>
      <c r="CE130" s="1252"/>
      <c r="CF130" s="1252"/>
      <c r="CG130" s="1252"/>
      <c r="CH130" s="1252"/>
      <c r="CI130" s="1252"/>
    </row>
    <row r="131" spans="1:345" s="1285" customFormat="1" ht="50.25" customHeight="1" x14ac:dyDescent="0.2">
      <c r="A131" s="1239"/>
      <c r="B131" s="1240"/>
      <c r="C131" s="1241"/>
      <c r="D131" s="1240"/>
      <c r="E131" s="1240"/>
      <c r="F131" s="1241"/>
      <c r="G131" s="1239"/>
      <c r="H131" s="1240"/>
      <c r="I131" s="1241"/>
      <c r="J131" s="3026">
        <v>161</v>
      </c>
      <c r="K131" s="3029" t="s">
        <v>976</v>
      </c>
      <c r="L131" s="3026" t="s">
        <v>287</v>
      </c>
      <c r="M131" s="3026">
        <v>100</v>
      </c>
      <c r="N131" s="3026" t="s">
        <v>977</v>
      </c>
      <c r="O131" s="3026">
        <v>152</v>
      </c>
      <c r="P131" s="3029" t="s">
        <v>978</v>
      </c>
      <c r="Q131" s="3032">
        <f>(V131+V132+V133)/R131</f>
        <v>0.23854321641378851</v>
      </c>
      <c r="R131" s="3088">
        <f>SUM(V131:V138)</f>
        <v>366809844</v>
      </c>
      <c r="S131" s="3029" t="s">
        <v>979</v>
      </c>
      <c r="T131" s="3029" t="s">
        <v>980</v>
      </c>
      <c r="U131" s="1267" t="s">
        <v>981</v>
      </c>
      <c r="V131" s="1250">
        <v>18750000</v>
      </c>
      <c r="W131" s="3062">
        <v>61</v>
      </c>
      <c r="X131" s="3026" t="s">
        <v>739</v>
      </c>
      <c r="Y131" s="3035">
        <f t="shared" ref="Y131:AD131" si="5">Y126</f>
        <v>64149</v>
      </c>
      <c r="Z131" s="3035">
        <f t="shared" si="5"/>
        <v>72224</v>
      </c>
      <c r="AA131" s="3035">
        <f t="shared" si="5"/>
        <v>27477</v>
      </c>
      <c r="AB131" s="3035">
        <f t="shared" si="5"/>
        <v>86843</v>
      </c>
      <c r="AC131" s="3035">
        <f t="shared" si="5"/>
        <v>236429</v>
      </c>
      <c r="AD131" s="3035">
        <f t="shared" si="5"/>
        <v>81384</v>
      </c>
      <c r="AE131" s="3035">
        <v>13208</v>
      </c>
      <c r="AF131" s="3035">
        <f>AF126</f>
        <v>2145</v>
      </c>
      <c r="AG131" s="3035">
        <f>AG126</f>
        <v>413</v>
      </c>
      <c r="AH131" s="3035">
        <f>AH126</f>
        <v>520</v>
      </c>
      <c r="AI131" s="3035">
        <v>16897</v>
      </c>
      <c r="AJ131" s="3035">
        <f>AJ126</f>
        <v>75612</v>
      </c>
      <c r="AK131" s="3020">
        <v>42948</v>
      </c>
      <c r="AL131" s="3020">
        <v>43100</v>
      </c>
      <c r="AM131" s="3023" t="s">
        <v>797</v>
      </c>
      <c r="AN131" s="1252"/>
      <c r="AO131" s="1252"/>
      <c r="AP131" s="1252"/>
      <c r="AQ131" s="1252"/>
      <c r="AR131" s="1252"/>
      <c r="AS131" s="1252"/>
      <c r="AT131" s="1252"/>
      <c r="AU131" s="1252"/>
      <c r="AV131" s="1252"/>
      <c r="AW131" s="1252"/>
      <c r="AX131" s="1252"/>
      <c r="AY131" s="1252"/>
      <c r="AZ131" s="1252"/>
      <c r="BA131" s="1252"/>
      <c r="BB131" s="1252"/>
      <c r="BC131" s="1252"/>
      <c r="BD131" s="1252"/>
      <c r="BE131" s="1252"/>
      <c r="BF131" s="1252"/>
      <c r="BG131" s="1252"/>
      <c r="BH131" s="1252"/>
      <c r="BI131" s="1252"/>
      <c r="BJ131" s="1252"/>
      <c r="BK131" s="1252"/>
      <c r="BL131" s="1252"/>
      <c r="BM131" s="1252"/>
      <c r="BN131" s="1252"/>
      <c r="BO131" s="1252"/>
      <c r="BP131" s="1252"/>
      <c r="BQ131" s="1252"/>
      <c r="BR131" s="1252"/>
      <c r="BS131" s="1252"/>
      <c r="BT131" s="1252"/>
      <c r="BU131" s="1252"/>
      <c r="BV131" s="1252"/>
      <c r="BW131" s="1252"/>
      <c r="BX131" s="1252"/>
      <c r="BY131" s="1252"/>
      <c r="BZ131" s="1252"/>
      <c r="CA131" s="1252"/>
      <c r="CB131" s="1252"/>
      <c r="CC131" s="1252"/>
      <c r="CD131" s="1252"/>
      <c r="CE131" s="1252"/>
      <c r="CF131" s="1252"/>
      <c r="CG131" s="1252"/>
      <c r="CH131" s="1252"/>
      <c r="CI131" s="1252"/>
      <c r="CJ131" s="1206"/>
      <c r="CK131" s="1206"/>
      <c r="CL131" s="1206"/>
      <c r="CM131" s="1206"/>
      <c r="CN131" s="1206"/>
      <c r="CO131" s="1206"/>
      <c r="CP131" s="1206"/>
      <c r="CQ131" s="1206"/>
      <c r="CR131" s="1206"/>
      <c r="CS131" s="1206"/>
      <c r="CT131" s="1206"/>
      <c r="CU131" s="1206"/>
      <c r="CV131" s="1206"/>
      <c r="CW131" s="1206"/>
      <c r="CX131" s="1206"/>
      <c r="CY131" s="1206"/>
      <c r="CZ131" s="1206"/>
      <c r="DA131" s="1206"/>
      <c r="DB131" s="1206"/>
      <c r="DC131" s="1206"/>
      <c r="DD131" s="1206"/>
      <c r="DE131" s="1206"/>
      <c r="DF131" s="1206"/>
      <c r="DG131" s="1206"/>
      <c r="DH131" s="1206"/>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6"/>
      <c r="EG131" s="1206"/>
      <c r="EH131" s="1206"/>
      <c r="EI131" s="1206"/>
      <c r="EJ131" s="1206"/>
      <c r="EK131" s="1206"/>
      <c r="EL131" s="1206"/>
      <c r="EM131" s="1206"/>
      <c r="EN131" s="1206"/>
      <c r="EO131" s="1206"/>
      <c r="EP131" s="1206"/>
      <c r="EQ131" s="1206"/>
      <c r="ER131" s="1206"/>
      <c r="ES131" s="1206"/>
      <c r="ET131" s="1206"/>
      <c r="EU131" s="1206"/>
      <c r="EV131" s="1206"/>
      <c r="EW131" s="1206"/>
      <c r="EX131" s="1206"/>
      <c r="EY131" s="1206"/>
      <c r="EZ131" s="1206"/>
      <c r="FA131" s="1206"/>
      <c r="FB131" s="1206"/>
      <c r="FC131" s="1206"/>
      <c r="FD131" s="1206"/>
      <c r="FE131" s="1206"/>
      <c r="FF131" s="1206"/>
      <c r="FG131" s="1206"/>
      <c r="FH131" s="1206"/>
      <c r="FI131" s="1206"/>
      <c r="FJ131" s="1206"/>
      <c r="FK131" s="1206"/>
      <c r="FL131" s="1206"/>
      <c r="FM131" s="1206"/>
      <c r="FN131" s="1206"/>
      <c r="FO131" s="1206"/>
      <c r="FP131" s="1206"/>
      <c r="FQ131" s="1206"/>
      <c r="FR131" s="1206"/>
      <c r="FS131" s="1206"/>
      <c r="FT131" s="1206"/>
      <c r="FU131" s="1206"/>
      <c r="FV131" s="1206"/>
      <c r="FW131" s="1206"/>
      <c r="FX131" s="1206"/>
      <c r="FY131" s="1206"/>
      <c r="FZ131" s="1206"/>
      <c r="GA131" s="1206"/>
      <c r="GB131" s="1206"/>
      <c r="GC131" s="1206"/>
      <c r="GD131" s="1206"/>
      <c r="GE131" s="1206"/>
      <c r="GF131" s="1206"/>
      <c r="GG131" s="1206"/>
      <c r="GH131" s="1206"/>
      <c r="GI131" s="1206"/>
      <c r="GJ131" s="1206"/>
      <c r="GK131" s="1206"/>
      <c r="GL131" s="1206"/>
      <c r="GM131" s="1206"/>
      <c r="GN131" s="1206"/>
      <c r="GO131" s="1206"/>
      <c r="GP131" s="1206"/>
      <c r="GQ131" s="1206"/>
      <c r="GR131" s="1206"/>
      <c r="GS131" s="1206"/>
      <c r="GT131" s="1206"/>
      <c r="GU131" s="1206"/>
      <c r="GV131" s="1206"/>
      <c r="GW131" s="1206"/>
      <c r="GX131" s="1206"/>
      <c r="GY131" s="1206"/>
      <c r="GZ131" s="1206"/>
      <c r="HA131" s="1206"/>
      <c r="HB131" s="1206"/>
      <c r="HC131" s="1206"/>
      <c r="HD131" s="1206"/>
      <c r="HE131" s="1206"/>
      <c r="HF131" s="1206"/>
      <c r="HG131" s="1206"/>
      <c r="HH131" s="1206"/>
      <c r="HI131" s="1206"/>
      <c r="HJ131" s="1206"/>
      <c r="HK131" s="1206"/>
      <c r="HL131" s="1206"/>
      <c r="HM131" s="1206"/>
      <c r="HN131" s="1206"/>
      <c r="HO131" s="1206"/>
      <c r="HP131" s="1206"/>
      <c r="HQ131" s="1206"/>
      <c r="HR131" s="1206"/>
      <c r="HS131" s="1206"/>
      <c r="HT131" s="1206"/>
      <c r="HU131" s="1206"/>
      <c r="HV131" s="1206"/>
      <c r="HW131" s="1206"/>
      <c r="HX131" s="1206"/>
      <c r="HY131" s="1206"/>
      <c r="HZ131" s="1206"/>
      <c r="IA131" s="1206"/>
      <c r="IB131" s="1206"/>
      <c r="IC131" s="1206"/>
      <c r="ID131" s="1206"/>
      <c r="IE131" s="1206"/>
      <c r="IF131" s="1206"/>
      <c r="IG131" s="1206"/>
      <c r="IH131" s="1206"/>
      <c r="II131" s="1206"/>
      <c r="IJ131" s="1206"/>
      <c r="IK131" s="1206"/>
      <c r="IL131" s="1206"/>
      <c r="IM131" s="1206"/>
      <c r="IN131" s="1206"/>
      <c r="IO131" s="1206"/>
      <c r="IP131" s="1206"/>
      <c r="IQ131" s="1206"/>
      <c r="IR131" s="1206"/>
      <c r="IS131" s="1206"/>
      <c r="IT131" s="1206"/>
      <c r="IU131" s="1206"/>
      <c r="IV131" s="1206"/>
      <c r="IW131" s="1206"/>
      <c r="IX131" s="1206"/>
      <c r="IY131" s="1206"/>
      <c r="IZ131" s="1206"/>
      <c r="JA131" s="1206"/>
      <c r="JB131" s="1206"/>
      <c r="JC131" s="1206"/>
      <c r="JD131" s="1206"/>
      <c r="JE131" s="1206"/>
      <c r="JF131" s="1206"/>
      <c r="JG131" s="1206"/>
      <c r="JH131" s="1206"/>
      <c r="JI131" s="1206"/>
      <c r="JJ131" s="1206"/>
      <c r="JK131" s="1206"/>
      <c r="JL131" s="1206"/>
      <c r="JM131" s="1206"/>
      <c r="JN131" s="1206"/>
      <c r="JO131" s="1206"/>
      <c r="JP131" s="1206"/>
      <c r="JQ131" s="1206"/>
      <c r="JR131" s="1206"/>
      <c r="JS131" s="1206"/>
      <c r="JT131" s="1206"/>
      <c r="JU131" s="1206"/>
      <c r="JV131" s="1206"/>
      <c r="JW131" s="1206"/>
      <c r="JX131" s="1206"/>
      <c r="JY131" s="1206"/>
      <c r="JZ131" s="1206"/>
      <c r="KA131" s="1206"/>
      <c r="KB131" s="1206"/>
      <c r="KC131" s="1206"/>
      <c r="KD131" s="1206"/>
      <c r="KE131" s="1206"/>
      <c r="KF131" s="1206"/>
      <c r="KG131" s="1206"/>
      <c r="KH131" s="1206"/>
      <c r="KI131" s="1206"/>
      <c r="KJ131" s="1206"/>
      <c r="KK131" s="1206"/>
      <c r="KL131" s="1206"/>
      <c r="KM131" s="1206"/>
      <c r="KN131" s="1206"/>
      <c r="KO131" s="1206"/>
      <c r="KP131" s="1206"/>
      <c r="KQ131" s="1206"/>
      <c r="KR131" s="1206"/>
      <c r="KS131" s="1206"/>
      <c r="KT131" s="1206"/>
      <c r="KU131" s="1206"/>
      <c r="KV131" s="1206"/>
      <c r="KW131" s="1206"/>
      <c r="KX131" s="1206"/>
      <c r="KY131" s="1206"/>
      <c r="KZ131" s="1206"/>
      <c r="LA131" s="1206"/>
      <c r="LB131" s="1206"/>
      <c r="LC131" s="1206"/>
      <c r="LD131" s="1206"/>
      <c r="LE131" s="1206"/>
      <c r="LF131" s="1206"/>
      <c r="LG131" s="1206"/>
      <c r="LH131" s="1206"/>
      <c r="LI131" s="1206"/>
      <c r="LJ131" s="1206"/>
      <c r="LK131" s="1206"/>
      <c r="LL131" s="1206"/>
      <c r="LM131" s="1206"/>
      <c r="LN131" s="1206"/>
      <c r="LO131" s="1206"/>
      <c r="LP131" s="1206"/>
      <c r="LQ131" s="1206"/>
      <c r="LR131" s="1206"/>
      <c r="LS131" s="1206"/>
      <c r="LT131" s="1206"/>
      <c r="LU131" s="1206"/>
      <c r="LV131" s="1206"/>
      <c r="LW131" s="1206"/>
      <c r="LX131" s="1206"/>
      <c r="LY131" s="1206"/>
      <c r="LZ131" s="1206"/>
      <c r="MA131" s="1206"/>
      <c r="MB131" s="1206"/>
      <c r="MC131" s="1206"/>
      <c r="MD131" s="1206"/>
      <c r="ME131" s="1206"/>
      <c r="MF131" s="1206"/>
      <c r="MG131" s="1206"/>
    </row>
    <row r="132" spans="1:345" s="1285" customFormat="1" ht="52.5" customHeight="1" x14ac:dyDescent="0.2">
      <c r="A132" s="1239"/>
      <c r="B132" s="1240"/>
      <c r="C132" s="1241"/>
      <c r="D132" s="1240"/>
      <c r="E132" s="1240"/>
      <c r="F132" s="1241"/>
      <c r="G132" s="1239"/>
      <c r="H132" s="1240"/>
      <c r="I132" s="1241"/>
      <c r="J132" s="3027"/>
      <c r="K132" s="3030"/>
      <c r="L132" s="3027"/>
      <c r="M132" s="3027"/>
      <c r="N132" s="3027"/>
      <c r="O132" s="3027"/>
      <c r="P132" s="3030"/>
      <c r="Q132" s="3033"/>
      <c r="R132" s="3089"/>
      <c r="S132" s="3030"/>
      <c r="T132" s="3030"/>
      <c r="U132" s="1267" t="s">
        <v>982</v>
      </c>
      <c r="V132" s="1250">
        <f>31250000+25000000</f>
        <v>56250000</v>
      </c>
      <c r="W132" s="3063"/>
      <c r="X132" s="3027"/>
      <c r="Y132" s="3036"/>
      <c r="Z132" s="3036"/>
      <c r="AA132" s="3036"/>
      <c r="AB132" s="3036"/>
      <c r="AC132" s="3036"/>
      <c r="AD132" s="3036"/>
      <c r="AE132" s="3036"/>
      <c r="AF132" s="3036"/>
      <c r="AG132" s="3036"/>
      <c r="AH132" s="3036"/>
      <c r="AI132" s="3036"/>
      <c r="AJ132" s="3036"/>
      <c r="AK132" s="3021"/>
      <c r="AL132" s="3021"/>
      <c r="AM132" s="3024"/>
      <c r="AN132" s="1292"/>
      <c r="AO132" s="1252"/>
      <c r="AP132" s="1252"/>
      <c r="AQ132" s="1252"/>
      <c r="AR132" s="1252"/>
      <c r="AS132" s="1252"/>
      <c r="AT132" s="1252"/>
      <c r="AU132" s="1252"/>
      <c r="AV132" s="1252"/>
      <c r="AW132" s="1252"/>
      <c r="AX132" s="1252"/>
      <c r="AY132" s="1252"/>
      <c r="AZ132" s="1252"/>
      <c r="BA132" s="1252"/>
      <c r="BB132" s="1252"/>
      <c r="BC132" s="1252"/>
      <c r="BD132" s="1252"/>
      <c r="BE132" s="1252"/>
      <c r="BF132" s="1252"/>
      <c r="BG132" s="1252"/>
      <c r="BH132" s="1252"/>
      <c r="BI132" s="1252"/>
      <c r="BJ132" s="1252"/>
      <c r="BK132" s="1252"/>
      <c r="BL132" s="1252"/>
      <c r="BM132" s="1252"/>
      <c r="BN132" s="1252"/>
      <c r="BO132" s="1252"/>
      <c r="BP132" s="1252"/>
      <c r="BQ132" s="1252"/>
      <c r="BR132" s="1252"/>
      <c r="BS132" s="1252"/>
      <c r="BT132" s="1252"/>
      <c r="BU132" s="1252"/>
      <c r="BV132" s="1252"/>
      <c r="BW132" s="1252"/>
      <c r="BX132" s="1252"/>
      <c r="BY132" s="1252"/>
      <c r="BZ132" s="1252"/>
      <c r="CA132" s="1252"/>
      <c r="CB132" s="1252"/>
      <c r="CC132" s="1252"/>
      <c r="CD132" s="1252"/>
      <c r="CE132" s="1252"/>
      <c r="CF132" s="1252"/>
      <c r="CG132" s="1252"/>
      <c r="CH132" s="1252"/>
      <c r="CI132" s="1252"/>
      <c r="CJ132" s="1206"/>
      <c r="CK132" s="1206"/>
      <c r="CL132" s="1206"/>
      <c r="CM132" s="1206"/>
      <c r="CN132" s="1206"/>
      <c r="CO132" s="1206"/>
      <c r="CP132" s="1206"/>
      <c r="CQ132" s="1206"/>
      <c r="CR132" s="1206"/>
      <c r="CS132" s="1206"/>
      <c r="CT132" s="1206"/>
      <c r="CU132" s="1206"/>
      <c r="CV132" s="1206"/>
      <c r="CW132" s="1206"/>
      <c r="CX132" s="1206"/>
      <c r="CY132" s="1206"/>
      <c r="CZ132" s="1206"/>
      <c r="DA132" s="1206"/>
      <c r="DB132" s="1206"/>
      <c r="DC132" s="1206"/>
      <c r="DD132" s="1206"/>
      <c r="DE132" s="1206"/>
      <c r="DF132" s="1206"/>
      <c r="DG132" s="1206"/>
      <c r="DH132" s="1206"/>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6"/>
      <c r="EG132" s="1206"/>
      <c r="EH132" s="1206"/>
      <c r="EI132" s="1206"/>
      <c r="EJ132" s="1206"/>
      <c r="EK132" s="1206"/>
      <c r="EL132" s="1206"/>
      <c r="EM132" s="1206"/>
      <c r="EN132" s="1206"/>
      <c r="EO132" s="1206"/>
      <c r="EP132" s="1206"/>
      <c r="EQ132" s="1206"/>
      <c r="ER132" s="1206"/>
      <c r="ES132" s="1206"/>
      <c r="ET132" s="1206"/>
      <c r="EU132" s="1206"/>
      <c r="EV132" s="1206"/>
      <c r="EW132" s="1206"/>
      <c r="EX132" s="1206"/>
      <c r="EY132" s="1206"/>
      <c r="EZ132" s="1206"/>
      <c r="FA132" s="1206"/>
      <c r="FB132" s="1206"/>
      <c r="FC132" s="1206"/>
      <c r="FD132" s="1206"/>
      <c r="FE132" s="1206"/>
      <c r="FF132" s="1206"/>
      <c r="FG132" s="1206"/>
      <c r="FH132" s="1206"/>
      <c r="FI132" s="1206"/>
      <c r="FJ132" s="1206"/>
      <c r="FK132" s="1206"/>
      <c r="FL132" s="1206"/>
      <c r="FM132" s="1206"/>
      <c r="FN132" s="1206"/>
      <c r="FO132" s="1206"/>
      <c r="FP132" s="1206"/>
      <c r="FQ132" s="1206"/>
      <c r="FR132" s="1206"/>
      <c r="FS132" s="1206"/>
      <c r="FT132" s="1206"/>
      <c r="FU132" s="1206"/>
      <c r="FV132" s="1206"/>
      <c r="FW132" s="1206"/>
      <c r="FX132" s="1206"/>
      <c r="FY132" s="1206"/>
      <c r="FZ132" s="1206"/>
      <c r="GA132" s="1206"/>
      <c r="GB132" s="1206"/>
      <c r="GC132" s="1206"/>
      <c r="GD132" s="1206"/>
      <c r="GE132" s="1206"/>
      <c r="GF132" s="1206"/>
      <c r="GG132" s="1206"/>
      <c r="GH132" s="1206"/>
      <c r="GI132" s="1206"/>
      <c r="GJ132" s="1206"/>
      <c r="GK132" s="1206"/>
      <c r="GL132" s="1206"/>
      <c r="GM132" s="1206"/>
      <c r="GN132" s="1206"/>
      <c r="GO132" s="1206"/>
      <c r="GP132" s="1206"/>
      <c r="GQ132" s="1206"/>
      <c r="GR132" s="1206"/>
      <c r="GS132" s="1206"/>
      <c r="GT132" s="1206"/>
      <c r="GU132" s="1206"/>
      <c r="GV132" s="1206"/>
      <c r="GW132" s="1206"/>
      <c r="GX132" s="1206"/>
      <c r="GY132" s="1206"/>
      <c r="GZ132" s="1206"/>
      <c r="HA132" s="1206"/>
      <c r="HB132" s="1206"/>
      <c r="HC132" s="1206"/>
      <c r="HD132" s="1206"/>
      <c r="HE132" s="1206"/>
      <c r="HF132" s="1206"/>
      <c r="HG132" s="1206"/>
      <c r="HH132" s="1206"/>
      <c r="HI132" s="1206"/>
      <c r="HJ132" s="1206"/>
      <c r="HK132" s="1206"/>
      <c r="HL132" s="1206"/>
      <c r="HM132" s="1206"/>
      <c r="HN132" s="1206"/>
      <c r="HO132" s="1206"/>
      <c r="HP132" s="1206"/>
      <c r="HQ132" s="1206"/>
      <c r="HR132" s="1206"/>
      <c r="HS132" s="1206"/>
      <c r="HT132" s="1206"/>
      <c r="HU132" s="1206"/>
      <c r="HV132" s="1206"/>
      <c r="HW132" s="1206"/>
      <c r="HX132" s="1206"/>
      <c r="HY132" s="1206"/>
      <c r="HZ132" s="1206"/>
      <c r="IA132" s="1206"/>
      <c r="IB132" s="1206"/>
      <c r="IC132" s="1206"/>
      <c r="ID132" s="1206"/>
      <c r="IE132" s="1206"/>
      <c r="IF132" s="1206"/>
      <c r="IG132" s="1206"/>
      <c r="IH132" s="1206"/>
      <c r="II132" s="1206"/>
      <c r="IJ132" s="1206"/>
      <c r="IK132" s="1206"/>
      <c r="IL132" s="1206"/>
      <c r="IM132" s="1206"/>
      <c r="IN132" s="1206"/>
      <c r="IO132" s="1206"/>
      <c r="IP132" s="1206"/>
      <c r="IQ132" s="1206"/>
      <c r="IR132" s="1206"/>
      <c r="IS132" s="1206"/>
      <c r="IT132" s="1206"/>
      <c r="IU132" s="1206"/>
      <c r="IV132" s="1206"/>
      <c r="IW132" s="1206"/>
      <c r="IX132" s="1206"/>
      <c r="IY132" s="1206"/>
      <c r="IZ132" s="1206"/>
      <c r="JA132" s="1206"/>
      <c r="JB132" s="1206"/>
      <c r="JC132" s="1206"/>
      <c r="JD132" s="1206"/>
      <c r="JE132" s="1206"/>
      <c r="JF132" s="1206"/>
      <c r="JG132" s="1206"/>
      <c r="JH132" s="1206"/>
      <c r="JI132" s="1206"/>
      <c r="JJ132" s="1206"/>
      <c r="JK132" s="1206"/>
      <c r="JL132" s="1206"/>
      <c r="JM132" s="1206"/>
      <c r="JN132" s="1206"/>
      <c r="JO132" s="1206"/>
      <c r="JP132" s="1206"/>
      <c r="JQ132" s="1206"/>
      <c r="JR132" s="1206"/>
      <c r="JS132" s="1206"/>
      <c r="JT132" s="1206"/>
      <c r="JU132" s="1206"/>
      <c r="JV132" s="1206"/>
      <c r="JW132" s="1206"/>
      <c r="JX132" s="1206"/>
      <c r="JY132" s="1206"/>
      <c r="JZ132" s="1206"/>
      <c r="KA132" s="1206"/>
      <c r="KB132" s="1206"/>
      <c r="KC132" s="1206"/>
      <c r="KD132" s="1206"/>
      <c r="KE132" s="1206"/>
      <c r="KF132" s="1206"/>
      <c r="KG132" s="1206"/>
      <c r="KH132" s="1206"/>
      <c r="KI132" s="1206"/>
      <c r="KJ132" s="1206"/>
      <c r="KK132" s="1206"/>
      <c r="KL132" s="1206"/>
      <c r="KM132" s="1206"/>
      <c r="KN132" s="1206"/>
      <c r="KO132" s="1206"/>
      <c r="KP132" s="1206"/>
      <c r="KQ132" s="1206"/>
      <c r="KR132" s="1206"/>
      <c r="KS132" s="1206"/>
      <c r="KT132" s="1206"/>
      <c r="KU132" s="1206"/>
      <c r="KV132" s="1206"/>
      <c r="KW132" s="1206"/>
      <c r="KX132" s="1206"/>
      <c r="KY132" s="1206"/>
      <c r="KZ132" s="1206"/>
      <c r="LA132" s="1206"/>
      <c r="LB132" s="1206"/>
      <c r="LC132" s="1206"/>
      <c r="LD132" s="1206"/>
      <c r="LE132" s="1206"/>
      <c r="LF132" s="1206"/>
      <c r="LG132" s="1206"/>
      <c r="LH132" s="1206"/>
      <c r="LI132" s="1206"/>
      <c r="LJ132" s="1206"/>
      <c r="LK132" s="1206"/>
      <c r="LL132" s="1206"/>
      <c r="LM132" s="1206"/>
      <c r="LN132" s="1206"/>
      <c r="LO132" s="1206"/>
      <c r="LP132" s="1206"/>
      <c r="LQ132" s="1206"/>
      <c r="LR132" s="1206"/>
      <c r="LS132" s="1206"/>
      <c r="LT132" s="1206"/>
      <c r="LU132" s="1206"/>
      <c r="LV132" s="1206"/>
      <c r="LW132" s="1206"/>
      <c r="LX132" s="1206"/>
      <c r="LY132" s="1206"/>
      <c r="LZ132" s="1206"/>
      <c r="MA132" s="1206"/>
      <c r="MB132" s="1206"/>
      <c r="MC132" s="1206"/>
      <c r="MD132" s="1206"/>
      <c r="ME132" s="1206"/>
      <c r="MF132" s="1206"/>
      <c r="MG132" s="1206"/>
    </row>
    <row r="133" spans="1:345" s="1285" customFormat="1" ht="57.75" customHeight="1" x14ac:dyDescent="0.2">
      <c r="A133" s="1239"/>
      <c r="B133" s="1240"/>
      <c r="C133" s="1241"/>
      <c r="D133" s="1240"/>
      <c r="E133" s="1240"/>
      <c r="F133" s="1241"/>
      <c r="G133" s="1239"/>
      <c r="H133" s="1240"/>
      <c r="I133" s="1241"/>
      <c r="J133" s="3028"/>
      <c r="K133" s="3031"/>
      <c r="L133" s="3028"/>
      <c r="M133" s="3028"/>
      <c r="N133" s="3027"/>
      <c r="O133" s="3027"/>
      <c r="P133" s="3030"/>
      <c r="Q133" s="3034"/>
      <c r="R133" s="3089"/>
      <c r="S133" s="3030"/>
      <c r="T133" s="3031"/>
      <c r="U133" s="1267" t="s">
        <v>983</v>
      </c>
      <c r="V133" s="1250">
        <v>12500000</v>
      </c>
      <c r="W133" s="3063"/>
      <c r="X133" s="3027"/>
      <c r="Y133" s="3036"/>
      <c r="Z133" s="3036"/>
      <c r="AA133" s="3036"/>
      <c r="AB133" s="3036"/>
      <c r="AC133" s="3036"/>
      <c r="AD133" s="3036"/>
      <c r="AE133" s="3036"/>
      <c r="AF133" s="3036"/>
      <c r="AG133" s="3036"/>
      <c r="AH133" s="3036"/>
      <c r="AI133" s="3036"/>
      <c r="AJ133" s="3036"/>
      <c r="AK133" s="3021"/>
      <c r="AL133" s="3021"/>
      <c r="AM133" s="3024"/>
      <c r="AN133" s="1252"/>
      <c r="AO133" s="1252"/>
      <c r="AP133" s="1252"/>
      <c r="AQ133" s="1252"/>
      <c r="AR133" s="1252"/>
      <c r="AS133" s="1252"/>
      <c r="AT133" s="1252"/>
      <c r="AU133" s="1252"/>
      <c r="AV133" s="1252"/>
      <c r="AW133" s="1252"/>
      <c r="AX133" s="1252"/>
      <c r="AY133" s="1252"/>
      <c r="AZ133" s="1252"/>
      <c r="BA133" s="1252"/>
      <c r="BB133" s="1252"/>
      <c r="BC133" s="1252"/>
      <c r="BD133" s="1252"/>
      <c r="BE133" s="1252"/>
      <c r="BF133" s="1252"/>
      <c r="BG133" s="1252"/>
      <c r="BH133" s="1252"/>
      <c r="BI133" s="1252"/>
      <c r="BJ133" s="1252"/>
      <c r="BK133" s="1252"/>
      <c r="BL133" s="1252"/>
      <c r="BM133" s="1252"/>
      <c r="BN133" s="1252"/>
      <c r="BO133" s="1252"/>
      <c r="BP133" s="1252"/>
      <c r="BQ133" s="1252"/>
      <c r="BR133" s="1252"/>
      <c r="BS133" s="1252"/>
      <c r="BT133" s="1252"/>
      <c r="BU133" s="1252"/>
      <c r="BV133" s="1252"/>
      <c r="BW133" s="1252"/>
      <c r="BX133" s="1252"/>
      <c r="BY133" s="1252"/>
      <c r="BZ133" s="1252"/>
      <c r="CA133" s="1252"/>
      <c r="CB133" s="1252"/>
      <c r="CC133" s="1252"/>
      <c r="CD133" s="1252"/>
      <c r="CE133" s="1252"/>
      <c r="CF133" s="1252"/>
      <c r="CG133" s="1252"/>
      <c r="CH133" s="1252"/>
      <c r="CI133" s="1252"/>
      <c r="CJ133" s="1206"/>
      <c r="CK133" s="1206"/>
      <c r="CL133" s="1206"/>
      <c r="CM133" s="1206"/>
      <c r="CN133" s="1206"/>
      <c r="CO133" s="1206"/>
      <c r="CP133" s="1206"/>
      <c r="CQ133" s="1206"/>
      <c r="CR133" s="1206"/>
      <c r="CS133" s="1206"/>
      <c r="CT133" s="1206"/>
      <c r="CU133" s="1206"/>
      <c r="CV133" s="1206"/>
      <c r="CW133" s="1206"/>
      <c r="CX133" s="1206"/>
      <c r="CY133" s="1206"/>
      <c r="CZ133" s="1206"/>
      <c r="DA133" s="1206"/>
      <c r="DB133" s="1206"/>
      <c r="DC133" s="1206"/>
      <c r="DD133" s="1206"/>
      <c r="DE133" s="1206"/>
      <c r="DF133" s="1206"/>
      <c r="DG133" s="1206"/>
      <c r="DH133" s="1206"/>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6"/>
      <c r="EG133" s="1206"/>
      <c r="EH133" s="1206"/>
      <c r="EI133" s="1206"/>
      <c r="EJ133" s="1206"/>
      <c r="EK133" s="1206"/>
      <c r="EL133" s="1206"/>
      <c r="EM133" s="1206"/>
      <c r="EN133" s="1206"/>
      <c r="EO133" s="1206"/>
      <c r="EP133" s="1206"/>
      <c r="EQ133" s="1206"/>
      <c r="ER133" s="1206"/>
      <c r="ES133" s="1206"/>
      <c r="ET133" s="1206"/>
      <c r="EU133" s="1206"/>
      <c r="EV133" s="1206"/>
      <c r="EW133" s="1206"/>
      <c r="EX133" s="1206"/>
      <c r="EY133" s="1206"/>
      <c r="EZ133" s="1206"/>
      <c r="FA133" s="1206"/>
      <c r="FB133" s="1206"/>
      <c r="FC133" s="1206"/>
      <c r="FD133" s="1206"/>
      <c r="FE133" s="1206"/>
      <c r="FF133" s="1206"/>
      <c r="FG133" s="1206"/>
      <c r="FH133" s="1206"/>
      <c r="FI133" s="1206"/>
      <c r="FJ133" s="1206"/>
      <c r="FK133" s="1206"/>
      <c r="FL133" s="1206"/>
      <c r="FM133" s="1206"/>
      <c r="FN133" s="1206"/>
      <c r="FO133" s="1206"/>
      <c r="FP133" s="1206"/>
      <c r="FQ133" s="1206"/>
      <c r="FR133" s="1206"/>
      <c r="FS133" s="1206"/>
      <c r="FT133" s="1206"/>
      <c r="FU133" s="1206"/>
      <c r="FV133" s="1206"/>
      <c r="FW133" s="1206"/>
      <c r="FX133" s="1206"/>
      <c r="FY133" s="1206"/>
      <c r="FZ133" s="1206"/>
      <c r="GA133" s="1206"/>
      <c r="GB133" s="1206"/>
      <c r="GC133" s="1206"/>
      <c r="GD133" s="1206"/>
      <c r="GE133" s="1206"/>
      <c r="GF133" s="1206"/>
      <c r="GG133" s="1206"/>
      <c r="GH133" s="1206"/>
      <c r="GI133" s="1206"/>
      <c r="GJ133" s="1206"/>
      <c r="GK133" s="1206"/>
      <c r="GL133" s="1206"/>
      <c r="GM133" s="1206"/>
      <c r="GN133" s="1206"/>
      <c r="GO133" s="1206"/>
      <c r="GP133" s="1206"/>
      <c r="GQ133" s="1206"/>
      <c r="GR133" s="1206"/>
      <c r="GS133" s="1206"/>
      <c r="GT133" s="1206"/>
      <c r="GU133" s="1206"/>
      <c r="GV133" s="1206"/>
      <c r="GW133" s="1206"/>
      <c r="GX133" s="1206"/>
      <c r="GY133" s="1206"/>
      <c r="GZ133" s="1206"/>
      <c r="HA133" s="1206"/>
      <c r="HB133" s="1206"/>
      <c r="HC133" s="1206"/>
      <c r="HD133" s="1206"/>
      <c r="HE133" s="1206"/>
      <c r="HF133" s="1206"/>
      <c r="HG133" s="1206"/>
      <c r="HH133" s="1206"/>
      <c r="HI133" s="1206"/>
      <c r="HJ133" s="1206"/>
      <c r="HK133" s="1206"/>
      <c r="HL133" s="1206"/>
      <c r="HM133" s="1206"/>
      <c r="HN133" s="1206"/>
      <c r="HO133" s="1206"/>
      <c r="HP133" s="1206"/>
      <c r="HQ133" s="1206"/>
      <c r="HR133" s="1206"/>
      <c r="HS133" s="1206"/>
      <c r="HT133" s="1206"/>
      <c r="HU133" s="1206"/>
      <c r="HV133" s="1206"/>
      <c r="HW133" s="1206"/>
      <c r="HX133" s="1206"/>
      <c r="HY133" s="1206"/>
      <c r="HZ133" s="1206"/>
      <c r="IA133" s="1206"/>
      <c r="IB133" s="1206"/>
      <c r="IC133" s="1206"/>
      <c r="ID133" s="1206"/>
      <c r="IE133" s="1206"/>
      <c r="IF133" s="1206"/>
      <c r="IG133" s="1206"/>
      <c r="IH133" s="1206"/>
      <c r="II133" s="1206"/>
      <c r="IJ133" s="1206"/>
      <c r="IK133" s="1206"/>
      <c r="IL133" s="1206"/>
      <c r="IM133" s="1206"/>
      <c r="IN133" s="1206"/>
      <c r="IO133" s="1206"/>
      <c r="IP133" s="1206"/>
      <c r="IQ133" s="1206"/>
      <c r="IR133" s="1206"/>
      <c r="IS133" s="1206"/>
      <c r="IT133" s="1206"/>
      <c r="IU133" s="1206"/>
      <c r="IV133" s="1206"/>
      <c r="IW133" s="1206"/>
      <c r="IX133" s="1206"/>
      <c r="IY133" s="1206"/>
      <c r="IZ133" s="1206"/>
      <c r="JA133" s="1206"/>
      <c r="JB133" s="1206"/>
      <c r="JC133" s="1206"/>
      <c r="JD133" s="1206"/>
      <c r="JE133" s="1206"/>
      <c r="JF133" s="1206"/>
      <c r="JG133" s="1206"/>
      <c r="JH133" s="1206"/>
      <c r="JI133" s="1206"/>
      <c r="JJ133" s="1206"/>
      <c r="JK133" s="1206"/>
      <c r="JL133" s="1206"/>
      <c r="JM133" s="1206"/>
      <c r="JN133" s="1206"/>
      <c r="JO133" s="1206"/>
      <c r="JP133" s="1206"/>
      <c r="JQ133" s="1206"/>
      <c r="JR133" s="1206"/>
      <c r="JS133" s="1206"/>
      <c r="JT133" s="1206"/>
      <c r="JU133" s="1206"/>
      <c r="JV133" s="1206"/>
      <c r="JW133" s="1206"/>
      <c r="JX133" s="1206"/>
      <c r="JY133" s="1206"/>
      <c r="JZ133" s="1206"/>
      <c r="KA133" s="1206"/>
      <c r="KB133" s="1206"/>
      <c r="KC133" s="1206"/>
      <c r="KD133" s="1206"/>
      <c r="KE133" s="1206"/>
      <c r="KF133" s="1206"/>
      <c r="KG133" s="1206"/>
      <c r="KH133" s="1206"/>
      <c r="KI133" s="1206"/>
      <c r="KJ133" s="1206"/>
      <c r="KK133" s="1206"/>
      <c r="KL133" s="1206"/>
      <c r="KM133" s="1206"/>
      <c r="KN133" s="1206"/>
      <c r="KO133" s="1206"/>
      <c r="KP133" s="1206"/>
      <c r="KQ133" s="1206"/>
      <c r="KR133" s="1206"/>
      <c r="KS133" s="1206"/>
      <c r="KT133" s="1206"/>
      <c r="KU133" s="1206"/>
      <c r="KV133" s="1206"/>
      <c r="KW133" s="1206"/>
      <c r="KX133" s="1206"/>
      <c r="KY133" s="1206"/>
      <c r="KZ133" s="1206"/>
      <c r="LA133" s="1206"/>
      <c r="LB133" s="1206"/>
      <c r="LC133" s="1206"/>
      <c r="LD133" s="1206"/>
      <c r="LE133" s="1206"/>
      <c r="LF133" s="1206"/>
      <c r="LG133" s="1206"/>
      <c r="LH133" s="1206"/>
      <c r="LI133" s="1206"/>
      <c r="LJ133" s="1206"/>
      <c r="LK133" s="1206"/>
      <c r="LL133" s="1206"/>
      <c r="LM133" s="1206"/>
      <c r="LN133" s="1206"/>
      <c r="LO133" s="1206"/>
      <c r="LP133" s="1206"/>
      <c r="LQ133" s="1206"/>
      <c r="LR133" s="1206"/>
      <c r="LS133" s="1206"/>
      <c r="LT133" s="1206"/>
      <c r="LU133" s="1206"/>
      <c r="LV133" s="1206"/>
      <c r="LW133" s="1206"/>
      <c r="LX133" s="1206"/>
      <c r="LY133" s="1206"/>
      <c r="LZ133" s="1206"/>
      <c r="MA133" s="1206"/>
      <c r="MB133" s="1206"/>
      <c r="MC133" s="1206"/>
      <c r="MD133" s="1206"/>
      <c r="ME133" s="1206"/>
      <c r="MF133" s="1206"/>
      <c r="MG133" s="1206"/>
    </row>
    <row r="134" spans="1:345" s="1285" customFormat="1" ht="88.5" customHeight="1" x14ac:dyDescent="0.2">
      <c r="A134" s="1239"/>
      <c r="B134" s="1240"/>
      <c r="C134" s="1241"/>
      <c r="D134" s="1240"/>
      <c r="E134" s="1240"/>
      <c r="F134" s="1241"/>
      <c r="G134" s="1239"/>
      <c r="H134" s="1240"/>
      <c r="I134" s="1241"/>
      <c r="J134" s="3075">
        <v>162</v>
      </c>
      <c r="K134" s="3029" t="s">
        <v>984</v>
      </c>
      <c r="L134" s="3026" t="s">
        <v>287</v>
      </c>
      <c r="M134" s="3026">
        <v>83</v>
      </c>
      <c r="N134" s="3027"/>
      <c r="O134" s="3027"/>
      <c r="P134" s="3030"/>
      <c r="Q134" s="3032">
        <f>(V134+V135+V136+V137+V138)/R131</f>
        <v>0.76145678358621149</v>
      </c>
      <c r="R134" s="3089"/>
      <c r="S134" s="3030"/>
      <c r="T134" s="3029" t="s">
        <v>985</v>
      </c>
      <c r="U134" s="1267" t="s">
        <v>986</v>
      </c>
      <c r="V134" s="1250">
        <f>100000000+65000000</f>
        <v>165000000</v>
      </c>
      <c r="W134" s="3063"/>
      <c r="X134" s="3027"/>
      <c r="Y134" s="3036"/>
      <c r="Z134" s="3036"/>
      <c r="AA134" s="3036"/>
      <c r="AB134" s="3036"/>
      <c r="AC134" s="3036"/>
      <c r="AD134" s="3036"/>
      <c r="AE134" s="3036"/>
      <c r="AF134" s="3036"/>
      <c r="AG134" s="3036"/>
      <c r="AH134" s="3036"/>
      <c r="AI134" s="3036"/>
      <c r="AJ134" s="3036"/>
      <c r="AK134" s="3021"/>
      <c r="AL134" s="3021"/>
      <c r="AM134" s="3024"/>
      <c r="AN134" s="1252"/>
      <c r="AO134" s="1252"/>
      <c r="AP134" s="1252"/>
      <c r="AQ134" s="1252"/>
      <c r="AR134" s="1252"/>
      <c r="AS134" s="1252"/>
      <c r="AT134" s="1252"/>
      <c r="AU134" s="1252"/>
      <c r="AV134" s="1252"/>
      <c r="AW134" s="1252"/>
      <c r="AX134" s="1252"/>
      <c r="AY134" s="1252"/>
      <c r="AZ134" s="1252"/>
      <c r="BA134" s="1252"/>
      <c r="BB134" s="1252"/>
      <c r="BC134" s="1252"/>
      <c r="BD134" s="1252"/>
      <c r="BE134" s="1252"/>
      <c r="BF134" s="1252"/>
      <c r="BG134" s="1252"/>
      <c r="BH134" s="1252"/>
      <c r="BI134" s="1252"/>
      <c r="BJ134" s="1252"/>
      <c r="BK134" s="1252"/>
      <c r="BL134" s="1252"/>
      <c r="BM134" s="1252"/>
      <c r="BN134" s="1252"/>
      <c r="BO134" s="1252"/>
      <c r="BP134" s="1252"/>
      <c r="BQ134" s="1252"/>
      <c r="BR134" s="1252"/>
      <c r="BS134" s="1252"/>
      <c r="BT134" s="1252"/>
      <c r="BU134" s="1252"/>
      <c r="BV134" s="1252"/>
      <c r="BW134" s="1252"/>
      <c r="BX134" s="1252"/>
      <c r="BY134" s="1252"/>
      <c r="BZ134" s="1252"/>
      <c r="CA134" s="1252"/>
      <c r="CB134" s="1252"/>
      <c r="CC134" s="1252"/>
      <c r="CD134" s="1252"/>
      <c r="CE134" s="1252"/>
      <c r="CF134" s="1252"/>
      <c r="CG134" s="1252"/>
      <c r="CH134" s="1252"/>
      <c r="CI134" s="1252"/>
      <c r="CJ134" s="1206"/>
      <c r="CK134" s="1206"/>
      <c r="CL134" s="1206"/>
      <c r="CM134" s="1206"/>
      <c r="CN134" s="1206"/>
      <c r="CO134" s="1206"/>
      <c r="CP134" s="1206"/>
      <c r="CQ134" s="1206"/>
      <c r="CR134" s="1206"/>
      <c r="CS134" s="1206"/>
      <c r="CT134" s="1206"/>
      <c r="CU134" s="1206"/>
      <c r="CV134" s="1206"/>
      <c r="CW134" s="1206"/>
      <c r="CX134" s="1206"/>
      <c r="CY134" s="1206"/>
      <c r="CZ134" s="1206"/>
      <c r="DA134" s="1206"/>
      <c r="DB134" s="1206"/>
      <c r="DC134" s="1206"/>
      <c r="DD134" s="1206"/>
      <c r="DE134" s="1206"/>
      <c r="DF134" s="1206"/>
      <c r="DG134" s="1206"/>
      <c r="DH134" s="1206"/>
      <c r="DI134" s="1206"/>
      <c r="DJ134" s="1206"/>
      <c r="DK134" s="1206"/>
      <c r="DL134" s="1206"/>
      <c r="DM134" s="1206"/>
      <c r="DN134" s="1206"/>
      <c r="DO134" s="1206"/>
      <c r="DP134" s="1206"/>
      <c r="DQ134" s="1206"/>
      <c r="DR134" s="1206"/>
      <c r="DS134" s="1206"/>
      <c r="DT134" s="1206"/>
      <c r="DU134" s="1206"/>
      <c r="DV134" s="1206"/>
      <c r="DW134" s="1206"/>
      <c r="DX134" s="1206"/>
      <c r="DY134" s="1206"/>
      <c r="DZ134" s="1206"/>
      <c r="EA134" s="1206"/>
      <c r="EB134" s="1206"/>
      <c r="EC134" s="1206"/>
      <c r="ED134" s="1206"/>
      <c r="EE134" s="1206"/>
      <c r="EF134" s="1206"/>
      <c r="EG134" s="1206"/>
      <c r="EH134" s="1206"/>
      <c r="EI134" s="1206"/>
      <c r="EJ134" s="1206"/>
      <c r="EK134" s="1206"/>
      <c r="EL134" s="1206"/>
      <c r="EM134" s="1206"/>
      <c r="EN134" s="1206"/>
      <c r="EO134" s="1206"/>
      <c r="EP134" s="1206"/>
      <c r="EQ134" s="1206"/>
      <c r="ER134" s="1206"/>
      <c r="ES134" s="1206"/>
      <c r="ET134" s="1206"/>
      <c r="EU134" s="1206"/>
      <c r="EV134" s="1206"/>
      <c r="EW134" s="1206"/>
      <c r="EX134" s="1206"/>
      <c r="EY134" s="1206"/>
      <c r="EZ134" s="1206"/>
      <c r="FA134" s="1206"/>
      <c r="FB134" s="1206"/>
      <c r="FC134" s="1206"/>
      <c r="FD134" s="1206"/>
      <c r="FE134" s="1206"/>
      <c r="FF134" s="1206"/>
      <c r="FG134" s="1206"/>
      <c r="FH134" s="1206"/>
      <c r="FI134" s="1206"/>
      <c r="FJ134" s="1206"/>
      <c r="FK134" s="1206"/>
      <c r="FL134" s="1206"/>
      <c r="FM134" s="1206"/>
      <c r="FN134" s="1206"/>
      <c r="FO134" s="1206"/>
      <c r="FP134" s="1206"/>
      <c r="FQ134" s="1206"/>
      <c r="FR134" s="1206"/>
      <c r="FS134" s="1206"/>
      <c r="FT134" s="1206"/>
      <c r="FU134" s="1206"/>
      <c r="FV134" s="1206"/>
      <c r="FW134" s="1206"/>
      <c r="FX134" s="1206"/>
      <c r="FY134" s="1206"/>
      <c r="FZ134" s="1206"/>
      <c r="GA134" s="1206"/>
      <c r="GB134" s="1206"/>
      <c r="GC134" s="1206"/>
      <c r="GD134" s="1206"/>
      <c r="GE134" s="1206"/>
      <c r="GF134" s="1206"/>
      <c r="GG134" s="1206"/>
      <c r="GH134" s="1206"/>
      <c r="GI134" s="1206"/>
      <c r="GJ134" s="1206"/>
      <c r="GK134" s="1206"/>
      <c r="GL134" s="1206"/>
      <c r="GM134" s="1206"/>
      <c r="GN134" s="1206"/>
      <c r="GO134" s="1206"/>
      <c r="GP134" s="1206"/>
      <c r="GQ134" s="1206"/>
      <c r="GR134" s="1206"/>
      <c r="GS134" s="1206"/>
      <c r="GT134" s="1206"/>
      <c r="GU134" s="1206"/>
      <c r="GV134" s="1206"/>
      <c r="GW134" s="1206"/>
      <c r="GX134" s="1206"/>
      <c r="GY134" s="1206"/>
      <c r="GZ134" s="1206"/>
      <c r="HA134" s="1206"/>
      <c r="HB134" s="1206"/>
      <c r="HC134" s="1206"/>
      <c r="HD134" s="1206"/>
      <c r="HE134" s="1206"/>
      <c r="HF134" s="1206"/>
      <c r="HG134" s="1206"/>
      <c r="HH134" s="1206"/>
      <c r="HI134" s="1206"/>
      <c r="HJ134" s="1206"/>
      <c r="HK134" s="1206"/>
      <c r="HL134" s="1206"/>
      <c r="HM134" s="1206"/>
      <c r="HN134" s="1206"/>
      <c r="HO134" s="1206"/>
      <c r="HP134" s="1206"/>
      <c r="HQ134" s="1206"/>
      <c r="HR134" s="1206"/>
      <c r="HS134" s="1206"/>
      <c r="HT134" s="1206"/>
      <c r="HU134" s="1206"/>
      <c r="HV134" s="1206"/>
      <c r="HW134" s="1206"/>
      <c r="HX134" s="1206"/>
      <c r="HY134" s="1206"/>
      <c r="HZ134" s="1206"/>
      <c r="IA134" s="1206"/>
      <c r="IB134" s="1206"/>
      <c r="IC134" s="1206"/>
      <c r="ID134" s="1206"/>
      <c r="IE134" s="1206"/>
      <c r="IF134" s="1206"/>
      <c r="IG134" s="1206"/>
      <c r="IH134" s="1206"/>
      <c r="II134" s="1206"/>
      <c r="IJ134" s="1206"/>
      <c r="IK134" s="1206"/>
      <c r="IL134" s="1206"/>
      <c r="IM134" s="1206"/>
      <c r="IN134" s="1206"/>
      <c r="IO134" s="1206"/>
      <c r="IP134" s="1206"/>
      <c r="IQ134" s="1206"/>
      <c r="IR134" s="1206"/>
      <c r="IS134" s="1206"/>
      <c r="IT134" s="1206"/>
      <c r="IU134" s="1206"/>
      <c r="IV134" s="1206"/>
      <c r="IW134" s="1206"/>
      <c r="IX134" s="1206"/>
      <c r="IY134" s="1206"/>
      <c r="IZ134" s="1206"/>
      <c r="JA134" s="1206"/>
      <c r="JB134" s="1206"/>
      <c r="JC134" s="1206"/>
      <c r="JD134" s="1206"/>
      <c r="JE134" s="1206"/>
      <c r="JF134" s="1206"/>
      <c r="JG134" s="1206"/>
      <c r="JH134" s="1206"/>
      <c r="JI134" s="1206"/>
      <c r="JJ134" s="1206"/>
      <c r="JK134" s="1206"/>
      <c r="JL134" s="1206"/>
      <c r="JM134" s="1206"/>
      <c r="JN134" s="1206"/>
      <c r="JO134" s="1206"/>
      <c r="JP134" s="1206"/>
      <c r="JQ134" s="1206"/>
      <c r="JR134" s="1206"/>
      <c r="JS134" s="1206"/>
      <c r="JT134" s="1206"/>
      <c r="JU134" s="1206"/>
      <c r="JV134" s="1206"/>
      <c r="JW134" s="1206"/>
      <c r="JX134" s="1206"/>
      <c r="JY134" s="1206"/>
      <c r="JZ134" s="1206"/>
      <c r="KA134" s="1206"/>
      <c r="KB134" s="1206"/>
      <c r="KC134" s="1206"/>
      <c r="KD134" s="1206"/>
      <c r="KE134" s="1206"/>
      <c r="KF134" s="1206"/>
      <c r="KG134" s="1206"/>
      <c r="KH134" s="1206"/>
      <c r="KI134" s="1206"/>
      <c r="KJ134" s="1206"/>
      <c r="KK134" s="1206"/>
      <c r="KL134" s="1206"/>
      <c r="KM134" s="1206"/>
      <c r="KN134" s="1206"/>
      <c r="KO134" s="1206"/>
      <c r="KP134" s="1206"/>
      <c r="KQ134" s="1206"/>
      <c r="KR134" s="1206"/>
      <c r="KS134" s="1206"/>
      <c r="KT134" s="1206"/>
      <c r="KU134" s="1206"/>
      <c r="KV134" s="1206"/>
      <c r="KW134" s="1206"/>
      <c r="KX134" s="1206"/>
      <c r="KY134" s="1206"/>
      <c r="KZ134" s="1206"/>
      <c r="LA134" s="1206"/>
      <c r="LB134" s="1206"/>
      <c r="LC134" s="1206"/>
      <c r="LD134" s="1206"/>
      <c r="LE134" s="1206"/>
      <c r="LF134" s="1206"/>
      <c r="LG134" s="1206"/>
      <c r="LH134" s="1206"/>
      <c r="LI134" s="1206"/>
      <c r="LJ134" s="1206"/>
      <c r="LK134" s="1206"/>
      <c r="LL134" s="1206"/>
      <c r="LM134" s="1206"/>
      <c r="LN134" s="1206"/>
      <c r="LO134" s="1206"/>
      <c r="LP134" s="1206"/>
      <c r="LQ134" s="1206"/>
      <c r="LR134" s="1206"/>
      <c r="LS134" s="1206"/>
      <c r="LT134" s="1206"/>
      <c r="LU134" s="1206"/>
      <c r="LV134" s="1206"/>
      <c r="LW134" s="1206"/>
      <c r="LX134" s="1206"/>
      <c r="LY134" s="1206"/>
      <c r="LZ134" s="1206"/>
      <c r="MA134" s="1206"/>
      <c r="MB134" s="1206"/>
      <c r="MC134" s="1206"/>
      <c r="MD134" s="1206"/>
      <c r="ME134" s="1206"/>
      <c r="MF134" s="1206"/>
      <c r="MG134" s="1206"/>
    </row>
    <row r="135" spans="1:345" s="1285" customFormat="1" ht="52.5" customHeight="1" x14ac:dyDescent="0.2">
      <c r="A135" s="1239"/>
      <c r="B135" s="1240"/>
      <c r="C135" s="1241"/>
      <c r="D135" s="1240"/>
      <c r="E135" s="1240"/>
      <c r="F135" s="1241"/>
      <c r="G135" s="1239"/>
      <c r="H135" s="1240"/>
      <c r="I135" s="1241"/>
      <c r="J135" s="3075"/>
      <c r="K135" s="3030"/>
      <c r="L135" s="3027"/>
      <c r="M135" s="3027"/>
      <c r="N135" s="3027"/>
      <c r="O135" s="3027"/>
      <c r="P135" s="3030"/>
      <c r="Q135" s="3033"/>
      <c r="R135" s="3089"/>
      <c r="S135" s="3030"/>
      <c r="T135" s="3030"/>
      <c r="U135" s="1267" t="s">
        <v>987</v>
      </c>
      <c r="V135" s="1253">
        <v>50000000</v>
      </c>
      <c r="W135" s="3063"/>
      <c r="X135" s="3027"/>
      <c r="Y135" s="3036"/>
      <c r="Z135" s="3036"/>
      <c r="AA135" s="3036"/>
      <c r="AB135" s="3036"/>
      <c r="AC135" s="3036"/>
      <c r="AD135" s="3036"/>
      <c r="AE135" s="3036"/>
      <c r="AF135" s="3036"/>
      <c r="AG135" s="3036"/>
      <c r="AH135" s="3036"/>
      <c r="AI135" s="3036"/>
      <c r="AJ135" s="3036"/>
      <c r="AK135" s="3021"/>
      <c r="AL135" s="3021"/>
      <c r="AM135" s="3024"/>
      <c r="AN135" s="1252"/>
      <c r="AO135" s="1252"/>
      <c r="AP135" s="1252"/>
      <c r="AQ135" s="1252"/>
      <c r="AR135" s="1252"/>
      <c r="AS135" s="1252"/>
      <c r="AT135" s="1252"/>
      <c r="AU135" s="1252"/>
      <c r="AV135" s="1252"/>
      <c r="AW135" s="1252"/>
      <c r="AX135" s="1252"/>
      <c r="AY135" s="1252"/>
      <c r="AZ135" s="1252"/>
      <c r="BA135" s="1252"/>
      <c r="BB135" s="1252"/>
      <c r="BC135" s="1252"/>
      <c r="BD135" s="1252"/>
      <c r="BE135" s="1252"/>
      <c r="BF135" s="1252"/>
      <c r="BG135" s="1252"/>
      <c r="BH135" s="1252"/>
      <c r="BI135" s="1252"/>
      <c r="BJ135" s="1252"/>
      <c r="BK135" s="1252"/>
      <c r="BL135" s="1252"/>
      <c r="BM135" s="1252"/>
      <c r="BN135" s="1252"/>
      <c r="BO135" s="1252"/>
      <c r="BP135" s="1252"/>
      <c r="BQ135" s="1252"/>
      <c r="BR135" s="1252"/>
      <c r="BS135" s="1252"/>
      <c r="BT135" s="1252"/>
      <c r="BU135" s="1252"/>
      <c r="BV135" s="1252"/>
      <c r="BW135" s="1252"/>
      <c r="BX135" s="1252"/>
      <c r="BY135" s="1252"/>
      <c r="BZ135" s="1252"/>
      <c r="CA135" s="1252"/>
      <c r="CB135" s="1206"/>
      <c r="CC135" s="1206"/>
      <c r="CD135" s="1206"/>
      <c r="CE135" s="1206"/>
      <c r="CF135" s="1206"/>
      <c r="CG135" s="1206"/>
      <c r="CH135" s="1206"/>
      <c r="CI135" s="1206"/>
      <c r="CJ135" s="1206"/>
      <c r="CK135" s="1206"/>
      <c r="CL135" s="1206"/>
      <c r="CM135" s="1206"/>
      <c r="CN135" s="1206"/>
      <c r="CO135" s="1206"/>
      <c r="CP135" s="1206"/>
      <c r="CQ135" s="1206"/>
      <c r="CR135" s="1206"/>
      <c r="CS135" s="1206"/>
      <c r="CT135" s="1206"/>
      <c r="CU135" s="1206"/>
      <c r="CV135" s="1206"/>
      <c r="CW135" s="1206"/>
      <c r="CX135" s="1206"/>
      <c r="CY135" s="1206"/>
      <c r="CZ135" s="1206"/>
      <c r="DA135" s="1206"/>
      <c r="DB135" s="1206"/>
      <c r="DC135" s="1206"/>
      <c r="DD135" s="1206"/>
      <c r="DE135" s="1206"/>
      <c r="DF135" s="1206"/>
      <c r="DG135" s="1206"/>
      <c r="DH135" s="1206"/>
      <c r="DI135" s="1206"/>
      <c r="DJ135" s="1206"/>
      <c r="DK135" s="1206"/>
      <c r="DL135" s="1206"/>
      <c r="DM135" s="1206"/>
      <c r="DN135" s="1206"/>
      <c r="DO135" s="1206"/>
      <c r="DP135" s="1206"/>
      <c r="DQ135" s="1206"/>
      <c r="DR135" s="1206"/>
      <c r="DS135" s="1206"/>
      <c r="DT135" s="1206"/>
      <c r="DU135" s="1206"/>
      <c r="DV135" s="1206"/>
      <c r="DW135" s="1206"/>
      <c r="DX135" s="1206"/>
      <c r="DY135" s="1206"/>
      <c r="DZ135" s="1206"/>
      <c r="EA135" s="1206"/>
      <c r="EB135" s="1206"/>
      <c r="EC135" s="1206"/>
      <c r="ED135" s="1206"/>
      <c r="EE135" s="1206"/>
      <c r="EF135" s="1206"/>
      <c r="EG135" s="1206"/>
      <c r="EH135" s="1206"/>
      <c r="EI135" s="1206"/>
      <c r="EJ135" s="1206"/>
      <c r="EK135" s="1206"/>
      <c r="EL135" s="1206"/>
      <c r="EM135" s="1206"/>
      <c r="EN135" s="1206"/>
      <c r="EO135" s="1206"/>
      <c r="EP135" s="1206"/>
      <c r="EQ135" s="1206"/>
      <c r="ER135" s="1206"/>
      <c r="ES135" s="1206"/>
      <c r="ET135" s="1206"/>
      <c r="EU135" s="1206"/>
      <c r="EV135" s="1206"/>
      <c r="EW135" s="1206"/>
      <c r="EX135" s="1206"/>
      <c r="EY135" s="1206"/>
      <c r="EZ135" s="1206"/>
      <c r="FA135" s="1206"/>
      <c r="FB135" s="1206"/>
      <c r="FC135" s="1206"/>
      <c r="FD135" s="1206"/>
      <c r="FE135" s="1206"/>
      <c r="FF135" s="1206"/>
      <c r="FG135" s="1206"/>
      <c r="FH135" s="1206"/>
      <c r="FI135" s="1206"/>
      <c r="FJ135" s="1206"/>
      <c r="FK135" s="1206"/>
      <c r="FL135" s="1206"/>
      <c r="FM135" s="1206"/>
      <c r="FN135" s="1206"/>
      <c r="FO135" s="1206"/>
      <c r="FP135" s="1206"/>
      <c r="FQ135" s="1206"/>
      <c r="FR135" s="1206"/>
      <c r="FS135" s="1206"/>
      <c r="FT135" s="1206"/>
      <c r="FU135" s="1206"/>
      <c r="FV135" s="1206"/>
      <c r="FW135" s="1206"/>
      <c r="FX135" s="1206"/>
      <c r="FY135" s="1206"/>
      <c r="FZ135" s="1206"/>
      <c r="GA135" s="1206"/>
      <c r="GB135" s="1206"/>
      <c r="GC135" s="1206"/>
      <c r="GD135" s="1206"/>
      <c r="GE135" s="1206"/>
      <c r="GF135" s="1206"/>
      <c r="GG135" s="1206"/>
      <c r="GH135" s="1206"/>
      <c r="GI135" s="1206"/>
      <c r="GJ135" s="1206"/>
      <c r="GK135" s="1206"/>
      <c r="GL135" s="1206"/>
      <c r="GM135" s="1206"/>
      <c r="GN135" s="1206"/>
      <c r="GO135" s="1206"/>
      <c r="GP135" s="1206"/>
      <c r="GQ135" s="1206"/>
      <c r="GR135" s="1206"/>
      <c r="GS135" s="1206"/>
      <c r="GT135" s="1206"/>
      <c r="GU135" s="1206"/>
      <c r="GV135" s="1206"/>
      <c r="GW135" s="1206"/>
      <c r="GX135" s="1206"/>
      <c r="GY135" s="1206"/>
      <c r="GZ135" s="1206"/>
      <c r="HA135" s="1206"/>
      <c r="HB135" s="1206"/>
      <c r="HC135" s="1206"/>
      <c r="HD135" s="1206"/>
      <c r="HE135" s="1206"/>
      <c r="HF135" s="1206"/>
      <c r="HG135" s="1206"/>
      <c r="HH135" s="1206"/>
      <c r="HI135" s="1206"/>
      <c r="HJ135" s="1206"/>
      <c r="HK135" s="1206"/>
      <c r="HL135" s="1206"/>
      <c r="HM135" s="1206"/>
      <c r="HN135" s="1206"/>
      <c r="HO135" s="1206"/>
      <c r="HP135" s="1206"/>
      <c r="HQ135" s="1206"/>
      <c r="HR135" s="1206"/>
      <c r="HS135" s="1206"/>
      <c r="HT135" s="1206"/>
      <c r="HU135" s="1206"/>
      <c r="HV135" s="1206"/>
      <c r="HW135" s="1206"/>
      <c r="HX135" s="1206"/>
      <c r="HY135" s="1206"/>
      <c r="HZ135" s="1206"/>
      <c r="IA135" s="1206"/>
      <c r="IB135" s="1206"/>
      <c r="IC135" s="1206"/>
      <c r="ID135" s="1206"/>
      <c r="IE135" s="1206"/>
      <c r="IF135" s="1206"/>
      <c r="IG135" s="1206"/>
      <c r="IH135" s="1206"/>
      <c r="II135" s="1206"/>
      <c r="IJ135" s="1206"/>
      <c r="IK135" s="1206"/>
      <c r="IL135" s="1206"/>
      <c r="IM135" s="1206"/>
      <c r="IN135" s="1206"/>
      <c r="IO135" s="1206"/>
      <c r="IP135" s="1206"/>
      <c r="IQ135" s="1206"/>
      <c r="IR135" s="1206"/>
      <c r="IS135" s="1206"/>
      <c r="IT135" s="1206"/>
      <c r="IU135" s="1206"/>
      <c r="IV135" s="1206"/>
      <c r="IW135" s="1206"/>
      <c r="IX135" s="1206"/>
      <c r="IY135" s="1206"/>
      <c r="IZ135" s="1206"/>
      <c r="JA135" s="1206"/>
      <c r="JB135" s="1206"/>
      <c r="JC135" s="1206"/>
      <c r="JD135" s="1206"/>
      <c r="JE135" s="1206"/>
      <c r="JF135" s="1206"/>
      <c r="JG135" s="1206"/>
      <c r="JH135" s="1206"/>
      <c r="JI135" s="1206"/>
      <c r="JJ135" s="1206"/>
      <c r="JK135" s="1206"/>
      <c r="JL135" s="1206"/>
      <c r="JM135" s="1206"/>
      <c r="JN135" s="1206"/>
      <c r="JO135" s="1206"/>
      <c r="JP135" s="1206"/>
      <c r="JQ135" s="1206"/>
      <c r="JR135" s="1206"/>
      <c r="JS135" s="1206"/>
      <c r="JT135" s="1206"/>
      <c r="JU135" s="1206"/>
      <c r="JV135" s="1206"/>
      <c r="JW135" s="1206"/>
      <c r="JX135" s="1206"/>
      <c r="JY135" s="1206"/>
      <c r="JZ135" s="1206"/>
      <c r="KA135" s="1206"/>
      <c r="KB135" s="1206"/>
      <c r="KC135" s="1206"/>
      <c r="KD135" s="1206"/>
      <c r="KE135" s="1206"/>
      <c r="KF135" s="1206"/>
      <c r="KG135" s="1206"/>
      <c r="KH135" s="1206"/>
      <c r="KI135" s="1206"/>
      <c r="KJ135" s="1206"/>
      <c r="KK135" s="1206"/>
      <c r="KL135" s="1206"/>
      <c r="KM135" s="1206"/>
      <c r="KN135" s="1206"/>
      <c r="KO135" s="1206"/>
      <c r="KP135" s="1206"/>
      <c r="KQ135" s="1206"/>
      <c r="KR135" s="1206"/>
      <c r="KS135" s="1206"/>
      <c r="KT135" s="1206"/>
      <c r="KU135" s="1206"/>
      <c r="KV135" s="1206"/>
      <c r="KW135" s="1206"/>
      <c r="KX135" s="1206"/>
      <c r="KY135" s="1206"/>
      <c r="KZ135" s="1206"/>
      <c r="LA135" s="1206"/>
      <c r="LB135" s="1206"/>
      <c r="LC135" s="1206"/>
      <c r="LD135" s="1206"/>
      <c r="LE135" s="1206"/>
      <c r="LF135" s="1206"/>
      <c r="LG135" s="1206"/>
      <c r="LH135" s="1206"/>
      <c r="LI135" s="1206"/>
      <c r="LJ135" s="1206"/>
      <c r="LK135" s="1206"/>
      <c r="LL135" s="1206"/>
      <c r="LM135" s="1206"/>
      <c r="LN135" s="1206"/>
      <c r="LO135" s="1206"/>
      <c r="LP135" s="1206"/>
      <c r="LQ135" s="1206"/>
      <c r="LR135" s="1206"/>
      <c r="LS135" s="1206"/>
      <c r="LT135" s="1206"/>
      <c r="LU135" s="1206"/>
      <c r="LV135" s="1206"/>
      <c r="LW135" s="1206"/>
      <c r="LX135" s="1206"/>
      <c r="LY135" s="1206"/>
      <c r="LZ135" s="1206"/>
      <c r="MA135" s="1206"/>
      <c r="MB135" s="1206"/>
      <c r="MC135" s="1206"/>
      <c r="MD135" s="1206"/>
      <c r="ME135" s="1206"/>
      <c r="MF135" s="1206"/>
      <c r="MG135" s="1206"/>
    </row>
    <row r="136" spans="1:345" s="1285" customFormat="1" ht="66" customHeight="1" x14ac:dyDescent="0.2">
      <c r="A136" s="1239"/>
      <c r="B136" s="1240"/>
      <c r="C136" s="1241"/>
      <c r="D136" s="1240"/>
      <c r="E136" s="1240"/>
      <c r="F136" s="1241"/>
      <c r="G136" s="1239"/>
      <c r="H136" s="1240"/>
      <c r="I136" s="1241"/>
      <c r="J136" s="3075"/>
      <c r="K136" s="3030"/>
      <c r="L136" s="3027"/>
      <c r="M136" s="3027"/>
      <c r="N136" s="3027"/>
      <c r="O136" s="3027"/>
      <c r="P136" s="3030"/>
      <c r="Q136" s="3033"/>
      <c r="R136" s="3089"/>
      <c r="S136" s="3030"/>
      <c r="T136" s="3030"/>
      <c r="U136" s="1267" t="s">
        <v>988</v>
      </c>
      <c r="V136" s="1253">
        <v>30000000</v>
      </c>
      <c r="W136" s="3063"/>
      <c r="X136" s="3027"/>
      <c r="Y136" s="3036"/>
      <c r="Z136" s="3036"/>
      <c r="AA136" s="3036"/>
      <c r="AB136" s="3036"/>
      <c r="AC136" s="3036"/>
      <c r="AD136" s="3036"/>
      <c r="AE136" s="3036"/>
      <c r="AF136" s="3036"/>
      <c r="AG136" s="3036"/>
      <c r="AH136" s="3036"/>
      <c r="AI136" s="3036"/>
      <c r="AJ136" s="3036"/>
      <c r="AK136" s="3021"/>
      <c r="AL136" s="3021"/>
      <c r="AM136" s="3024"/>
      <c r="AN136" s="1252"/>
      <c r="AO136" s="1252"/>
      <c r="AP136" s="1252"/>
      <c r="AQ136" s="1252"/>
      <c r="AR136" s="1252"/>
      <c r="AS136" s="1252"/>
      <c r="AT136" s="1252"/>
      <c r="AU136" s="1252"/>
      <c r="AV136" s="1252"/>
      <c r="AW136" s="1252"/>
      <c r="AX136" s="1252"/>
      <c r="AY136" s="1252"/>
      <c r="AZ136" s="1252"/>
      <c r="BA136" s="1252"/>
      <c r="BB136" s="1252"/>
      <c r="BC136" s="1252"/>
      <c r="BD136" s="1252"/>
      <c r="BE136" s="1252"/>
      <c r="BF136" s="1252"/>
      <c r="BG136" s="1252"/>
      <c r="BH136" s="1252"/>
      <c r="BI136" s="1252"/>
      <c r="BJ136" s="1252"/>
      <c r="BK136" s="1252"/>
      <c r="BL136" s="1252"/>
      <c r="BM136" s="1252"/>
      <c r="BN136" s="1252"/>
      <c r="BO136" s="1252"/>
      <c r="BP136" s="1252"/>
      <c r="BQ136" s="1252"/>
      <c r="BR136" s="1252"/>
      <c r="BS136" s="1252"/>
      <c r="BT136" s="1252"/>
      <c r="BU136" s="1252"/>
      <c r="BV136" s="1252"/>
      <c r="BW136" s="1252"/>
      <c r="BX136" s="1252"/>
      <c r="BY136" s="1252"/>
      <c r="BZ136" s="1252"/>
      <c r="CA136" s="1252"/>
      <c r="CB136" s="1206"/>
      <c r="CC136" s="1206"/>
      <c r="CD136" s="1206"/>
      <c r="CE136" s="1206"/>
      <c r="CF136" s="1206"/>
      <c r="CG136" s="1206"/>
      <c r="CH136" s="1206"/>
      <c r="CI136" s="1206"/>
      <c r="CJ136" s="1206"/>
      <c r="CK136" s="1206"/>
      <c r="CL136" s="1206"/>
      <c r="CM136" s="1206"/>
      <c r="CN136" s="1206"/>
      <c r="CO136" s="1206"/>
      <c r="CP136" s="1206"/>
      <c r="CQ136" s="1206"/>
      <c r="CR136" s="1206"/>
      <c r="CS136" s="1206"/>
      <c r="CT136" s="1206"/>
      <c r="CU136" s="1206"/>
      <c r="CV136" s="1206"/>
      <c r="CW136" s="1206"/>
      <c r="CX136" s="1206"/>
      <c r="CY136" s="1206"/>
      <c r="CZ136" s="1206"/>
      <c r="DA136" s="1206"/>
      <c r="DB136" s="1206"/>
      <c r="DC136" s="1206"/>
      <c r="DD136" s="1206"/>
      <c r="DE136" s="1206"/>
      <c r="DF136" s="1206"/>
      <c r="DG136" s="1206"/>
      <c r="DH136" s="1206"/>
      <c r="DI136" s="1206"/>
      <c r="DJ136" s="1206"/>
      <c r="DK136" s="1206"/>
      <c r="DL136" s="1206"/>
      <c r="DM136" s="1206"/>
      <c r="DN136" s="1206"/>
      <c r="DO136" s="1206"/>
      <c r="DP136" s="1206"/>
      <c r="DQ136" s="1206"/>
      <c r="DR136" s="1206"/>
      <c r="DS136" s="1206"/>
      <c r="DT136" s="1206"/>
      <c r="DU136" s="1206"/>
      <c r="DV136" s="1206"/>
      <c r="DW136" s="1206"/>
      <c r="DX136" s="1206"/>
      <c r="DY136" s="1206"/>
      <c r="DZ136" s="1206"/>
      <c r="EA136" s="1206"/>
      <c r="EB136" s="1206"/>
      <c r="EC136" s="1206"/>
      <c r="ED136" s="1206"/>
      <c r="EE136" s="1206"/>
      <c r="EF136" s="1206"/>
      <c r="EG136" s="1206"/>
      <c r="EH136" s="1206"/>
      <c r="EI136" s="1206"/>
      <c r="EJ136" s="1206"/>
      <c r="EK136" s="1206"/>
      <c r="EL136" s="1206"/>
      <c r="EM136" s="1206"/>
      <c r="EN136" s="1206"/>
      <c r="EO136" s="1206"/>
      <c r="EP136" s="1206"/>
      <c r="EQ136" s="1206"/>
      <c r="ER136" s="1206"/>
      <c r="ES136" s="1206"/>
      <c r="ET136" s="1206"/>
      <c r="EU136" s="1206"/>
      <c r="EV136" s="1206"/>
      <c r="EW136" s="1206"/>
      <c r="EX136" s="1206"/>
      <c r="EY136" s="1206"/>
      <c r="EZ136" s="1206"/>
      <c r="FA136" s="1206"/>
      <c r="FB136" s="1206"/>
      <c r="FC136" s="1206"/>
      <c r="FD136" s="1206"/>
      <c r="FE136" s="1206"/>
      <c r="FF136" s="1206"/>
      <c r="FG136" s="1206"/>
      <c r="FH136" s="1206"/>
      <c r="FI136" s="1206"/>
      <c r="FJ136" s="1206"/>
      <c r="FK136" s="1206"/>
      <c r="FL136" s="1206"/>
      <c r="FM136" s="1206"/>
      <c r="FN136" s="1206"/>
      <c r="FO136" s="1206"/>
      <c r="FP136" s="1206"/>
      <c r="FQ136" s="1206"/>
      <c r="FR136" s="1206"/>
      <c r="FS136" s="1206"/>
      <c r="FT136" s="1206"/>
      <c r="FU136" s="1206"/>
      <c r="FV136" s="1206"/>
      <c r="FW136" s="1206"/>
      <c r="FX136" s="1206"/>
      <c r="FY136" s="1206"/>
      <c r="FZ136" s="1206"/>
      <c r="GA136" s="1206"/>
      <c r="GB136" s="1206"/>
      <c r="GC136" s="1206"/>
      <c r="GD136" s="1206"/>
      <c r="GE136" s="1206"/>
      <c r="GF136" s="1206"/>
      <c r="GG136" s="1206"/>
      <c r="GH136" s="1206"/>
      <c r="GI136" s="1206"/>
      <c r="GJ136" s="1206"/>
      <c r="GK136" s="1206"/>
      <c r="GL136" s="1206"/>
      <c r="GM136" s="1206"/>
      <c r="GN136" s="1206"/>
      <c r="GO136" s="1206"/>
      <c r="GP136" s="1206"/>
      <c r="GQ136" s="1206"/>
      <c r="GR136" s="1206"/>
      <c r="GS136" s="1206"/>
      <c r="GT136" s="1206"/>
      <c r="GU136" s="1206"/>
      <c r="GV136" s="1206"/>
      <c r="GW136" s="1206"/>
      <c r="GX136" s="1206"/>
      <c r="GY136" s="1206"/>
      <c r="GZ136" s="1206"/>
      <c r="HA136" s="1206"/>
      <c r="HB136" s="1206"/>
      <c r="HC136" s="1206"/>
      <c r="HD136" s="1206"/>
      <c r="HE136" s="1206"/>
      <c r="HF136" s="1206"/>
      <c r="HG136" s="1206"/>
      <c r="HH136" s="1206"/>
      <c r="HI136" s="1206"/>
      <c r="HJ136" s="1206"/>
      <c r="HK136" s="1206"/>
      <c r="HL136" s="1206"/>
      <c r="HM136" s="1206"/>
      <c r="HN136" s="1206"/>
      <c r="HO136" s="1206"/>
      <c r="HP136" s="1206"/>
      <c r="HQ136" s="1206"/>
      <c r="HR136" s="1206"/>
      <c r="HS136" s="1206"/>
      <c r="HT136" s="1206"/>
      <c r="HU136" s="1206"/>
      <c r="HV136" s="1206"/>
      <c r="HW136" s="1206"/>
      <c r="HX136" s="1206"/>
      <c r="HY136" s="1206"/>
      <c r="HZ136" s="1206"/>
      <c r="IA136" s="1206"/>
      <c r="IB136" s="1206"/>
      <c r="IC136" s="1206"/>
      <c r="ID136" s="1206"/>
      <c r="IE136" s="1206"/>
      <c r="IF136" s="1206"/>
      <c r="IG136" s="1206"/>
      <c r="IH136" s="1206"/>
      <c r="II136" s="1206"/>
      <c r="IJ136" s="1206"/>
      <c r="IK136" s="1206"/>
      <c r="IL136" s="1206"/>
      <c r="IM136" s="1206"/>
      <c r="IN136" s="1206"/>
      <c r="IO136" s="1206"/>
      <c r="IP136" s="1206"/>
      <c r="IQ136" s="1206"/>
      <c r="IR136" s="1206"/>
      <c r="IS136" s="1206"/>
      <c r="IT136" s="1206"/>
      <c r="IU136" s="1206"/>
      <c r="IV136" s="1206"/>
      <c r="IW136" s="1206"/>
      <c r="IX136" s="1206"/>
      <c r="IY136" s="1206"/>
      <c r="IZ136" s="1206"/>
      <c r="JA136" s="1206"/>
      <c r="JB136" s="1206"/>
      <c r="JC136" s="1206"/>
      <c r="JD136" s="1206"/>
      <c r="JE136" s="1206"/>
      <c r="JF136" s="1206"/>
      <c r="JG136" s="1206"/>
      <c r="JH136" s="1206"/>
      <c r="JI136" s="1206"/>
      <c r="JJ136" s="1206"/>
      <c r="JK136" s="1206"/>
      <c r="JL136" s="1206"/>
      <c r="JM136" s="1206"/>
      <c r="JN136" s="1206"/>
      <c r="JO136" s="1206"/>
      <c r="JP136" s="1206"/>
      <c r="JQ136" s="1206"/>
      <c r="JR136" s="1206"/>
      <c r="JS136" s="1206"/>
      <c r="JT136" s="1206"/>
      <c r="JU136" s="1206"/>
      <c r="JV136" s="1206"/>
      <c r="JW136" s="1206"/>
      <c r="JX136" s="1206"/>
      <c r="JY136" s="1206"/>
      <c r="JZ136" s="1206"/>
      <c r="KA136" s="1206"/>
      <c r="KB136" s="1206"/>
      <c r="KC136" s="1206"/>
      <c r="KD136" s="1206"/>
      <c r="KE136" s="1206"/>
      <c r="KF136" s="1206"/>
      <c r="KG136" s="1206"/>
      <c r="KH136" s="1206"/>
      <c r="KI136" s="1206"/>
      <c r="KJ136" s="1206"/>
      <c r="KK136" s="1206"/>
      <c r="KL136" s="1206"/>
      <c r="KM136" s="1206"/>
      <c r="KN136" s="1206"/>
      <c r="KO136" s="1206"/>
      <c r="KP136" s="1206"/>
      <c r="KQ136" s="1206"/>
      <c r="KR136" s="1206"/>
      <c r="KS136" s="1206"/>
      <c r="KT136" s="1206"/>
      <c r="KU136" s="1206"/>
      <c r="KV136" s="1206"/>
      <c r="KW136" s="1206"/>
      <c r="KX136" s="1206"/>
      <c r="KY136" s="1206"/>
      <c r="KZ136" s="1206"/>
      <c r="LA136" s="1206"/>
      <c r="LB136" s="1206"/>
      <c r="LC136" s="1206"/>
      <c r="LD136" s="1206"/>
      <c r="LE136" s="1206"/>
      <c r="LF136" s="1206"/>
      <c r="LG136" s="1206"/>
      <c r="LH136" s="1206"/>
      <c r="LI136" s="1206"/>
      <c r="LJ136" s="1206"/>
      <c r="LK136" s="1206"/>
      <c r="LL136" s="1206"/>
      <c r="LM136" s="1206"/>
      <c r="LN136" s="1206"/>
      <c r="LO136" s="1206"/>
      <c r="LP136" s="1206"/>
      <c r="LQ136" s="1206"/>
      <c r="LR136" s="1206"/>
      <c r="LS136" s="1206"/>
      <c r="LT136" s="1206"/>
      <c r="LU136" s="1206"/>
      <c r="LV136" s="1206"/>
      <c r="LW136" s="1206"/>
      <c r="LX136" s="1206"/>
      <c r="LY136" s="1206"/>
      <c r="LZ136" s="1206"/>
      <c r="MA136" s="1206"/>
      <c r="MB136" s="1206"/>
      <c r="MC136" s="1206"/>
      <c r="MD136" s="1206"/>
      <c r="ME136" s="1206"/>
      <c r="MF136" s="1206"/>
      <c r="MG136" s="1206"/>
    </row>
    <row r="137" spans="1:345" s="1285" customFormat="1" ht="62.25" customHeight="1" x14ac:dyDescent="0.2">
      <c r="A137" s="1239"/>
      <c r="B137" s="1240"/>
      <c r="C137" s="1241"/>
      <c r="D137" s="1240"/>
      <c r="E137" s="1240"/>
      <c r="F137" s="1241"/>
      <c r="G137" s="1239"/>
      <c r="H137" s="1240"/>
      <c r="I137" s="1241"/>
      <c r="J137" s="3075"/>
      <c r="K137" s="3030"/>
      <c r="L137" s="3027"/>
      <c r="M137" s="3027"/>
      <c r="N137" s="3027"/>
      <c r="O137" s="3027"/>
      <c r="P137" s="3030"/>
      <c r="Q137" s="3033"/>
      <c r="R137" s="3089"/>
      <c r="S137" s="3030"/>
      <c r="T137" s="3030"/>
      <c r="U137" s="1267" t="s">
        <v>989</v>
      </c>
      <c r="V137" s="1253">
        <v>7309844</v>
      </c>
      <c r="W137" s="3063"/>
      <c r="X137" s="3027"/>
      <c r="Y137" s="3036"/>
      <c r="Z137" s="3036"/>
      <c r="AA137" s="3036"/>
      <c r="AB137" s="3036"/>
      <c r="AC137" s="3036"/>
      <c r="AD137" s="3036"/>
      <c r="AE137" s="3036"/>
      <c r="AF137" s="3036"/>
      <c r="AG137" s="3036"/>
      <c r="AH137" s="3036"/>
      <c r="AI137" s="3036"/>
      <c r="AJ137" s="3036"/>
      <c r="AK137" s="3021"/>
      <c r="AL137" s="3021"/>
      <c r="AM137" s="3024"/>
      <c r="AN137" s="1252"/>
      <c r="AO137" s="1252"/>
      <c r="AP137" s="1252"/>
      <c r="AQ137" s="1252"/>
      <c r="AR137" s="1252"/>
      <c r="AS137" s="1252"/>
      <c r="AT137" s="1252"/>
      <c r="AU137" s="1252"/>
      <c r="AV137" s="1252"/>
      <c r="AW137" s="1252"/>
      <c r="AX137" s="1252"/>
      <c r="AY137" s="1252"/>
      <c r="AZ137" s="1252"/>
      <c r="BA137" s="1252"/>
      <c r="BB137" s="1252"/>
      <c r="BC137" s="1252"/>
      <c r="BD137" s="1252"/>
      <c r="BE137" s="1252"/>
      <c r="BF137" s="1252"/>
      <c r="BG137" s="1252"/>
      <c r="BH137" s="1252"/>
      <c r="BI137" s="1252"/>
      <c r="BJ137" s="1252"/>
      <c r="BK137" s="1252"/>
      <c r="BL137" s="1252"/>
      <c r="BM137" s="1252"/>
      <c r="BN137" s="1252"/>
      <c r="BO137" s="1252"/>
      <c r="BP137" s="1252"/>
      <c r="BQ137" s="1252"/>
      <c r="BR137" s="1252"/>
      <c r="BS137" s="1252"/>
      <c r="BT137" s="1252"/>
      <c r="BU137" s="1252"/>
      <c r="BV137" s="1252"/>
      <c r="BW137" s="1252"/>
      <c r="BX137" s="1252"/>
      <c r="BY137" s="1252"/>
      <c r="BZ137" s="1252"/>
      <c r="CA137" s="1252"/>
      <c r="CB137" s="1206"/>
      <c r="CC137" s="1206"/>
      <c r="CD137" s="1206"/>
      <c r="CE137" s="1206"/>
      <c r="CF137" s="1206"/>
      <c r="CG137" s="1206"/>
      <c r="CH137" s="1206"/>
      <c r="CI137" s="1206"/>
      <c r="CJ137" s="1206"/>
      <c r="CK137" s="1206"/>
      <c r="CL137" s="1206"/>
      <c r="CM137" s="1206"/>
      <c r="CN137" s="1206"/>
      <c r="CO137" s="1206"/>
      <c r="CP137" s="1206"/>
      <c r="CQ137" s="1206"/>
      <c r="CR137" s="1206"/>
      <c r="CS137" s="1206"/>
      <c r="CT137" s="1206"/>
      <c r="CU137" s="1206"/>
      <c r="CV137" s="1206"/>
      <c r="CW137" s="1206"/>
      <c r="CX137" s="1206"/>
      <c r="CY137" s="1206"/>
      <c r="CZ137" s="1206"/>
      <c r="DA137" s="1206"/>
      <c r="DB137" s="1206"/>
      <c r="DC137" s="1206"/>
      <c r="DD137" s="1206"/>
      <c r="DE137" s="1206"/>
      <c r="DF137" s="1206"/>
      <c r="DG137" s="1206"/>
      <c r="DH137" s="1206"/>
      <c r="DI137" s="1206"/>
      <c r="DJ137" s="1206"/>
      <c r="DK137" s="1206"/>
      <c r="DL137" s="1206"/>
      <c r="DM137" s="1206"/>
      <c r="DN137" s="1206"/>
      <c r="DO137" s="1206"/>
      <c r="DP137" s="1206"/>
      <c r="DQ137" s="1206"/>
      <c r="DR137" s="1206"/>
      <c r="DS137" s="1206"/>
      <c r="DT137" s="1206"/>
      <c r="DU137" s="1206"/>
      <c r="DV137" s="1206"/>
      <c r="DW137" s="1206"/>
      <c r="DX137" s="1206"/>
      <c r="DY137" s="1206"/>
      <c r="DZ137" s="1206"/>
      <c r="EA137" s="1206"/>
      <c r="EB137" s="1206"/>
      <c r="EC137" s="1206"/>
      <c r="ED137" s="1206"/>
      <c r="EE137" s="1206"/>
      <c r="EF137" s="1206"/>
      <c r="EG137" s="1206"/>
      <c r="EH137" s="1206"/>
      <c r="EI137" s="1206"/>
      <c r="EJ137" s="1206"/>
      <c r="EK137" s="1206"/>
      <c r="EL137" s="1206"/>
      <c r="EM137" s="1206"/>
      <c r="EN137" s="1206"/>
      <c r="EO137" s="1206"/>
      <c r="EP137" s="1206"/>
      <c r="EQ137" s="1206"/>
      <c r="ER137" s="1206"/>
      <c r="ES137" s="1206"/>
      <c r="ET137" s="1206"/>
      <c r="EU137" s="1206"/>
      <c r="EV137" s="1206"/>
      <c r="EW137" s="1206"/>
      <c r="EX137" s="1206"/>
      <c r="EY137" s="1206"/>
      <c r="EZ137" s="1206"/>
      <c r="FA137" s="1206"/>
      <c r="FB137" s="1206"/>
      <c r="FC137" s="1206"/>
      <c r="FD137" s="1206"/>
      <c r="FE137" s="1206"/>
      <c r="FF137" s="1206"/>
      <c r="FG137" s="1206"/>
      <c r="FH137" s="1206"/>
      <c r="FI137" s="1206"/>
      <c r="FJ137" s="1206"/>
      <c r="FK137" s="1206"/>
      <c r="FL137" s="1206"/>
      <c r="FM137" s="1206"/>
      <c r="FN137" s="1206"/>
      <c r="FO137" s="1206"/>
      <c r="FP137" s="1206"/>
      <c r="FQ137" s="1206"/>
      <c r="FR137" s="1206"/>
      <c r="FS137" s="1206"/>
      <c r="FT137" s="1206"/>
      <c r="FU137" s="1206"/>
      <c r="FV137" s="1206"/>
      <c r="FW137" s="1206"/>
      <c r="FX137" s="1206"/>
      <c r="FY137" s="1206"/>
      <c r="FZ137" s="1206"/>
      <c r="GA137" s="1206"/>
      <c r="GB137" s="1206"/>
      <c r="GC137" s="1206"/>
      <c r="GD137" s="1206"/>
      <c r="GE137" s="1206"/>
      <c r="GF137" s="1206"/>
      <c r="GG137" s="1206"/>
      <c r="GH137" s="1206"/>
      <c r="GI137" s="1206"/>
      <c r="GJ137" s="1206"/>
      <c r="GK137" s="1206"/>
      <c r="GL137" s="1206"/>
      <c r="GM137" s="1206"/>
      <c r="GN137" s="1206"/>
      <c r="GO137" s="1206"/>
      <c r="GP137" s="1206"/>
      <c r="GQ137" s="1206"/>
      <c r="GR137" s="1206"/>
      <c r="GS137" s="1206"/>
      <c r="GT137" s="1206"/>
      <c r="GU137" s="1206"/>
      <c r="GV137" s="1206"/>
      <c r="GW137" s="1206"/>
      <c r="GX137" s="1206"/>
      <c r="GY137" s="1206"/>
      <c r="GZ137" s="1206"/>
      <c r="HA137" s="1206"/>
      <c r="HB137" s="1206"/>
      <c r="HC137" s="1206"/>
      <c r="HD137" s="1206"/>
      <c r="HE137" s="1206"/>
      <c r="HF137" s="1206"/>
      <c r="HG137" s="1206"/>
      <c r="HH137" s="1206"/>
      <c r="HI137" s="1206"/>
      <c r="HJ137" s="1206"/>
      <c r="HK137" s="1206"/>
      <c r="HL137" s="1206"/>
      <c r="HM137" s="1206"/>
      <c r="HN137" s="1206"/>
      <c r="HO137" s="1206"/>
      <c r="HP137" s="1206"/>
      <c r="HQ137" s="1206"/>
      <c r="HR137" s="1206"/>
      <c r="HS137" s="1206"/>
      <c r="HT137" s="1206"/>
      <c r="HU137" s="1206"/>
      <c r="HV137" s="1206"/>
      <c r="HW137" s="1206"/>
      <c r="HX137" s="1206"/>
      <c r="HY137" s="1206"/>
      <c r="HZ137" s="1206"/>
      <c r="IA137" s="1206"/>
      <c r="IB137" s="1206"/>
      <c r="IC137" s="1206"/>
      <c r="ID137" s="1206"/>
      <c r="IE137" s="1206"/>
      <c r="IF137" s="1206"/>
      <c r="IG137" s="1206"/>
      <c r="IH137" s="1206"/>
      <c r="II137" s="1206"/>
      <c r="IJ137" s="1206"/>
      <c r="IK137" s="1206"/>
      <c r="IL137" s="1206"/>
      <c r="IM137" s="1206"/>
      <c r="IN137" s="1206"/>
      <c r="IO137" s="1206"/>
      <c r="IP137" s="1206"/>
      <c r="IQ137" s="1206"/>
      <c r="IR137" s="1206"/>
      <c r="IS137" s="1206"/>
      <c r="IT137" s="1206"/>
      <c r="IU137" s="1206"/>
      <c r="IV137" s="1206"/>
      <c r="IW137" s="1206"/>
      <c r="IX137" s="1206"/>
      <c r="IY137" s="1206"/>
      <c r="IZ137" s="1206"/>
      <c r="JA137" s="1206"/>
      <c r="JB137" s="1206"/>
      <c r="JC137" s="1206"/>
      <c r="JD137" s="1206"/>
      <c r="JE137" s="1206"/>
      <c r="JF137" s="1206"/>
      <c r="JG137" s="1206"/>
      <c r="JH137" s="1206"/>
      <c r="JI137" s="1206"/>
      <c r="JJ137" s="1206"/>
      <c r="JK137" s="1206"/>
      <c r="JL137" s="1206"/>
      <c r="JM137" s="1206"/>
      <c r="JN137" s="1206"/>
      <c r="JO137" s="1206"/>
      <c r="JP137" s="1206"/>
      <c r="JQ137" s="1206"/>
      <c r="JR137" s="1206"/>
      <c r="JS137" s="1206"/>
      <c r="JT137" s="1206"/>
      <c r="JU137" s="1206"/>
      <c r="JV137" s="1206"/>
      <c r="JW137" s="1206"/>
      <c r="JX137" s="1206"/>
      <c r="JY137" s="1206"/>
      <c r="JZ137" s="1206"/>
      <c r="KA137" s="1206"/>
      <c r="KB137" s="1206"/>
      <c r="KC137" s="1206"/>
      <c r="KD137" s="1206"/>
      <c r="KE137" s="1206"/>
      <c r="KF137" s="1206"/>
      <c r="KG137" s="1206"/>
      <c r="KH137" s="1206"/>
      <c r="KI137" s="1206"/>
      <c r="KJ137" s="1206"/>
      <c r="KK137" s="1206"/>
      <c r="KL137" s="1206"/>
      <c r="KM137" s="1206"/>
      <c r="KN137" s="1206"/>
      <c r="KO137" s="1206"/>
      <c r="KP137" s="1206"/>
      <c r="KQ137" s="1206"/>
      <c r="KR137" s="1206"/>
      <c r="KS137" s="1206"/>
      <c r="KT137" s="1206"/>
      <c r="KU137" s="1206"/>
      <c r="KV137" s="1206"/>
      <c r="KW137" s="1206"/>
      <c r="KX137" s="1206"/>
      <c r="KY137" s="1206"/>
      <c r="KZ137" s="1206"/>
      <c r="LA137" s="1206"/>
      <c r="LB137" s="1206"/>
      <c r="LC137" s="1206"/>
      <c r="LD137" s="1206"/>
      <c r="LE137" s="1206"/>
      <c r="LF137" s="1206"/>
      <c r="LG137" s="1206"/>
      <c r="LH137" s="1206"/>
      <c r="LI137" s="1206"/>
      <c r="LJ137" s="1206"/>
      <c r="LK137" s="1206"/>
      <c r="LL137" s="1206"/>
      <c r="LM137" s="1206"/>
      <c r="LN137" s="1206"/>
      <c r="LO137" s="1206"/>
      <c r="LP137" s="1206"/>
      <c r="LQ137" s="1206"/>
      <c r="LR137" s="1206"/>
      <c r="LS137" s="1206"/>
      <c r="LT137" s="1206"/>
      <c r="LU137" s="1206"/>
      <c r="LV137" s="1206"/>
      <c r="LW137" s="1206"/>
      <c r="LX137" s="1206"/>
      <c r="LY137" s="1206"/>
      <c r="LZ137" s="1206"/>
      <c r="MA137" s="1206"/>
      <c r="MB137" s="1206"/>
      <c r="MC137" s="1206"/>
      <c r="MD137" s="1206"/>
      <c r="ME137" s="1206"/>
      <c r="MF137" s="1206"/>
      <c r="MG137" s="1206"/>
    </row>
    <row r="138" spans="1:345" s="1285" customFormat="1" ht="125.25" customHeight="1" x14ac:dyDescent="0.2">
      <c r="A138" s="1239"/>
      <c r="B138" s="1240"/>
      <c r="C138" s="1241"/>
      <c r="D138" s="1255"/>
      <c r="E138" s="1255"/>
      <c r="F138" s="1256"/>
      <c r="G138" s="1257"/>
      <c r="H138" s="1255"/>
      <c r="I138" s="1256"/>
      <c r="J138" s="3075"/>
      <c r="K138" s="3030"/>
      <c r="L138" s="3027"/>
      <c r="M138" s="3027"/>
      <c r="N138" s="3027"/>
      <c r="O138" s="3027"/>
      <c r="P138" s="3030"/>
      <c r="Q138" s="3033"/>
      <c r="R138" s="3089"/>
      <c r="S138" s="3030"/>
      <c r="T138" s="3030"/>
      <c r="U138" s="1267" t="s">
        <v>990</v>
      </c>
      <c r="V138" s="1253">
        <v>27000000</v>
      </c>
      <c r="W138" s="3063"/>
      <c r="X138" s="3027"/>
      <c r="Y138" s="3036"/>
      <c r="Z138" s="3036"/>
      <c r="AA138" s="3036"/>
      <c r="AB138" s="3036"/>
      <c r="AC138" s="3036"/>
      <c r="AD138" s="3036"/>
      <c r="AE138" s="3036"/>
      <c r="AF138" s="3036"/>
      <c r="AG138" s="3036"/>
      <c r="AH138" s="3036"/>
      <c r="AI138" s="3036"/>
      <c r="AJ138" s="3036"/>
      <c r="AK138" s="3021"/>
      <c r="AL138" s="3021"/>
      <c r="AM138" s="3024"/>
      <c r="AN138" s="1252"/>
      <c r="AO138" s="1252"/>
      <c r="AP138" s="1252"/>
      <c r="AQ138" s="1252"/>
      <c r="AR138" s="1252"/>
      <c r="AS138" s="1252"/>
      <c r="AT138" s="1252"/>
      <c r="AU138" s="1252"/>
      <c r="AV138" s="1252"/>
      <c r="AW138" s="1252"/>
      <c r="AX138" s="1252"/>
      <c r="AY138" s="1252"/>
      <c r="AZ138" s="1252"/>
      <c r="BA138" s="1252"/>
      <c r="BB138" s="1252"/>
      <c r="BC138" s="1252"/>
      <c r="BD138" s="1252"/>
      <c r="BE138" s="1252"/>
      <c r="BF138" s="1252"/>
      <c r="BG138" s="1252"/>
      <c r="BH138" s="1252"/>
      <c r="BI138" s="1252"/>
      <c r="BJ138" s="1252"/>
      <c r="BK138" s="1252"/>
      <c r="BL138" s="1252"/>
      <c r="BM138" s="1252"/>
      <c r="BN138" s="1252"/>
      <c r="BO138" s="1252"/>
      <c r="BP138" s="1252"/>
      <c r="BQ138" s="1252"/>
      <c r="BR138" s="1252"/>
      <c r="BS138" s="1252"/>
      <c r="BT138" s="1252"/>
      <c r="BU138" s="1252"/>
      <c r="BV138" s="1252"/>
      <c r="BW138" s="1252"/>
      <c r="BX138" s="1252"/>
      <c r="BY138" s="1252"/>
      <c r="BZ138" s="1252"/>
      <c r="CA138" s="1252"/>
      <c r="CB138" s="1206"/>
      <c r="CC138" s="1206"/>
      <c r="CD138" s="1206"/>
      <c r="CE138" s="1206"/>
      <c r="CF138" s="1206"/>
      <c r="CG138" s="1206"/>
      <c r="CH138" s="1206"/>
      <c r="CI138" s="1206"/>
      <c r="CJ138" s="1206"/>
      <c r="CK138" s="1206"/>
      <c r="CL138" s="1206"/>
      <c r="CM138" s="1206"/>
      <c r="CN138" s="1206"/>
      <c r="CO138" s="1206"/>
      <c r="CP138" s="1206"/>
      <c r="CQ138" s="1206"/>
      <c r="CR138" s="1206"/>
      <c r="CS138" s="1206"/>
      <c r="CT138" s="1206"/>
      <c r="CU138" s="1206"/>
      <c r="CV138" s="1206"/>
      <c r="CW138" s="1206"/>
      <c r="CX138" s="1206"/>
      <c r="CY138" s="1206"/>
      <c r="CZ138" s="1206"/>
      <c r="DA138" s="1206"/>
      <c r="DB138" s="1206"/>
      <c r="DC138" s="1206"/>
      <c r="DD138" s="1206"/>
      <c r="DE138" s="1206"/>
      <c r="DF138" s="1206"/>
      <c r="DG138" s="1206"/>
      <c r="DH138" s="1206"/>
      <c r="DI138" s="1206"/>
      <c r="DJ138" s="1206"/>
      <c r="DK138" s="1206"/>
      <c r="DL138" s="1206"/>
      <c r="DM138" s="1206"/>
      <c r="DN138" s="1206"/>
      <c r="DO138" s="1206"/>
      <c r="DP138" s="1206"/>
      <c r="DQ138" s="1206"/>
      <c r="DR138" s="1206"/>
      <c r="DS138" s="1206"/>
      <c r="DT138" s="1206"/>
      <c r="DU138" s="1206"/>
      <c r="DV138" s="1206"/>
      <c r="DW138" s="1206"/>
      <c r="DX138" s="1206"/>
      <c r="DY138" s="1206"/>
      <c r="DZ138" s="1206"/>
      <c r="EA138" s="1206"/>
      <c r="EB138" s="1206"/>
      <c r="EC138" s="1206"/>
      <c r="ED138" s="1206"/>
      <c r="EE138" s="1206"/>
      <c r="EF138" s="1206"/>
      <c r="EG138" s="1206"/>
      <c r="EH138" s="1206"/>
      <c r="EI138" s="1206"/>
      <c r="EJ138" s="1206"/>
      <c r="EK138" s="1206"/>
      <c r="EL138" s="1206"/>
      <c r="EM138" s="1206"/>
      <c r="EN138" s="1206"/>
      <c r="EO138" s="1206"/>
      <c r="EP138" s="1206"/>
      <c r="EQ138" s="1206"/>
      <c r="ER138" s="1206"/>
      <c r="ES138" s="1206"/>
      <c r="ET138" s="1206"/>
      <c r="EU138" s="1206"/>
      <c r="EV138" s="1206"/>
      <c r="EW138" s="1206"/>
      <c r="EX138" s="1206"/>
      <c r="EY138" s="1206"/>
      <c r="EZ138" s="1206"/>
      <c r="FA138" s="1206"/>
      <c r="FB138" s="1206"/>
      <c r="FC138" s="1206"/>
      <c r="FD138" s="1206"/>
      <c r="FE138" s="1206"/>
      <c r="FF138" s="1206"/>
      <c r="FG138" s="1206"/>
      <c r="FH138" s="1206"/>
      <c r="FI138" s="1206"/>
      <c r="FJ138" s="1206"/>
      <c r="FK138" s="1206"/>
      <c r="FL138" s="1206"/>
      <c r="FM138" s="1206"/>
      <c r="FN138" s="1206"/>
      <c r="FO138" s="1206"/>
      <c r="FP138" s="1206"/>
      <c r="FQ138" s="1206"/>
      <c r="FR138" s="1206"/>
      <c r="FS138" s="1206"/>
      <c r="FT138" s="1206"/>
      <c r="FU138" s="1206"/>
      <c r="FV138" s="1206"/>
      <c r="FW138" s="1206"/>
      <c r="FX138" s="1206"/>
      <c r="FY138" s="1206"/>
      <c r="FZ138" s="1206"/>
      <c r="GA138" s="1206"/>
      <c r="GB138" s="1206"/>
      <c r="GC138" s="1206"/>
      <c r="GD138" s="1206"/>
      <c r="GE138" s="1206"/>
      <c r="GF138" s="1206"/>
      <c r="GG138" s="1206"/>
      <c r="GH138" s="1206"/>
      <c r="GI138" s="1206"/>
      <c r="GJ138" s="1206"/>
      <c r="GK138" s="1206"/>
      <c r="GL138" s="1206"/>
      <c r="GM138" s="1206"/>
      <c r="GN138" s="1206"/>
      <c r="GO138" s="1206"/>
      <c r="GP138" s="1206"/>
      <c r="GQ138" s="1206"/>
      <c r="GR138" s="1206"/>
      <c r="GS138" s="1206"/>
      <c r="GT138" s="1206"/>
      <c r="GU138" s="1206"/>
      <c r="GV138" s="1206"/>
      <c r="GW138" s="1206"/>
      <c r="GX138" s="1206"/>
      <c r="GY138" s="1206"/>
      <c r="GZ138" s="1206"/>
      <c r="HA138" s="1206"/>
      <c r="HB138" s="1206"/>
      <c r="HC138" s="1206"/>
      <c r="HD138" s="1206"/>
      <c r="HE138" s="1206"/>
      <c r="HF138" s="1206"/>
      <c r="HG138" s="1206"/>
      <c r="HH138" s="1206"/>
      <c r="HI138" s="1206"/>
      <c r="HJ138" s="1206"/>
      <c r="HK138" s="1206"/>
      <c r="HL138" s="1206"/>
      <c r="HM138" s="1206"/>
      <c r="HN138" s="1206"/>
      <c r="HO138" s="1206"/>
      <c r="HP138" s="1206"/>
      <c r="HQ138" s="1206"/>
      <c r="HR138" s="1206"/>
      <c r="HS138" s="1206"/>
      <c r="HT138" s="1206"/>
      <c r="HU138" s="1206"/>
      <c r="HV138" s="1206"/>
      <c r="HW138" s="1206"/>
      <c r="HX138" s="1206"/>
      <c r="HY138" s="1206"/>
      <c r="HZ138" s="1206"/>
      <c r="IA138" s="1206"/>
      <c r="IB138" s="1206"/>
      <c r="IC138" s="1206"/>
      <c r="ID138" s="1206"/>
      <c r="IE138" s="1206"/>
      <c r="IF138" s="1206"/>
      <c r="IG138" s="1206"/>
      <c r="IH138" s="1206"/>
      <c r="II138" s="1206"/>
      <c r="IJ138" s="1206"/>
      <c r="IK138" s="1206"/>
      <c r="IL138" s="1206"/>
      <c r="IM138" s="1206"/>
      <c r="IN138" s="1206"/>
      <c r="IO138" s="1206"/>
      <c r="IP138" s="1206"/>
      <c r="IQ138" s="1206"/>
      <c r="IR138" s="1206"/>
      <c r="IS138" s="1206"/>
      <c r="IT138" s="1206"/>
      <c r="IU138" s="1206"/>
      <c r="IV138" s="1206"/>
      <c r="IW138" s="1206"/>
      <c r="IX138" s="1206"/>
      <c r="IY138" s="1206"/>
      <c r="IZ138" s="1206"/>
      <c r="JA138" s="1206"/>
      <c r="JB138" s="1206"/>
      <c r="JC138" s="1206"/>
      <c r="JD138" s="1206"/>
      <c r="JE138" s="1206"/>
      <c r="JF138" s="1206"/>
      <c r="JG138" s="1206"/>
      <c r="JH138" s="1206"/>
      <c r="JI138" s="1206"/>
      <c r="JJ138" s="1206"/>
      <c r="JK138" s="1206"/>
      <c r="JL138" s="1206"/>
      <c r="JM138" s="1206"/>
      <c r="JN138" s="1206"/>
      <c r="JO138" s="1206"/>
      <c r="JP138" s="1206"/>
      <c r="JQ138" s="1206"/>
      <c r="JR138" s="1206"/>
      <c r="JS138" s="1206"/>
      <c r="JT138" s="1206"/>
      <c r="JU138" s="1206"/>
      <c r="JV138" s="1206"/>
      <c r="JW138" s="1206"/>
      <c r="JX138" s="1206"/>
      <c r="JY138" s="1206"/>
      <c r="JZ138" s="1206"/>
      <c r="KA138" s="1206"/>
      <c r="KB138" s="1206"/>
      <c r="KC138" s="1206"/>
      <c r="KD138" s="1206"/>
      <c r="KE138" s="1206"/>
      <c r="KF138" s="1206"/>
      <c r="KG138" s="1206"/>
      <c r="KH138" s="1206"/>
      <c r="KI138" s="1206"/>
      <c r="KJ138" s="1206"/>
      <c r="KK138" s="1206"/>
      <c r="KL138" s="1206"/>
      <c r="KM138" s="1206"/>
      <c r="KN138" s="1206"/>
      <c r="KO138" s="1206"/>
      <c r="KP138" s="1206"/>
      <c r="KQ138" s="1206"/>
      <c r="KR138" s="1206"/>
      <c r="KS138" s="1206"/>
      <c r="KT138" s="1206"/>
      <c r="KU138" s="1206"/>
      <c r="KV138" s="1206"/>
      <c r="KW138" s="1206"/>
      <c r="KX138" s="1206"/>
      <c r="KY138" s="1206"/>
      <c r="KZ138" s="1206"/>
      <c r="LA138" s="1206"/>
      <c r="LB138" s="1206"/>
      <c r="LC138" s="1206"/>
      <c r="LD138" s="1206"/>
      <c r="LE138" s="1206"/>
      <c r="LF138" s="1206"/>
      <c r="LG138" s="1206"/>
      <c r="LH138" s="1206"/>
      <c r="LI138" s="1206"/>
      <c r="LJ138" s="1206"/>
      <c r="LK138" s="1206"/>
      <c r="LL138" s="1206"/>
      <c r="LM138" s="1206"/>
      <c r="LN138" s="1206"/>
      <c r="LO138" s="1206"/>
      <c r="LP138" s="1206"/>
      <c r="LQ138" s="1206"/>
      <c r="LR138" s="1206"/>
      <c r="LS138" s="1206"/>
      <c r="LT138" s="1206"/>
      <c r="LU138" s="1206"/>
      <c r="LV138" s="1206"/>
      <c r="LW138" s="1206"/>
      <c r="LX138" s="1206"/>
      <c r="LY138" s="1206"/>
      <c r="LZ138" s="1206"/>
      <c r="MA138" s="1206"/>
      <c r="MB138" s="1206"/>
      <c r="MC138" s="1206"/>
      <c r="MD138" s="1206"/>
      <c r="ME138" s="1206"/>
      <c r="MF138" s="1206"/>
      <c r="MG138" s="1206"/>
    </row>
    <row r="139" spans="1:345" s="1218" customFormat="1" ht="15" x14ac:dyDescent="0.2">
      <c r="A139" s="1227"/>
      <c r="C139" s="1258"/>
      <c r="D139" s="1323">
        <v>13</v>
      </c>
      <c r="E139" s="1324" t="s">
        <v>991</v>
      </c>
      <c r="F139" s="1324"/>
      <c r="G139" s="1325"/>
      <c r="H139" s="1325"/>
      <c r="I139" s="1325"/>
      <c r="J139" s="1325"/>
      <c r="K139" s="1326"/>
      <c r="L139" s="1325"/>
      <c r="M139" s="1325"/>
      <c r="N139" s="1327"/>
      <c r="O139" s="1325"/>
      <c r="P139" s="1326"/>
      <c r="Q139" s="1325"/>
      <c r="R139" s="1325"/>
      <c r="S139" s="1325"/>
      <c r="T139" s="1326"/>
      <c r="U139" s="1326"/>
      <c r="V139" s="1328"/>
      <c r="W139" s="1329"/>
      <c r="X139" s="1327"/>
      <c r="Y139" s="1327"/>
      <c r="Z139" s="1327"/>
      <c r="AA139" s="1327"/>
      <c r="AB139" s="1327"/>
      <c r="AC139" s="1327"/>
      <c r="AD139" s="1327"/>
      <c r="AE139" s="1327"/>
      <c r="AF139" s="1327"/>
      <c r="AG139" s="1327"/>
      <c r="AH139" s="1327"/>
      <c r="AI139" s="1327"/>
      <c r="AJ139" s="1327"/>
      <c r="AK139" s="1325"/>
      <c r="AL139" s="1325"/>
      <c r="AM139" s="1330"/>
      <c r="AN139" s="1217"/>
      <c r="AO139" s="1217"/>
      <c r="AP139" s="1217"/>
      <c r="AQ139" s="1217"/>
      <c r="AR139" s="1217"/>
      <c r="AS139" s="1217"/>
    </row>
    <row r="140" spans="1:345" s="1218" customFormat="1" ht="15" x14ac:dyDescent="0.2">
      <c r="A140" s="1227"/>
      <c r="B140" s="1228"/>
      <c r="C140" s="1229"/>
      <c r="D140" s="3090"/>
      <c r="E140" s="3090"/>
      <c r="F140" s="3091"/>
      <c r="G140" s="1264">
        <v>47</v>
      </c>
      <c r="H140" s="1233" t="s">
        <v>992</v>
      </c>
      <c r="I140" s="1233"/>
      <c r="J140" s="1233"/>
      <c r="K140" s="1234"/>
      <c r="L140" s="1233"/>
      <c r="M140" s="1233"/>
      <c r="N140" s="1235"/>
      <c r="O140" s="1233"/>
      <c r="P140" s="1234"/>
      <c r="Q140" s="1233"/>
      <c r="R140" s="1233"/>
      <c r="S140" s="1233"/>
      <c r="T140" s="1234"/>
      <c r="U140" s="1234"/>
      <c r="V140" s="1236"/>
      <c r="W140" s="1265"/>
      <c r="X140" s="1235"/>
      <c r="Y140" s="1235"/>
      <c r="Z140" s="1235"/>
      <c r="AA140" s="1235"/>
      <c r="AB140" s="1235"/>
      <c r="AC140" s="1235"/>
      <c r="AD140" s="1235"/>
      <c r="AE140" s="1235"/>
      <c r="AF140" s="1235"/>
      <c r="AG140" s="1235"/>
      <c r="AH140" s="1235"/>
      <c r="AI140" s="1235"/>
      <c r="AJ140" s="1235"/>
      <c r="AK140" s="1233"/>
      <c r="AL140" s="1233"/>
      <c r="AM140" s="1266"/>
      <c r="AN140" s="1217"/>
      <c r="AO140" s="1217"/>
      <c r="AP140" s="1217"/>
      <c r="AQ140" s="1217"/>
      <c r="AR140" s="1217"/>
      <c r="AS140" s="1217"/>
    </row>
    <row r="141" spans="1:345" ht="99" customHeight="1" x14ac:dyDescent="0.2">
      <c r="A141" s="1227"/>
      <c r="B141" s="1228"/>
      <c r="C141" s="1229"/>
      <c r="D141" s="3092"/>
      <c r="E141" s="3092"/>
      <c r="F141" s="3093"/>
      <c r="G141" s="1331"/>
      <c r="H141" s="1332"/>
      <c r="I141" s="1333"/>
      <c r="J141" s="1334">
        <v>163</v>
      </c>
      <c r="K141" s="1246" t="s">
        <v>993</v>
      </c>
      <c r="L141" s="1281" t="s">
        <v>287</v>
      </c>
      <c r="M141" s="1335">
        <v>12</v>
      </c>
      <c r="N141" s="1245" t="s">
        <v>994</v>
      </c>
      <c r="O141" s="3026">
        <v>153</v>
      </c>
      <c r="P141" s="3076" t="s">
        <v>995</v>
      </c>
      <c r="Q141" s="1336">
        <f>V141/R141</f>
        <v>1.8274773108713273E-3</v>
      </c>
      <c r="R141" s="3096">
        <v>15894041380</v>
      </c>
      <c r="S141" s="3076" t="s">
        <v>996</v>
      </c>
      <c r="T141" s="1337" t="s">
        <v>997</v>
      </c>
      <c r="U141" s="1338" t="s">
        <v>998</v>
      </c>
      <c r="V141" s="1253">
        <v>29046000</v>
      </c>
      <c r="W141" s="1339">
        <v>72</v>
      </c>
      <c r="X141" s="1340" t="s">
        <v>999</v>
      </c>
      <c r="Y141" s="3079">
        <v>64149</v>
      </c>
      <c r="Z141" s="3079">
        <v>72224</v>
      </c>
      <c r="AA141" s="3079">
        <v>27477</v>
      </c>
      <c r="AB141" s="3079">
        <v>86843</v>
      </c>
      <c r="AC141" s="3079">
        <v>236429</v>
      </c>
      <c r="AD141" s="3079">
        <v>81384</v>
      </c>
      <c r="AE141" s="3079">
        <v>13208</v>
      </c>
      <c r="AF141" s="3079">
        <v>2145</v>
      </c>
      <c r="AG141" s="3079">
        <v>413</v>
      </c>
      <c r="AH141" s="3079">
        <v>520</v>
      </c>
      <c r="AI141" s="3079">
        <v>16897</v>
      </c>
      <c r="AJ141" s="3079">
        <v>75612</v>
      </c>
      <c r="AK141" s="3065">
        <v>42948</v>
      </c>
      <c r="AL141" s="3065">
        <v>43100</v>
      </c>
      <c r="AM141" s="3038" t="s">
        <v>797</v>
      </c>
    </row>
    <row r="142" spans="1:345" s="1269" customFormat="1" ht="35.1" customHeight="1" x14ac:dyDescent="0.2">
      <c r="A142" s="1227"/>
      <c r="B142" s="1228"/>
      <c r="C142" s="1229"/>
      <c r="D142" s="3092"/>
      <c r="E142" s="3092"/>
      <c r="F142" s="3093"/>
      <c r="G142" s="1264">
        <v>48</v>
      </c>
      <c r="H142" s="1233" t="s">
        <v>1000</v>
      </c>
      <c r="I142" s="1233"/>
      <c r="J142" s="1233"/>
      <c r="K142" s="1234"/>
      <c r="L142" s="1233"/>
      <c r="M142" s="1233"/>
      <c r="N142" s="1235"/>
      <c r="O142" s="3027"/>
      <c r="P142" s="3076"/>
      <c r="Q142" s="1233"/>
      <c r="R142" s="3096"/>
      <c r="S142" s="3076"/>
      <c r="T142" s="1234"/>
      <c r="U142" s="1234"/>
      <c r="V142" s="1236"/>
      <c r="W142" s="1236"/>
      <c r="X142" s="1235"/>
      <c r="Y142" s="3080"/>
      <c r="Z142" s="3080"/>
      <c r="AA142" s="3080"/>
      <c r="AB142" s="3080"/>
      <c r="AC142" s="3080"/>
      <c r="AD142" s="3080"/>
      <c r="AE142" s="3080"/>
      <c r="AF142" s="3080"/>
      <c r="AG142" s="3080"/>
      <c r="AH142" s="3080"/>
      <c r="AI142" s="3080"/>
      <c r="AJ142" s="3080"/>
      <c r="AK142" s="3065"/>
      <c r="AL142" s="3065"/>
      <c r="AM142" s="3038"/>
      <c r="AN142" s="1217"/>
      <c r="AO142" s="1217"/>
      <c r="AP142" s="1217"/>
      <c r="AQ142" s="1217"/>
      <c r="AR142" s="1217"/>
      <c r="AS142" s="1217"/>
    </row>
    <row r="143" spans="1:345" ht="32.25" customHeight="1" x14ac:dyDescent="0.2">
      <c r="A143" s="1227"/>
      <c r="B143" s="1228"/>
      <c r="C143" s="1229"/>
      <c r="D143" s="3092"/>
      <c r="E143" s="3092"/>
      <c r="F143" s="3093"/>
      <c r="G143" s="1242"/>
      <c r="H143" s="1243"/>
      <c r="I143" s="1244"/>
      <c r="J143" s="3075">
        <v>164</v>
      </c>
      <c r="K143" s="3076" t="s">
        <v>1001</v>
      </c>
      <c r="L143" s="3075" t="s">
        <v>287</v>
      </c>
      <c r="M143" s="3075">
        <v>12</v>
      </c>
      <c r="N143" s="1247" t="s">
        <v>1002</v>
      </c>
      <c r="O143" s="3027"/>
      <c r="P143" s="3076"/>
      <c r="Q143" s="3077">
        <f>V143/R141</f>
        <v>0.99685673902530136</v>
      </c>
      <c r="R143" s="3096"/>
      <c r="S143" s="3076"/>
      <c r="T143" s="3076" t="s">
        <v>1003</v>
      </c>
      <c r="U143" s="3076" t="s">
        <v>1117</v>
      </c>
      <c r="V143" s="3097">
        <v>15844082260</v>
      </c>
      <c r="W143" s="1341">
        <v>64</v>
      </c>
      <c r="X143" s="1247" t="s">
        <v>1004</v>
      </c>
      <c r="Y143" s="3080"/>
      <c r="Z143" s="3080"/>
      <c r="AA143" s="3080"/>
      <c r="AB143" s="3080"/>
      <c r="AC143" s="3080"/>
      <c r="AD143" s="3080"/>
      <c r="AE143" s="3080"/>
      <c r="AF143" s="3080"/>
      <c r="AG143" s="3080"/>
      <c r="AH143" s="3080"/>
      <c r="AI143" s="3080"/>
      <c r="AJ143" s="3080"/>
      <c r="AK143" s="3065"/>
      <c r="AL143" s="3065"/>
      <c r="AM143" s="3038"/>
    </row>
    <row r="144" spans="1:345" ht="57.75" customHeight="1" x14ac:dyDescent="0.2">
      <c r="A144" s="1227"/>
      <c r="B144" s="1228"/>
      <c r="C144" s="1229"/>
      <c r="D144" s="3092"/>
      <c r="E144" s="3092"/>
      <c r="F144" s="3093"/>
      <c r="G144" s="1257"/>
      <c r="H144" s="1255"/>
      <c r="I144" s="1256"/>
      <c r="J144" s="3075"/>
      <c r="K144" s="3076"/>
      <c r="L144" s="3075"/>
      <c r="M144" s="3075"/>
      <c r="N144" s="1281" t="s">
        <v>1005</v>
      </c>
      <c r="O144" s="3027"/>
      <c r="P144" s="3076"/>
      <c r="Q144" s="3078"/>
      <c r="R144" s="3096"/>
      <c r="S144" s="3076"/>
      <c r="T144" s="3076"/>
      <c r="U144" s="3076"/>
      <c r="V144" s="3097"/>
      <c r="W144" s="1342">
        <v>71</v>
      </c>
      <c r="X144" s="1281" t="s">
        <v>1006</v>
      </c>
      <c r="Y144" s="3080"/>
      <c r="Z144" s="3080"/>
      <c r="AA144" s="3080"/>
      <c r="AB144" s="3080"/>
      <c r="AC144" s="3080"/>
      <c r="AD144" s="3080"/>
      <c r="AE144" s="3080"/>
      <c r="AF144" s="3080"/>
      <c r="AG144" s="3080"/>
      <c r="AH144" s="3080"/>
      <c r="AI144" s="3080"/>
      <c r="AJ144" s="3080"/>
      <c r="AK144" s="3065"/>
      <c r="AL144" s="3065"/>
      <c r="AM144" s="3038"/>
      <c r="AO144" s="1251"/>
    </row>
    <row r="145" spans="1:216" s="1269" customFormat="1" ht="35.1" customHeight="1" x14ac:dyDescent="0.2">
      <c r="A145" s="1227"/>
      <c r="B145" s="1228"/>
      <c r="C145" s="1229"/>
      <c r="D145" s="3092"/>
      <c r="E145" s="3092"/>
      <c r="F145" s="3093"/>
      <c r="G145" s="1264">
        <v>49</v>
      </c>
      <c r="H145" s="1233" t="s">
        <v>1007</v>
      </c>
      <c r="I145" s="1233"/>
      <c r="J145" s="1233"/>
      <c r="K145" s="1234"/>
      <c r="L145" s="1233"/>
      <c r="M145" s="1233"/>
      <c r="N145" s="1235"/>
      <c r="O145" s="3027"/>
      <c r="P145" s="3076"/>
      <c r="Q145" s="1233"/>
      <c r="R145" s="3096"/>
      <c r="S145" s="3076"/>
      <c r="T145" s="1234"/>
      <c r="U145" s="1234"/>
      <c r="V145" s="1236"/>
      <c r="W145" s="1236"/>
      <c r="X145" s="1235"/>
      <c r="Y145" s="3080"/>
      <c r="Z145" s="3080"/>
      <c r="AA145" s="3080"/>
      <c r="AB145" s="3080"/>
      <c r="AC145" s="3080"/>
      <c r="AD145" s="3080"/>
      <c r="AE145" s="3080"/>
      <c r="AF145" s="3080"/>
      <c r="AG145" s="3080"/>
      <c r="AH145" s="3080"/>
      <c r="AI145" s="3080"/>
      <c r="AJ145" s="3080"/>
      <c r="AK145" s="3065"/>
      <c r="AL145" s="3065"/>
      <c r="AM145" s="3038"/>
      <c r="AN145" s="1217"/>
      <c r="AO145" s="1217"/>
      <c r="AP145" s="1217"/>
      <c r="AQ145" s="1217"/>
      <c r="AR145" s="1217"/>
      <c r="AS145" s="1217"/>
    </row>
    <row r="146" spans="1:216" ht="85.5" customHeight="1" x14ac:dyDescent="0.2">
      <c r="A146" s="1227"/>
      <c r="B146" s="1228"/>
      <c r="C146" s="1229"/>
      <c r="D146" s="3094"/>
      <c r="E146" s="3094"/>
      <c r="F146" s="3095"/>
      <c r="G146" s="1331"/>
      <c r="H146" s="1332"/>
      <c r="I146" s="1333"/>
      <c r="J146" s="1334">
        <v>165</v>
      </c>
      <c r="K146" s="1246" t="s">
        <v>1008</v>
      </c>
      <c r="L146" s="1281" t="s">
        <v>287</v>
      </c>
      <c r="M146" s="1335">
        <v>12</v>
      </c>
      <c r="N146" s="1245" t="s">
        <v>1009</v>
      </c>
      <c r="O146" s="3028"/>
      <c r="P146" s="3076"/>
      <c r="Q146" s="1336">
        <f>V146/R141</f>
        <v>1.3157836638273556E-3</v>
      </c>
      <c r="R146" s="3096"/>
      <c r="S146" s="3076"/>
      <c r="T146" s="1337" t="s">
        <v>1010</v>
      </c>
      <c r="U146" s="1337" t="s">
        <v>1011</v>
      </c>
      <c r="V146" s="1253">
        <v>20913120</v>
      </c>
      <c r="W146" s="1339">
        <v>72</v>
      </c>
      <c r="X146" s="1340" t="s">
        <v>999</v>
      </c>
      <c r="Y146" s="3081"/>
      <c r="Z146" s="3081"/>
      <c r="AA146" s="3081"/>
      <c r="AB146" s="3081"/>
      <c r="AC146" s="3081"/>
      <c r="AD146" s="3081"/>
      <c r="AE146" s="3081"/>
      <c r="AF146" s="3081"/>
      <c r="AG146" s="3081"/>
      <c r="AH146" s="3081"/>
      <c r="AI146" s="3081"/>
      <c r="AJ146" s="3081"/>
      <c r="AK146" s="3065"/>
      <c r="AL146" s="3065"/>
      <c r="AM146" s="3038"/>
    </row>
    <row r="147" spans="1:216" s="1218" customFormat="1" ht="36" customHeight="1" x14ac:dyDescent="0.2">
      <c r="A147" s="1227"/>
      <c r="C147" s="1258"/>
      <c r="D147" s="1343">
        <v>14</v>
      </c>
      <c r="E147" s="1220" t="s">
        <v>1012</v>
      </c>
      <c r="F147" s="1220"/>
      <c r="G147" s="1221"/>
      <c r="H147" s="1221"/>
      <c r="I147" s="1221"/>
      <c r="J147" s="1221"/>
      <c r="K147" s="1222"/>
      <c r="L147" s="1221"/>
      <c r="M147" s="1221"/>
      <c r="N147" s="1223"/>
      <c r="O147" s="1221"/>
      <c r="P147" s="1222"/>
      <c r="Q147" s="1221"/>
      <c r="R147" s="1221"/>
      <c r="S147" s="1221"/>
      <c r="T147" s="1222"/>
      <c r="U147" s="1222"/>
      <c r="V147" s="1261"/>
      <c r="W147" s="1262"/>
      <c r="X147" s="1223"/>
      <c r="Y147" s="1223"/>
      <c r="Z147" s="1223"/>
      <c r="AA147" s="1223"/>
      <c r="AB147" s="1223"/>
      <c r="AC147" s="1223"/>
      <c r="AD147" s="1223"/>
      <c r="AE147" s="1223"/>
      <c r="AF147" s="1223"/>
      <c r="AG147" s="1223"/>
      <c r="AH147" s="1223"/>
      <c r="AI147" s="1223"/>
      <c r="AJ147" s="1223"/>
      <c r="AK147" s="1221"/>
      <c r="AL147" s="1221"/>
      <c r="AM147" s="1263"/>
      <c r="AN147" s="1217"/>
      <c r="AO147" s="1217"/>
      <c r="AP147" s="1217"/>
      <c r="AQ147" s="1217"/>
      <c r="AR147" s="1217"/>
      <c r="AS147" s="1217"/>
    </row>
    <row r="148" spans="1:216" s="1218" customFormat="1" ht="36" customHeight="1" x14ac:dyDescent="0.2">
      <c r="A148" s="1227"/>
      <c r="B148" s="1228"/>
      <c r="C148" s="1229"/>
      <c r="D148" s="1230"/>
      <c r="E148" s="1230"/>
      <c r="F148" s="1231"/>
      <c r="G148" s="1344">
        <v>50</v>
      </c>
      <c r="H148" s="1345" t="s">
        <v>1013</v>
      </c>
      <c r="I148" s="1345"/>
      <c r="J148" s="1345"/>
      <c r="K148" s="1346"/>
      <c r="L148" s="1345"/>
      <c r="M148" s="1345"/>
      <c r="N148" s="1347"/>
      <c r="O148" s="1345"/>
      <c r="P148" s="1346"/>
      <c r="Q148" s="1345"/>
      <c r="R148" s="1345"/>
      <c r="S148" s="1345"/>
      <c r="T148" s="1346"/>
      <c r="U148" s="1346"/>
      <c r="V148" s="1348"/>
      <c r="W148" s="1349"/>
      <c r="X148" s="1347"/>
      <c r="Y148" s="1347"/>
      <c r="Z148" s="1347"/>
      <c r="AA148" s="1347"/>
      <c r="AB148" s="1347"/>
      <c r="AC148" s="1347"/>
      <c r="AD148" s="1347"/>
      <c r="AE148" s="1347"/>
      <c r="AF148" s="1347"/>
      <c r="AG148" s="1347"/>
      <c r="AH148" s="1347"/>
      <c r="AI148" s="1347"/>
      <c r="AJ148" s="1347"/>
      <c r="AK148" s="1345"/>
      <c r="AL148" s="1345"/>
      <c r="AM148" s="1350"/>
      <c r="AN148" s="1217"/>
      <c r="AO148" s="1217"/>
      <c r="AP148" s="1217"/>
      <c r="AQ148" s="1217"/>
      <c r="AR148" s="1217"/>
      <c r="AS148" s="1217"/>
    </row>
    <row r="149" spans="1:216" s="1351" customFormat="1" ht="61.5" customHeight="1" x14ac:dyDescent="0.2">
      <c r="A149" s="1227"/>
      <c r="B149" s="1228"/>
      <c r="C149" s="1229"/>
      <c r="D149" s="1228"/>
      <c r="E149" s="1228"/>
      <c r="F149" s="1229"/>
      <c r="G149" s="1230"/>
      <c r="H149" s="1230"/>
      <c r="I149" s="1231"/>
      <c r="J149" s="3026">
        <v>166</v>
      </c>
      <c r="K149" s="3029" t="s">
        <v>1014</v>
      </c>
      <c r="L149" s="3026" t="s">
        <v>287</v>
      </c>
      <c r="M149" s="3082">
        <v>1</v>
      </c>
      <c r="N149" s="1247" t="s">
        <v>1015</v>
      </c>
      <c r="O149" s="3084">
        <v>154</v>
      </c>
      <c r="P149" s="3029" t="s">
        <v>1016</v>
      </c>
      <c r="Q149" s="3032">
        <v>0</v>
      </c>
      <c r="R149" s="3086">
        <f>+V149+V151+V152</f>
        <v>19974190244</v>
      </c>
      <c r="S149" s="3029" t="s">
        <v>1017</v>
      </c>
      <c r="T149" s="3017" t="s">
        <v>1018</v>
      </c>
      <c r="U149" s="3072" t="s">
        <v>1019</v>
      </c>
      <c r="V149" s="3073">
        <v>0</v>
      </c>
      <c r="W149" s="1341">
        <v>110</v>
      </c>
      <c r="X149" s="1247" t="s">
        <v>1020</v>
      </c>
      <c r="Y149" s="3035">
        <v>64149</v>
      </c>
      <c r="Z149" s="3035">
        <v>72224</v>
      </c>
      <c r="AA149" s="3035">
        <v>27477</v>
      </c>
      <c r="AB149" s="3035">
        <v>86843</v>
      </c>
      <c r="AC149" s="3035">
        <v>236429</v>
      </c>
      <c r="AD149" s="3035">
        <v>81384</v>
      </c>
      <c r="AE149" s="3035">
        <v>13208</v>
      </c>
      <c r="AF149" s="3049">
        <v>2145</v>
      </c>
      <c r="AG149" s="3049">
        <v>413</v>
      </c>
      <c r="AH149" s="3049">
        <v>520</v>
      </c>
      <c r="AI149" s="3049">
        <v>16897</v>
      </c>
      <c r="AJ149" s="3049">
        <v>75612</v>
      </c>
      <c r="AK149" s="3020">
        <v>42948</v>
      </c>
      <c r="AL149" s="3020">
        <v>43100</v>
      </c>
      <c r="AM149" s="3023" t="s">
        <v>797</v>
      </c>
      <c r="AN149" s="1206"/>
      <c r="AO149" s="1252"/>
      <c r="AP149" s="1206"/>
      <c r="AQ149" s="1206"/>
      <c r="AR149" s="1206"/>
      <c r="AS149" s="1206"/>
      <c r="AT149" s="1206"/>
      <c r="AU149" s="1206"/>
      <c r="AV149" s="1206"/>
      <c r="AW149" s="1206"/>
      <c r="AX149" s="1206"/>
      <c r="AY149" s="1206"/>
      <c r="AZ149" s="1206"/>
      <c r="BA149" s="1206"/>
      <c r="BB149" s="1206"/>
      <c r="BC149" s="1206"/>
      <c r="BD149" s="1206"/>
      <c r="BE149" s="1206"/>
      <c r="BF149" s="1206"/>
      <c r="BG149" s="1206"/>
      <c r="BH149" s="1206"/>
      <c r="BI149" s="1206"/>
      <c r="BJ149" s="1206"/>
      <c r="BK149" s="1206"/>
      <c r="BL149" s="1206"/>
      <c r="BM149" s="1206"/>
      <c r="BN149" s="1206"/>
      <c r="BO149" s="1206"/>
      <c r="BP149" s="1206"/>
      <c r="BQ149" s="1206"/>
      <c r="BR149" s="1206"/>
      <c r="BS149" s="1206"/>
      <c r="BT149" s="1206"/>
      <c r="BU149" s="1206"/>
      <c r="BV149" s="1206"/>
      <c r="BW149" s="1206"/>
      <c r="BX149" s="1206"/>
      <c r="BY149" s="1206"/>
      <c r="BZ149" s="1206"/>
      <c r="CA149" s="1206"/>
      <c r="CB149" s="1206"/>
      <c r="CC149" s="1206"/>
      <c r="CD149" s="1206"/>
      <c r="CE149" s="1206"/>
      <c r="CF149" s="1206"/>
      <c r="CG149" s="1206"/>
      <c r="CH149" s="1206"/>
      <c r="CI149" s="1206"/>
      <c r="CJ149" s="1206"/>
      <c r="CK149" s="1206"/>
      <c r="CL149" s="1206"/>
      <c r="CM149" s="1206"/>
      <c r="CN149" s="1206"/>
      <c r="CO149" s="1206"/>
      <c r="CP149" s="1206"/>
      <c r="CQ149" s="1206"/>
      <c r="CR149" s="1206"/>
      <c r="CS149" s="1206"/>
      <c r="CT149" s="1206"/>
      <c r="CU149" s="1206"/>
      <c r="CV149" s="1206"/>
      <c r="CW149" s="1206"/>
      <c r="CX149" s="1206"/>
      <c r="CY149" s="1206"/>
      <c r="CZ149" s="1206"/>
      <c r="DA149" s="1206"/>
      <c r="DB149" s="1206"/>
      <c r="DC149" s="1206"/>
      <c r="DD149" s="1206"/>
      <c r="DE149" s="1206"/>
      <c r="DF149" s="1206"/>
      <c r="DG149" s="1206"/>
      <c r="DH149" s="1206"/>
      <c r="DI149" s="1206"/>
      <c r="DJ149" s="1206"/>
      <c r="DK149" s="1206"/>
      <c r="DL149" s="1206"/>
      <c r="DM149" s="1206"/>
      <c r="DN149" s="1206"/>
      <c r="DO149" s="1206"/>
      <c r="DP149" s="1206"/>
      <c r="DQ149" s="1206"/>
      <c r="DR149" s="1206"/>
      <c r="DS149" s="1206"/>
      <c r="DT149" s="1206"/>
      <c r="DU149" s="1206"/>
      <c r="DV149" s="1206"/>
      <c r="DW149" s="1206"/>
      <c r="DX149" s="1206"/>
      <c r="DY149" s="1206"/>
      <c r="DZ149" s="1206"/>
      <c r="EA149" s="1206"/>
      <c r="EB149" s="1206"/>
      <c r="EC149" s="1206"/>
      <c r="ED149" s="1206"/>
      <c r="EE149" s="1206"/>
      <c r="EF149" s="1206"/>
      <c r="EG149" s="1206"/>
      <c r="EH149" s="1206"/>
      <c r="EI149" s="1206"/>
      <c r="EJ149" s="1206"/>
      <c r="EK149" s="1206"/>
      <c r="EL149" s="1206"/>
      <c r="EM149" s="1206"/>
      <c r="EN149" s="1206"/>
      <c r="EO149" s="1206"/>
      <c r="EP149" s="1206"/>
      <c r="EQ149" s="1206"/>
      <c r="ER149" s="1206"/>
      <c r="ES149" s="1206"/>
      <c r="ET149" s="1206"/>
      <c r="EU149" s="1206"/>
      <c r="EV149" s="1206"/>
      <c r="EW149" s="1206"/>
      <c r="EX149" s="1206"/>
      <c r="EY149" s="1206"/>
      <c r="EZ149" s="1206"/>
      <c r="FA149" s="1206"/>
      <c r="FB149" s="1206"/>
      <c r="FC149" s="1206"/>
      <c r="FD149" s="1206"/>
      <c r="FE149" s="1206"/>
      <c r="FF149" s="1206"/>
      <c r="FG149" s="1206"/>
      <c r="FH149" s="1206"/>
      <c r="FI149" s="1206"/>
      <c r="FJ149" s="1206"/>
      <c r="FK149" s="1206"/>
      <c r="FL149" s="1206"/>
      <c r="FM149" s="1206"/>
      <c r="FN149" s="1206"/>
      <c r="FO149" s="1206"/>
      <c r="FP149" s="1206"/>
      <c r="FQ149" s="1206"/>
      <c r="FR149" s="1206"/>
      <c r="FS149" s="1206"/>
      <c r="FT149" s="1206"/>
      <c r="FU149" s="1206"/>
      <c r="FV149" s="1206"/>
      <c r="FW149" s="1206"/>
      <c r="FX149" s="1206"/>
      <c r="FY149" s="1206"/>
      <c r="FZ149" s="1206"/>
      <c r="GA149" s="1206"/>
      <c r="GB149" s="1206"/>
      <c r="GC149" s="1206"/>
      <c r="GD149" s="1206"/>
      <c r="GE149" s="1206"/>
      <c r="GF149" s="1206"/>
      <c r="GG149" s="1206"/>
      <c r="GH149" s="1206"/>
      <c r="GI149" s="1206"/>
      <c r="GJ149" s="1206"/>
      <c r="GK149" s="1206"/>
      <c r="GL149" s="1206"/>
      <c r="GM149" s="1206"/>
      <c r="GN149" s="1206"/>
      <c r="GO149" s="1206"/>
      <c r="GP149" s="1206"/>
      <c r="GQ149" s="1206"/>
      <c r="GR149" s="1206"/>
      <c r="GS149" s="1206"/>
      <c r="GT149" s="1206"/>
      <c r="GU149" s="1206"/>
      <c r="GV149" s="1206"/>
      <c r="GW149" s="1206"/>
      <c r="GX149" s="1206"/>
      <c r="GY149" s="1206"/>
      <c r="GZ149" s="1206"/>
      <c r="HA149" s="1206"/>
      <c r="HB149" s="1206"/>
      <c r="HC149" s="1206"/>
      <c r="HD149" s="1206"/>
      <c r="HE149" s="1206"/>
      <c r="HF149" s="1206"/>
      <c r="HG149" s="1206"/>
      <c r="HH149" s="1206"/>
    </row>
    <row r="150" spans="1:216" s="1353" customFormat="1" ht="46.5" customHeight="1" x14ac:dyDescent="0.2">
      <c r="A150" s="1227"/>
      <c r="B150" s="1228"/>
      <c r="C150" s="1229"/>
      <c r="D150" s="1228"/>
      <c r="E150" s="1228"/>
      <c r="F150" s="1229"/>
      <c r="G150" s="1228"/>
      <c r="H150" s="1228"/>
      <c r="I150" s="1229"/>
      <c r="J150" s="3028"/>
      <c r="K150" s="3031"/>
      <c r="L150" s="3028"/>
      <c r="M150" s="3083"/>
      <c r="N150" s="1312" t="s">
        <v>1021</v>
      </c>
      <c r="O150" s="3085"/>
      <c r="P150" s="3030"/>
      <c r="Q150" s="3034"/>
      <c r="R150" s="3087"/>
      <c r="S150" s="3030"/>
      <c r="T150" s="3017"/>
      <c r="U150" s="3072"/>
      <c r="V150" s="3074"/>
      <c r="W150" s="1352">
        <v>58</v>
      </c>
      <c r="X150" s="1312" t="s">
        <v>1022</v>
      </c>
      <c r="Y150" s="3036"/>
      <c r="Z150" s="3036"/>
      <c r="AA150" s="3036"/>
      <c r="AB150" s="3036"/>
      <c r="AC150" s="3036"/>
      <c r="AD150" s="3036"/>
      <c r="AE150" s="3036"/>
      <c r="AF150" s="3049"/>
      <c r="AG150" s="3049"/>
      <c r="AH150" s="3049"/>
      <c r="AI150" s="3049"/>
      <c r="AJ150" s="3049"/>
      <c r="AK150" s="3021"/>
      <c r="AL150" s="3021"/>
      <c r="AM150" s="3024"/>
      <c r="AN150" s="1206"/>
      <c r="AO150" s="1251"/>
      <c r="AP150" s="1206"/>
      <c r="AQ150" s="1206"/>
      <c r="AR150" s="1206"/>
      <c r="AS150" s="1206"/>
      <c r="AT150" s="1206"/>
      <c r="AU150" s="1206"/>
      <c r="AV150" s="1206"/>
      <c r="AW150" s="1206"/>
      <c r="AX150" s="1206"/>
      <c r="AY150" s="1206"/>
      <c r="AZ150" s="1206"/>
      <c r="BA150" s="1206"/>
      <c r="BB150" s="1206"/>
      <c r="BC150" s="1206"/>
      <c r="BD150" s="1206"/>
      <c r="BE150" s="1206"/>
      <c r="BF150" s="1206"/>
      <c r="BG150" s="1206"/>
      <c r="BH150" s="1206"/>
      <c r="BI150" s="1206"/>
      <c r="BJ150" s="1206"/>
      <c r="BK150" s="1206"/>
      <c r="BL150" s="1206"/>
      <c r="BM150" s="1206"/>
      <c r="BN150" s="1206"/>
      <c r="BO150" s="1206"/>
      <c r="BP150" s="1206"/>
      <c r="BQ150" s="1206"/>
      <c r="BR150" s="1206"/>
      <c r="BS150" s="1206"/>
      <c r="BT150" s="1206"/>
      <c r="BU150" s="1206"/>
      <c r="BV150" s="1206"/>
      <c r="BW150" s="1206"/>
      <c r="BX150" s="1206"/>
      <c r="BY150" s="1206"/>
      <c r="BZ150" s="1206"/>
      <c r="CA150" s="1206"/>
      <c r="CB150" s="1206"/>
      <c r="CC150" s="1206"/>
      <c r="CD150" s="1206"/>
      <c r="CE150" s="1206"/>
      <c r="CF150" s="1206"/>
      <c r="CG150" s="1206"/>
      <c r="CH150" s="1206"/>
      <c r="CI150" s="1206"/>
      <c r="CJ150" s="1206"/>
      <c r="CK150" s="1206"/>
      <c r="CL150" s="1206"/>
      <c r="CM150" s="1206"/>
      <c r="CN150" s="1206"/>
      <c r="CO150" s="1206"/>
      <c r="CP150" s="1206"/>
      <c r="CQ150" s="1206"/>
      <c r="CR150" s="1206"/>
      <c r="CS150" s="1206"/>
      <c r="CT150" s="1206"/>
      <c r="CU150" s="1206"/>
      <c r="CV150" s="1206"/>
      <c r="CW150" s="1206"/>
      <c r="CX150" s="1206"/>
      <c r="CY150" s="1206"/>
      <c r="CZ150" s="1206"/>
      <c r="DA150" s="1206"/>
      <c r="DB150" s="1206"/>
      <c r="DC150" s="1206"/>
      <c r="DD150" s="1206"/>
      <c r="DE150" s="1206"/>
      <c r="DF150" s="1206"/>
      <c r="DG150" s="1206"/>
      <c r="DH150" s="1206"/>
      <c r="DI150" s="1206"/>
      <c r="DJ150" s="1206"/>
      <c r="DK150" s="1206"/>
      <c r="DL150" s="1206"/>
      <c r="DM150" s="1206"/>
      <c r="DN150" s="1206"/>
      <c r="DO150" s="1206"/>
      <c r="DP150" s="1206"/>
      <c r="DQ150" s="1206"/>
      <c r="DR150" s="1206"/>
      <c r="DS150" s="1206"/>
      <c r="DT150" s="1206"/>
      <c r="DU150" s="1206"/>
      <c r="DV150" s="1206"/>
      <c r="DW150" s="1206"/>
      <c r="DX150" s="1206"/>
      <c r="DY150" s="1206"/>
      <c r="DZ150" s="1206"/>
      <c r="EA150" s="1206"/>
      <c r="EB150" s="1206"/>
      <c r="EC150" s="1206"/>
      <c r="ED150" s="1206"/>
      <c r="EE150" s="1206"/>
      <c r="EF150" s="1206"/>
      <c r="EG150" s="1206"/>
      <c r="EH150" s="1206"/>
      <c r="EI150" s="1206"/>
      <c r="EJ150" s="1206"/>
      <c r="EK150" s="1206"/>
      <c r="EL150" s="1206"/>
      <c r="EM150" s="1206"/>
      <c r="EN150" s="1206"/>
      <c r="EO150" s="1206"/>
      <c r="EP150" s="1206"/>
      <c r="EQ150" s="1206"/>
      <c r="ER150" s="1206"/>
      <c r="ES150" s="1206"/>
      <c r="ET150" s="1206"/>
      <c r="EU150" s="1206"/>
      <c r="EV150" s="1206"/>
      <c r="EW150" s="1206"/>
      <c r="EX150" s="1206"/>
      <c r="EY150" s="1206"/>
      <c r="EZ150" s="1206"/>
      <c r="FA150" s="1206"/>
      <c r="FB150" s="1206"/>
      <c r="FC150" s="1206"/>
      <c r="FD150" s="1206"/>
      <c r="FE150" s="1206"/>
      <c r="FF150" s="1206"/>
      <c r="FG150" s="1206"/>
      <c r="FH150" s="1206"/>
      <c r="FI150" s="1206"/>
      <c r="FJ150" s="1206"/>
      <c r="FK150" s="1206"/>
      <c r="FL150" s="1206"/>
      <c r="FM150" s="1206"/>
      <c r="FN150" s="1206"/>
      <c r="FO150" s="1206"/>
      <c r="FP150" s="1206"/>
      <c r="FQ150" s="1206"/>
      <c r="FR150" s="1206"/>
      <c r="FS150" s="1206"/>
      <c r="FT150" s="1206"/>
      <c r="FU150" s="1206"/>
      <c r="FV150" s="1206"/>
      <c r="FW150" s="1206"/>
      <c r="FX150" s="1206"/>
      <c r="FY150" s="1206"/>
      <c r="FZ150" s="1206"/>
      <c r="GA150" s="1206"/>
      <c r="GB150" s="1206"/>
      <c r="GC150" s="1206"/>
      <c r="GD150" s="1206"/>
      <c r="GE150" s="1206"/>
      <c r="GF150" s="1206"/>
      <c r="GG150" s="1206"/>
      <c r="GH150" s="1206"/>
      <c r="GI150" s="1206"/>
      <c r="GJ150" s="1206"/>
      <c r="GK150" s="1206"/>
      <c r="GL150" s="1206"/>
      <c r="GM150" s="1206"/>
      <c r="GN150" s="1206"/>
      <c r="GO150" s="1206"/>
      <c r="GP150" s="1206"/>
      <c r="GQ150" s="1206"/>
      <c r="GR150" s="1206"/>
      <c r="GS150" s="1206"/>
      <c r="GT150" s="1206"/>
      <c r="GU150" s="1206"/>
      <c r="GV150" s="1206"/>
      <c r="GW150" s="1206"/>
      <c r="GX150" s="1206"/>
      <c r="GY150" s="1206"/>
      <c r="GZ150" s="1206"/>
      <c r="HA150" s="1206"/>
      <c r="HB150" s="1206"/>
      <c r="HC150" s="1206"/>
      <c r="HD150" s="1206"/>
      <c r="HE150" s="1206"/>
      <c r="HF150" s="1206"/>
      <c r="HG150" s="1206"/>
      <c r="HH150" s="1206"/>
    </row>
    <row r="151" spans="1:216" s="1353" customFormat="1" ht="62.25" customHeight="1" x14ac:dyDescent="0.2">
      <c r="A151" s="1227"/>
      <c r="B151" s="1228"/>
      <c r="C151" s="1229"/>
      <c r="D151" s="1228"/>
      <c r="E151" s="1228"/>
      <c r="F151" s="1229"/>
      <c r="G151" s="1228"/>
      <c r="H151" s="1228"/>
      <c r="I151" s="1229"/>
      <c r="J151" s="1247">
        <v>167</v>
      </c>
      <c r="K151" s="1303" t="s">
        <v>1023</v>
      </c>
      <c r="L151" s="1247" t="s">
        <v>287</v>
      </c>
      <c r="M151" s="1354">
        <v>15</v>
      </c>
      <c r="N151" s="1312" t="s">
        <v>1024</v>
      </c>
      <c r="O151" s="3085"/>
      <c r="P151" s="3030"/>
      <c r="Q151" s="1248">
        <v>1</v>
      </c>
      <c r="R151" s="3087"/>
      <c r="S151" s="3030"/>
      <c r="T151" s="1319" t="s">
        <v>1025</v>
      </c>
      <c r="U151" s="1355" t="s">
        <v>1026</v>
      </c>
      <c r="V151" s="1356">
        <f>11595195274+8378994970</f>
        <v>19974190244</v>
      </c>
      <c r="W151" s="1352">
        <v>59</v>
      </c>
      <c r="X151" s="1312" t="s">
        <v>1027</v>
      </c>
      <c r="Y151" s="3036"/>
      <c r="Z151" s="3036"/>
      <c r="AA151" s="3036"/>
      <c r="AB151" s="3036"/>
      <c r="AC151" s="3036"/>
      <c r="AD151" s="3036"/>
      <c r="AE151" s="3036"/>
      <c r="AF151" s="3049"/>
      <c r="AG151" s="3049"/>
      <c r="AH151" s="3049"/>
      <c r="AI151" s="3049"/>
      <c r="AJ151" s="3049"/>
      <c r="AK151" s="3021"/>
      <c r="AL151" s="3021"/>
      <c r="AM151" s="3024"/>
      <c r="AN151" s="1206"/>
      <c r="AO151" s="1251"/>
      <c r="AP151" s="1206"/>
      <c r="AQ151" s="1206"/>
      <c r="AR151" s="1206"/>
      <c r="AS151" s="1206"/>
      <c r="AT151" s="1206"/>
      <c r="AU151" s="1206"/>
      <c r="AV151" s="1206"/>
      <c r="AW151" s="1206"/>
      <c r="AX151" s="1206"/>
      <c r="AY151" s="1206"/>
      <c r="AZ151" s="1206"/>
      <c r="BA151" s="1206"/>
      <c r="BB151" s="1206"/>
      <c r="BC151" s="1206"/>
      <c r="BD151" s="1206"/>
      <c r="BE151" s="1206"/>
      <c r="BF151" s="1206"/>
      <c r="BG151" s="1206"/>
      <c r="BH151" s="1206"/>
      <c r="BI151" s="1206"/>
      <c r="BJ151" s="1206"/>
      <c r="BK151" s="1206"/>
      <c r="BL151" s="1206"/>
      <c r="BM151" s="1206"/>
      <c r="BN151" s="1206"/>
      <c r="BO151" s="1206"/>
      <c r="BP151" s="1206"/>
      <c r="BQ151" s="1206"/>
      <c r="BR151" s="1206"/>
      <c r="BS151" s="1206"/>
      <c r="BT151" s="1206"/>
      <c r="BU151" s="1206"/>
      <c r="BV151" s="1206"/>
      <c r="BW151" s="1206"/>
      <c r="BX151" s="1206"/>
      <c r="BY151" s="1206"/>
      <c r="BZ151" s="1206"/>
      <c r="CA151" s="1206"/>
      <c r="CB151" s="1206"/>
      <c r="CC151" s="1206"/>
      <c r="CD151" s="1206"/>
      <c r="CE151" s="1206"/>
      <c r="CF151" s="1206"/>
      <c r="CG151" s="1206"/>
      <c r="CH151" s="1206"/>
      <c r="CI151" s="1206"/>
      <c r="CJ151" s="1206"/>
      <c r="CK151" s="1206"/>
      <c r="CL151" s="1206"/>
      <c r="CM151" s="1206"/>
      <c r="CN151" s="1206"/>
      <c r="CO151" s="1206"/>
      <c r="CP151" s="1206"/>
      <c r="CQ151" s="1206"/>
      <c r="CR151" s="1206"/>
      <c r="CS151" s="1206"/>
      <c r="CT151" s="1206"/>
      <c r="CU151" s="1206"/>
      <c r="CV151" s="1206"/>
      <c r="CW151" s="1206"/>
      <c r="CX151" s="1206"/>
      <c r="CY151" s="1206"/>
      <c r="CZ151" s="1206"/>
      <c r="DA151" s="1206"/>
      <c r="DB151" s="1206"/>
      <c r="DC151" s="1206"/>
      <c r="DD151" s="1206"/>
      <c r="DE151" s="1206"/>
      <c r="DF151" s="1206"/>
      <c r="DG151" s="1206"/>
      <c r="DH151" s="1206"/>
      <c r="DI151" s="1206"/>
      <c r="DJ151" s="1206"/>
      <c r="DK151" s="1206"/>
      <c r="DL151" s="1206"/>
      <c r="DM151" s="1206"/>
      <c r="DN151" s="1206"/>
      <c r="DO151" s="1206"/>
      <c r="DP151" s="1206"/>
      <c r="DQ151" s="1206"/>
      <c r="DR151" s="1206"/>
      <c r="DS151" s="1206"/>
      <c r="DT151" s="1206"/>
      <c r="DU151" s="1206"/>
      <c r="DV151" s="1206"/>
      <c r="DW151" s="1206"/>
      <c r="DX151" s="1206"/>
      <c r="DY151" s="1206"/>
      <c r="DZ151" s="1206"/>
      <c r="EA151" s="1206"/>
      <c r="EB151" s="1206"/>
      <c r="EC151" s="1206"/>
      <c r="ED151" s="1206"/>
      <c r="EE151" s="1206"/>
      <c r="EF151" s="1206"/>
      <c r="EG151" s="1206"/>
      <c r="EH151" s="1206"/>
      <c r="EI151" s="1206"/>
      <c r="EJ151" s="1206"/>
      <c r="EK151" s="1206"/>
      <c r="EL151" s="1206"/>
      <c r="EM151" s="1206"/>
      <c r="EN151" s="1206"/>
      <c r="EO151" s="1206"/>
      <c r="EP151" s="1206"/>
      <c r="EQ151" s="1206"/>
      <c r="ER151" s="1206"/>
      <c r="ES151" s="1206"/>
      <c r="ET151" s="1206"/>
      <c r="EU151" s="1206"/>
      <c r="EV151" s="1206"/>
      <c r="EW151" s="1206"/>
      <c r="EX151" s="1206"/>
      <c r="EY151" s="1206"/>
      <c r="EZ151" s="1206"/>
      <c r="FA151" s="1206"/>
      <c r="FB151" s="1206"/>
      <c r="FC151" s="1206"/>
      <c r="FD151" s="1206"/>
      <c r="FE151" s="1206"/>
      <c r="FF151" s="1206"/>
      <c r="FG151" s="1206"/>
      <c r="FH151" s="1206"/>
      <c r="FI151" s="1206"/>
      <c r="FJ151" s="1206"/>
      <c r="FK151" s="1206"/>
      <c r="FL151" s="1206"/>
      <c r="FM151" s="1206"/>
      <c r="FN151" s="1206"/>
      <c r="FO151" s="1206"/>
      <c r="FP151" s="1206"/>
      <c r="FQ151" s="1206"/>
      <c r="FR151" s="1206"/>
      <c r="FS151" s="1206"/>
      <c r="FT151" s="1206"/>
      <c r="FU151" s="1206"/>
      <c r="FV151" s="1206"/>
      <c r="FW151" s="1206"/>
      <c r="FX151" s="1206"/>
      <c r="FY151" s="1206"/>
      <c r="FZ151" s="1206"/>
      <c r="GA151" s="1206"/>
      <c r="GB151" s="1206"/>
      <c r="GC151" s="1206"/>
      <c r="GD151" s="1206"/>
      <c r="GE151" s="1206"/>
      <c r="GF151" s="1206"/>
      <c r="GG151" s="1206"/>
      <c r="GH151" s="1206"/>
      <c r="GI151" s="1206"/>
      <c r="GJ151" s="1206"/>
      <c r="GK151" s="1206"/>
      <c r="GL151" s="1206"/>
      <c r="GM151" s="1206"/>
      <c r="GN151" s="1206"/>
      <c r="GO151" s="1206"/>
      <c r="GP151" s="1206"/>
      <c r="GQ151" s="1206"/>
      <c r="GR151" s="1206"/>
      <c r="GS151" s="1206"/>
      <c r="GT151" s="1206"/>
      <c r="GU151" s="1206"/>
      <c r="GV151" s="1206"/>
      <c r="GW151" s="1206"/>
      <c r="GX151" s="1206"/>
      <c r="GY151" s="1206"/>
      <c r="GZ151" s="1206"/>
      <c r="HA151" s="1206"/>
      <c r="HB151" s="1206"/>
      <c r="HC151" s="1206"/>
      <c r="HD151" s="1206"/>
      <c r="HE151" s="1206"/>
      <c r="HF151" s="1206"/>
      <c r="HG151" s="1206"/>
      <c r="HH151" s="1206"/>
    </row>
    <row r="152" spans="1:216" ht="48.75" customHeight="1" x14ac:dyDescent="0.2">
      <c r="A152" s="1227"/>
      <c r="B152" s="1228"/>
      <c r="C152" s="1229"/>
      <c r="D152" s="1228"/>
      <c r="E152" s="1228"/>
      <c r="F152" s="1229"/>
      <c r="G152" s="1228"/>
      <c r="H152" s="1228"/>
      <c r="I152" s="1229"/>
      <c r="J152" s="3026">
        <v>168</v>
      </c>
      <c r="K152" s="3029" t="s">
        <v>1028</v>
      </c>
      <c r="L152" s="3026" t="s">
        <v>287</v>
      </c>
      <c r="M152" s="3026">
        <v>14</v>
      </c>
      <c r="N152" s="1312" t="s">
        <v>1029</v>
      </c>
      <c r="O152" s="3085"/>
      <c r="P152" s="3030"/>
      <c r="Q152" s="3032">
        <v>0</v>
      </c>
      <c r="R152" s="3087"/>
      <c r="S152" s="3030"/>
      <c r="T152" s="3042" t="s">
        <v>1030</v>
      </c>
      <c r="U152" s="3072" t="s">
        <v>1031</v>
      </c>
      <c r="V152" s="3073">
        <v>0</v>
      </c>
      <c r="W152" s="1352">
        <v>60</v>
      </c>
      <c r="X152" s="1312" t="s">
        <v>1032</v>
      </c>
      <c r="Y152" s="3036"/>
      <c r="Z152" s="3036"/>
      <c r="AA152" s="3036"/>
      <c r="AB152" s="3036"/>
      <c r="AC152" s="3036"/>
      <c r="AD152" s="3036"/>
      <c r="AE152" s="3036"/>
      <c r="AF152" s="3049"/>
      <c r="AG152" s="3049"/>
      <c r="AH152" s="3049"/>
      <c r="AI152" s="3049"/>
      <c r="AJ152" s="3049"/>
      <c r="AK152" s="3021"/>
      <c r="AL152" s="3021"/>
      <c r="AM152" s="3024"/>
      <c r="AO152" s="1251"/>
    </row>
    <row r="153" spans="1:216" ht="49.5" customHeight="1" x14ac:dyDescent="0.2">
      <c r="A153" s="1227"/>
      <c r="B153" s="1228"/>
      <c r="C153" s="1229"/>
      <c r="D153" s="1228"/>
      <c r="E153" s="1228"/>
      <c r="F153" s="1229"/>
      <c r="G153" s="1357"/>
      <c r="H153" s="1357"/>
      <c r="I153" s="1358"/>
      <c r="J153" s="3028"/>
      <c r="K153" s="3031"/>
      <c r="L153" s="3027"/>
      <c r="M153" s="3027"/>
      <c r="N153" s="1312" t="s">
        <v>1033</v>
      </c>
      <c r="O153" s="3085"/>
      <c r="P153" s="3030"/>
      <c r="Q153" s="3034"/>
      <c r="R153" s="3087"/>
      <c r="S153" s="3030"/>
      <c r="T153" s="3044"/>
      <c r="U153" s="3072"/>
      <c r="V153" s="3074"/>
      <c r="W153" s="1352">
        <v>35</v>
      </c>
      <c r="X153" s="1281" t="s">
        <v>1034</v>
      </c>
      <c r="Y153" s="3037"/>
      <c r="Z153" s="3037"/>
      <c r="AA153" s="3037"/>
      <c r="AB153" s="3037"/>
      <c r="AC153" s="3037"/>
      <c r="AD153" s="3037"/>
      <c r="AE153" s="3037"/>
      <c r="AF153" s="3035"/>
      <c r="AG153" s="3035"/>
      <c r="AH153" s="3035"/>
      <c r="AI153" s="3035"/>
      <c r="AJ153" s="3035"/>
      <c r="AK153" s="3021"/>
      <c r="AL153" s="3021"/>
      <c r="AM153" s="3024"/>
      <c r="AO153" s="1252"/>
    </row>
    <row r="154" spans="1:216" s="1269" customFormat="1" ht="36" customHeight="1" x14ac:dyDescent="0.2">
      <c r="A154" s="1227"/>
      <c r="B154" s="1228"/>
      <c r="C154" s="1229"/>
      <c r="D154" s="1228"/>
      <c r="E154" s="1228"/>
      <c r="F154" s="1229"/>
      <c r="G154" s="1359">
        <v>51</v>
      </c>
      <c r="H154" s="1360" t="s">
        <v>1035</v>
      </c>
      <c r="I154" s="1360"/>
      <c r="J154" s="1361"/>
      <c r="K154" s="1362"/>
      <c r="L154" s="1233"/>
      <c r="M154" s="1233"/>
      <c r="N154" s="1235"/>
      <c r="O154" s="1233"/>
      <c r="P154" s="1234"/>
      <c r="Q154" s="1233"/>
      <c r="R154" s="1233"/>
      <c r="S154" s="1233"/>
      <c r="T154" s="1234"/>
      <c r="U154" s="1234"/>
      <c r="V154" s="1236"/>
      <c r="W154" s="1265"/>
      <c r="X154" s="1235"/>
      <c r="Y154" s="3070"/>
      <c r="Z154" s="3070"/>
      <c r="AA154" s="3070"/>
      <c r="AB154" s="3070"/>
      <c r="AC154" s="3070"/>
      <c r="AD154" s="3070"/>
      <c r="AE154" s="3070"/>
      <c r="AF154" s="3070"/>
      <c r="AG154" s="3070"/>
      <c r="AH154" s="3070"/>
      <c r="AI154" s="3070"/>
      <c r="AJ154" s="3070"/>
      <c r="AK154" s="1233"/>
      <c r="AL154" s="1233"/>
      <c r="AM154" s="1266"/>
      <c r="AN154" s="1217"/>
      <c r="AO154" s="1217"/>
      <c r="AP154" s="1217"/>
      <c r="AQ154" s="1217"/>
      <c r="AR154" s="1217"/>
      <c r="AS154" s="1217"/>
    </row>
    <row r="155" spans="1:216" ht="85.5" customHeight="1" x14ac:dyDescent="0.2">
      <c r="A155" s="1363"/>
      <c r="B155" s="1254"/>
      <c r="C155" s="1364"/>
      <c r="D155" s="1254"/>
      <c r="E155" s="1254"/>
      <c r="F155" s="1364"/>
      <c r="G155" s="1365"/>
      <c r="H155" s="1365"/>
      <c r="I155" s="1366"/>
      <c r="J155" s="3026">
        <v>169</v>
      </c>
      <c r="K155" s="3029" t="s">
        <v>1036</v>
      </c>
      <c r="L155" s="3026" t="s">
        <v>287</v>
      </c>
      <c r="M155" s="3026">
        <v>12</v>
      </c>
      <c r="N155" s="3026" t="s">
        <v>1037</v>
      </c>
      <c r="O155" s="3026">
        <v>155</v>
      </c>
      <c r="P155" s="3029" t="s">
        <v>1038</v>
      </c>
      <c r="Q155" s="3032">
        <v>1</v>
      </c>
      <c r="R155" s="3039">
        <v>44149920</v>
      </c>
      <c r="S155" s="3029" t="s">
        <v>1039</v>
      </c>
      <c r="T155" s="1246" t="s">
        <v>1040</v>
      </c>
      <c r="U155" s="1246" t="s">
        <v>1041</v>
      </c>
      <c r="V155" s="1277">
        <v>14716640</v>
      </c>
      <c r="W155" s="3062">
        <v>72</v>
      </c>
      <c r="X155" s="3026" t="s">
        <v>999</v>
      </c>
      <c r="Y155" s="3035">
        <v>64149</v>
      </c>
      <c r="Z155" s="3035">
        <v>72224</v>
      </c>
      <c r="AA155" s="3035">
        <v>27477</v>
      </c>
      <c r="AB155" s="3035">
        <v>86843</v>
      </c>
      <c r="AC155" s="3035">
        <v>236429</v>
      </c>
      <c r="AD155" s="3035">
        <v>81384</v>
      </c>
      <c r="AE155" s="3035">
        <v>13208</v>
      </c>
      <c r="AF155" s="3035">
        <v>2145</v>
      </c>
      <c r="AG155" s="3035">
        <v>413</v>
      </c>
      <c r="AH155" s="3035">
        <v>520</v>
      </c>
      <c r="AI155" s="3035">
        <v>16897</v>
      </c>
      <c r="AJ155" s="3035">
        <v>75612</v>
      </c>
      <c r="AK155" s="3065">
        <v>42948</v>
      </c>
      <c r="AL155" s="3065">
        <v>43100</v>
      </c>
      <c r="AM155" s="3038" t="s">
        <v>797</v>
      </c>
    </row>
    <row r="156" spans="1:216" ht="85.5" customHeight="1" x14ac:dyDescent="0.2">
      <c r="A156" s="1363"/>
      <c r="B156" s="1254"/>
      <c r="C156" s="1364"/>
      <c r="D156" s="1254"/>
      <c r="E156" s="1254"/>
      <c r="F156" s="1364"/>
      <c r="G156" s="1254"/>
      <c r="H156" s="1254"/>
      <c r="I156" s="1364"/>
      <c r="J156" s="3027"/>
      <c r="K156" s="3030"/>
      <c r="L156" s="3027"/>
      <c r="M156" s="3027"/>
      <c r="N156" s="3027"/>
      <c r="O156" s="3027"/>
      <c r="P156" s="3030"/>
      <c r="Q156" s="3033"/>
      <c r="R156" s="3040"/>
      <c r="S156" s="3030"/>
      <c r="T156" s="1246" t="s">
        <v>1042</v>
      </c>
      <c r="U156" s="1246" t="s">
        <v>1043</v>
      </c>
      <c r="V156" s="1277">
        <v>14716640</v>
      </c>
      <c r="W156" s="3063"/>
      <c r="X156" s="3027"/>
      <c r="Y156" s="3036"/>
      <c r="Z156" s="3036"/>
      <c r="AA156" s="3036"/>
      <c r="AB156" s="3036"/>
      <c r="AC156" s="3036"/>
      <c r="AD156" s="3036"/>
      <c r="AE156" s="3036"/>
      <c r="AF156" s="3036"/>
      <c r="AG156" s="3036"/>
      <c r="AH156" s="3036"/>
      <c r="AI156" s="3036"/>
      <c r="AJ156" s="3036"/>
      <c r="AK156" s="3065"/>
      <c r="AL156" s="3065"/>
      <c r="AM156" s="3038"/>
    </row>
    <row r="157" spans="1:216" ht="75.75" customHeight="1" x14ac:dyDescent="0.2">
      <c r="A157" s="1239"/>
      <c r="B157" s="1240"/>
      <c r="C157" s="1241"/>
      <c r="D157" s="1240"/>
      <c r="E157" s="1240"/>
      <c r="F157" s="1241"/>
      <c r="G157" s="1255"/>
      <c r="H157" s="1255"/>
      <c r="I157" s="1256"/>
      <c r="J157" s="3028"/>
      <c r="K157" s="3031"/>
      <c r="L157" s="3028"/>
      <c r="M157" s="3028"/>
      <c r="N157" s="3028"/>
      <c r="O157" s="3028"/>
      <c r="P157" s="3031"/>
      <c r="Q157" s="3034"/>
      <c r="R157" s="3041"/>
      <c r="S157" s="3031"/>
      <c r="T157" s="1246" t="s">
        <v>1028</v>
      </c>
      <c r="U157" s="1246" t="s">
        <v>1044</v>
      </c>
      <c r="V157" s="1277">
        <v>14716640</v>
      </c>
      <c r="W157" s="3064"/>
      <c r="X157" s="3028"/>
      <c r="Y157" s="3036"/>
      <c r="Z157" s="3036"/>
      <c r="AA157" s="3036"/>
      <c r="AB157" s="3036"/>
      <c r="AC157" s="3036"/>
      <c r="AD157" s="3036"/>
      <c r="AE157" s="3036"/>
      <c r="AF157" s="3036"/>
      <c r="AG157" s="3036"/>
      <c r="AH157" s="3036"/>
      <c r="AI157" s="3036"/>
      <c r="AJ157" s="3036"/>
      <c r="AK157" s="3065"/>
      <c r="AL157" s="3065"/>
      <c r="AM157" s="3038"/>
    </row>
    <row r="158" spans="1:216" s="1269" customFormat="1" ht="36" customHeight="1" x14ac:dyDescent="0.2">
      <c r="A158" s="1227"/>
      <c r="B158" s="1228"/>
      <c r="C158" s="1229"/>
      <c r="D158" s="1228"/>
      <c r="E158" s="1228"/>
      <c r="F158" s="1229"/>
      <c r="G158" s="1264">
        <v>52</v>
      </c>
      <c r="H158" s="1233" t="s">
        <v>1045</v>
      </c>
      <c r="I158" s="1233"/>
      <c r="J158" s="1233"/>
      <c r="K158" s="1234"/>
      <c r="L158" s="1233"/>
      <c r="M158" s="1233"/>
      <c r="N158" s="1235"/>
      <c r="O158" s="1233"/>
      <c r="P158" s="1234"/>
      <c r="Q158" s="1233"/>
      <c r="R158" s="1233"/>
      <c r="S158" s="1233"/>
      <c r="T158" s="1234"/>
      <c r="U158" s="1234"/>
      <c r="V158" s="1236"/>
      <c r="W158" s="1265"/>
      <c r="X158" s="1235"/>
      <c r="Y158" s="3069"/>
      <c r="Z158" s="3070"/>
      <c r="AA158" s="3070"/>
      <c r="AB158" s="3070"/>
      <c r="AC158" s="3070"/>
      <c r="AD158" s="3070"/>
      <c r="AE158" s="3070"/>
      <c r="AF158" s="3070"/>
      <c r="AG158" s="3070"/>
      <c r="AH158" s="3070"/>
      <c r="AI158" s="3070"/>
      <c r="AJ158" s="3071"/>
      <c r="AK158" s="1233"/>
      <c r="AL158" s="1233"/>
      <c r="AM158" s="1266"/>
      <c r="AN158" s="1217"/>
      <c r="AO158" s="1217"/>
      <c r="AP158" s="1217"/>
      <c r="AQ158" s="1217"/>
      <c r="AR158" s="1217"/>
      <c r="AS158" s="1217"/>
    </row>
    <row r="159" spans="1:216" ht="75" customHeight="1" x14ac:dyDescent="0.2">
      <c r="A159" s="1270"/>
      <c r="B159" s="1271"/>
      <c r="C159" s="1272"/>
      <c r="D159" s="1271"/>
      <c r="E159" s="1271"/>
      <c r="F159" s="1272"/>
      <c r="G159" s="1274"/>
      <c r="H159" s="1274"/>
      <c r="I159" s="1275"/>
      <c r="J159" s="3026">
        <v>170</v>
      </c>
      <c r="K159" s="3029" t="s">
        <v>1046</v>
      </c>
      <c r="L159" s="3026" t="s">
        <v>287</v>
      </c>
      <c r="M159" s="3026">
        <v>14</v>
      </c>
      <c r="N159" s="3026" t="s">
        <v>1047</v>
      </c>
      <c r="O159" s="3026">
        <v>156</v>
      </c>
      <c r="P159" s="3029" t="s">
        <v>1048</v>
      </c>
      <c r="Q159" s="3032">
        <f>(V159+V160)/R159</f>
        <v>0.28571428157935846</v>
      </c>
      <c r="R159" s="3039">
        <v>138195556</v>
      </c>
      <c r="S159" s="3029" t="s">
        <v>1049</v>
      </c>
      <c r="T159" s="3029" t="s">
        <v>1050</v>
      </c>
      <c r="U159" s="1367" t="s">
        <v>1051</v>
      </c>
      <c r="V159" s="1368">
        <v>25000000</v>
      </c>
      <c r="W159" s="3066">
        <v>72</v>
      </c>
      <c r="X159" s="3026" t="s">
        <v>999</v>
      </c>
      <c r="Y159" s="3035">
        <v>64149</v>
      </c>
      <c r="Z159" s="3035">
        <v>72224</v>
      </c>
      <c r="AA159" s="3035">
        <v>27477</v>
      </c>
      <c r="AB159" s="3035">
        <v>86843</v>
      </c>
      <c r="AC159" s="3035">
        <v>236429</v>
      </c>
      <c r="AD159" s="3035">
        <v>81384</v>
      </c>
      <c r="AE159" s="3035">
        <v>13208</v>
      </c>
      <c r="AF159" s="3035">
        <v>2145</v>
      </c>
      <c r="AG159" s="3035">
        <v>413</v>
      </c>
      <c r="AH159" s="3035">
        <v>520</v>
      </c>
      <c r="AI159" s="3035">
        <v>16897</v>
      </c>
      <c r="AJ159" s="3035">
        <v>75612</v>
      </c>
      <c r="AK159" s="3020">
        <v>42948</v>
      </c>
      <c r="AL159" s="3020">
        <v>43100</v>
      </c>
      <c r="AM159" s="3023" t="s">
        <v>797</v>
      </c>
    </row>
    <row r="160" spans="1:216" ht="52.5" customHeight="1" x14ac:dyDescent="0.2">
      <c r="A160" s="1270"/>
      <c r="B160" s="1271"/>
      <c r="C160" s="1272"/>
      <c r="D160" s="1271"/>
      <c r="E160" s="1271"/>
      <c r="F160" s="1272"/>
      <c r="G160" s="1271"/>
      <c r="H160" s="1271"/>
      <c r="I160" s="1272"/>
      <c r="J160" s="3028"/>
      <c r="K160" s="3031"/>
      <c r="L160" s="3028"/>
      <c r="M160" s="3028"/>
      <c r="N160" s="3027"/>
      <c r="O160" s="3027"/>
      <c r="P160" s="3030"/>
      <c r="Q160" s="3034"/>
      <c r="R160" s="3040"/>
      <c r="S160" s="3030"/>
      <c r="T160" s="3031"/>
      <c r="U160" s="1367" t="s">
        <v>1052</v>
      </c>
      <c r="V160" s="1369">
        <v>14484444</v>
      </c>
      <c r="W160" s="3067"/>
      <c r="X160" s="3027"/>
      <c r="Y160" s="3036"/>
      <c r="Z160" s="3036"/>
      <c r="AA160" s="3036"/>
      <c r="AB160" s="3036"/>
      <c r="AC160" s="3036"/>
      <c r="AD160" s="3036"/>
      <c r="AE160" s="3036"/>
      <c r="AF160" s="3036"/>
      <c r="AG160" s="3036"/>
      <c r="AH160" s="3036"/>
      <c r="AI160" s="3036"/>
      <c r="AJ160" s="3036"/>
      <c r="AK160" s="3021"/>
      <c r="AL160" s="3021"/>
      <c r="AM160" s="3024"/>
    </row>
    <row r="161" spans="1:45" ht="74.25" customHeight="1" x14ac:dyDescent="0.2">
      <c r="A161" s="1270"/>
      <c r="B161" s="1271"/>
      <c r="C161" s="1272"/>
      <c r="D161" s="1271"/>
      <c r="E161" s="1271"/>
      <c r="F161" s="1272"/>
      <c r="G161" s="1271"/>
      <c r="H161" s="1271"/>
      <c r="I161" s="1272"/>
      <c r="J161" s="1245">
        <v>171</v>
      </c>
      <c r="K161" s="1246" t="s">
        <v>1053</v>
      </c>
      <c r="L161" s="1281" t="s">
        <v>287</v>
      </c>
      <c r="M161" s="1245">
        <v>1</v>
      </c>
      <c r="N161" s="3028"/>
      <c r="O161" s="3028"/>
      <c r="P161" s="3031"/>
      <c r="Q161" s="1248">
        <f>V161/R159</f>
        <v>0.71428571118451889</v>
      </c>
      <c r="R161" s="3041"/>
      <c r="S161" s="3031"/>
      <c r="T161" s="1246" t="s">
        <v>1054</v>
      </c>
      <c r="U161" s="1367" t="s">
        <v>1055</v>
      </c>
      <c r="V161" s="1369">
        <v>98711111</v>
      </c>
      <c r="W161" s="3068"/>
      <c r="X161" s="3028"/>
      <c r="Y161" s="3036"/>
      <c r="Z161" s="3036"/>
      <c r="AA161" s="3036"/>
      <c r="AB161" s="3036"/>
      <c r="AC161" s="3036"/>
      <c r="AD161" s="3036"/>
      <c r="AE161" s="3036"/>
      <c r="AF161" s="3036"/>
      <c r="AG161" s="3036"/>
      <c r="AH161" s="3036"/>
      <c r="AI161" s="3036"/>
      <c r="AJ161" s="3036"/>
      <c r="AK161" s="3022"/>
      <c r="AL161" s="3022"/>
      <c r="AM161" s="3025"/>
    </row>
    <row r="162" spans="1:45" ht="78.599999999999994" customHeight="1" x14ac:dyDescent="0.2">
      <c r="A162" s="1270"/>
      <c r="B162" s="1271"/>
      <c r="C162" s="1272"/>
      <c r="D162" s="1271"/>
      <c r="E162" s="1271"/>
      <c r="F162" s="1272"/>
      <c r="G162" s="1271"/>
      <c r="H162" s="1271"/>
      <c r="I162" s="1272"/>
      <c r="J162" s="3026">
        <v>172</v>
      </c>
      <c r="K162" s="3029" t="s">
        <v>1056</v>
      </c>
      <c r="L162" s="3026" t="s">
        <v>287</v>
      </c>
      <c r="M162" s="3026">
        <v>12</v>
      </c>
      <c r="N162" s="1247"/>
      <c r="O162" s="3026">
        <v>157</v>
      </c>
      <c r="P162" s="3029" t="s">
        <v>1057</v>
      </c>
      <c r="Q162" s="3032">
        <v>1</v>
      </c>
      <c r="R162" s="3039">
        <v>706004444</v>
      </c>
      <c r="S162" s="3029" t="s">
        <v>1058</v>
      </c>
      <c r="T162" s="3029" t="s">
        <v>1059</v>
      </c>
      <c r="U162" s="1370" t="s">
        <v>1060</v>
      </c>
      <c r="V162" s="1369">
        <v>42000000</v>
      </c>
      <c r="W162" s="1316"/>
      <c r="X162" s="1371"/>
      <c r="Y162" s="3035">
        <v>64149</v>
      </c>
      <c r="Z162" s="3035">
        <v>72224</v>
      </c>
      <c r="AA162" s="3035">
        <v>27477</v>
      </c>
      <c r="AB162" s="3035">
        <v>86843</v>
      </c>
      <c r="AC162" s="3035">
        <v>236429</v>
      </c>
      <c r="AD162" s="3035">
        <v>81384</v>
      </c>
      <c r="AE162" s="3035">
        <v>13208</v>
      </c>
      <c r="AF162" s="3035">
        <v>2145</v>
      </c>
      <c r="AG162" s="3035">
        <v>413</v>
      </c>
      <c r="AH162" s="3035">
        <v>520</v>
      </c>
      <c r="AI162" s="3035">
        <v>16897</v>
      </c>
      <c r="AJ162" s="3035">
        <v>75612</v>
      </c>
      <c r="AK162" s="3020">
        <v>42948</v>
      </c>
      <c r="AL162" s="3020">
        <v>43100</v>
      </c>
      <c r="AM162" s="3023" t="s">
        <v>797</v>
      </c>
    </row>
    <row r="163" spans="1:45" ht="78.599999999999994" customHeight="1" x14ac:dyDescent="0.2">
      <c r="A163" s="1270"/>
      <c r="B163" s="1271"/>
      <c r="C163" s="1272"/>
      <c r="D163" s="1271"/>
      <c r="E163" s="1271"/>
      <c r="F163" s="1272"/>
      <c r="G163" s="1271"/>
      <c r="H163" s="1271"/>
      <c r="I163" s="1272"/>
      <c r="J163" s="3027"/>
      <c r="K163" s="3030"/>
      <c r="L163" s="3027"/>
      <c r="M163" s="3027"/>
      <c r="N163" s="1312" t="s">
        <v>1061</v>
      </c>
      <c r="O163" s="3027"/>
      <c r="P163" s="3030"/>
      <c r="Q163" s="3033"/>
      <c r="R163" s="3040"/>
      <c r="S163" s="3030"/>
      <c r="T163" s="3030"/>
      <c r="U163" s="1370" t="s">
        <v>1062</v>
      </c>
      <c r="V163" s="1369">
        <v>199004444</v>
      </c>
      <c r="W163" s="1314">
        <v>72</v>
      </c>
      <c r="X163" s="1372" t="s">
        <v>999</v>
      </c>
      <c r="Y163" s="3036"/>
      <c r="Z163" s="3036"/>
      <c r="AA163" s="3036"/>
      <c r="AB163" s="3036"/>
      <c r="AC163" s="3036"/>
      <c r="AD163" s="3036"/>
      <c r="AE163" s="3036"/>
      <c r="AF163" s="3036"/>
      <c r="AG163" s="3036"/>
      <c r="AH163" s="3036"/>
      <c r="AI163" s="3036"/>
      <c r="AJ163" s="3036"/>
      <c r="AK163" s="3021"/>
      <c r="AL163" s="3021"/>
      <c r="AM163" s="3024"/>
      <c r="AO163" s="1251"/>
    </row>
    <row r="164" spans="1:45" ht="78.599999999999994" customHeight="1" x14ac:dyDescent="0.2">
      <c r="A164" s="1270"/>
      <c r="B164" s="1271"/>
      <c r="C164" s="1272"/>
      <c r="D164" s="1271"/>
      <c r="E164" s="1271"/>
      <c r="F164" s="1272"/>
      <c r="G164" s="1271"/>
      <c r="H164" s="1271"/>
      <c r="I164" s="1272"/>
      <c r="J164" s="3027"/>
      <c r="K164" s="3030"/>
      <c r="L164" s="3027"/>
      <c r="M164" s="3027"/>
      <c r="N164" s="1312"/>
      <c r="O164" s="3027"/>
      <c r="P164" s="3030"/>
      <c r="Q164" s="3033"/>
      <c r="R164" s="3040"/>
      <c r="S164" s="3030"/>
      <c r="T164" s="3030"/>
      <c r="U164" s="1370" t="s">
        <v>1063</v>
      </c>
      <c r="V164" s="1369">
        <v>50000000</v>
      </c>
      <c r="W164" s="1314"/>
      <c r="X164" s="1372"/>
      <c r="Y164" s="3036"/>
      <c r="Z164" s="3036"/>
      <c r="AA164" s="3036"/>
      <c r="AB164" s="3036"/>
      <c r="AC164" s="3036"/>
      <c r="AD164" s="3036"/>
      <c r="AE164" s="3036"/>
      <c r="AF164" s="3036"/>
      <c r="AG164" s="3036"/>
      <c r="AH164" s="3036"/>
      <c r="AI164" s="3036"/>
      <c r="AJ164" s="3036"/>
      <c r="AK164" s="3021"/>
      <c r="AL164" s="3021"/>
      <c r="AM164" s="3024"/>
      <c r="AO164" s="1251"/>
    </row>
    <row r="165" spans="1:45" ht="78.599999999999994" customHeight="1" x14ac:dyDescent="0.2">
      <c r="A165" s="1270"/>
      <c r="B165" s="1271"/>
      <c r="C165" s="1272"/>
      <c r="D165" s="1271"/>
      <c r="E165" s="1271"/>
      <c r="F165" s="1272"/>
      <c r="G165" s="1271"/>
      <c r="H165" s="1271"/>
      <c r="I165" s="1272"/>
      <c r="J165" s="3027"/>
      <c r="K165" s="3030"/>
      <c r="L165" s="3027"/>
      <c r="M165" s="3027"/>
      <c r="N165" s="1312"/>
      <c r="O165" s="3027"/>
      <c r="P165" s="3030"/>
      <c r="Q165" s="3033"/>
      <c r="R165" s="3040"/>
      <c r="S165" s="3030"/>
      <c r="T165" s="3030"/>
      <c r="U165" s="1373" t="s">
        <v>1064</v>
      </c>
      <c r="V165" s="1374">
        <v>20000000</v>
      </c>
      <c r="W165" s="1314"/>
      <c r="X165" s="1372"/>
      <c r="Y165" s="3036"/>
      <c r="Z165" s="3036"/>
      <c r="AA165" s="3036"/>
      <c r="AB165" s="3036"/>
      <c r="AC165" s="3036"/>
      <c r="AD165" s="3036"/>
      <c r="AE165" s="3036"/>
      <c r="AF165" s="3036"/>
      <c r="AG165" s="3036"/>
      <c r="AH165" s="3036"/>
      <c r="AI165" s="3036"/>
      <c r="AJ165" s="3036"/>
      <c r="AK165" s="3021"/>
      <c r="AL165" s="3021"/>
      <c r="AM165" s="3024"/>
      <c r="AO165" s="1251"/>
    </row>
    <row r="166" spans="1:45" ht="78.599999999999994" customHeight="1" x14ac:dyDescent="0.2">
      <c r="A166" s="1270"/>
      <c r="B166" s="1271"/>
      <c r="C166" s="1272"/>
      <c r="D166" s="1271"/>
      <c r="E166" s="1271"/>
      <c r="F166" s="1272"/>
      <c r="G166" s="1271"/>
      <c r="H166" s="1271"/>
      <c r="I166" s="1272"/>
      <c r="J166" s="3027"/>
      <c r="K166" s="3030"/>
      <c r="L166" s="3027"/>
      <c r="M166" s="3027"/>
      <c r="N166" s="1312"/>
      <c r="O166" s="3027"/>
      <c r="P166" s="3030"/>
      <c r="Q166" s="3033"/>
      <c r="R166" s="3040"/>
      <c r="S166" s="3030"/>
      <c r="T166" s="3030"/>
      <c r="U166" s="1373" t="s">
        <v>1065</v>
      </c>
      <c r="V166" s="1374">
        <v>50000000</v>
      </c>
      <c r="W166" s="1314"/>
      <c r="X166" s="1372"/>
      <c r="Y166" s="3036"/>
      <c r="Z166" s="3036"/>
      <c r="AA166" s="3036"/>
      <c r="AB166" s="3036"/>
      <c r="AC166" s="3036"/>
      <c r="AD166" s="3036"/>
      <c r="AE166" s="3036"/>
      <c r="AF166" s="3036"/>
      <c r="AG166" s="3036"/>
      <c r="AH166" s="3036"/>
      <c r="AI166" s="3036"/>
      <c r="AJ166" s="3036"/>
      <c r="AK166" s="3021"/>
      <c r="AL166" s="3021"/>
      <c r="AM166" s="3024"/>
      <c r="AO166" s="1251"/>
    </row>
    <row r="167" spans="1:45" ht="78.599999999999994" customHeight="1" x14ac:dyDescent="0.2">
      <c r="A167" s="1270"/>
      <c r="B167" s="1271"/>
      <c r="C167" s="1272"/>
      <c r="D167" s="1271"/>
      <c r="E167" s="1271"/>
      <c r="F167" s="1272"/>
      <c r="G167" s="1271"/>
      <c r="H167" s="1271"/>
      <c r="I167" s="1272"/>
      <c r="J167" s="3027"/>
      <c r="K167" s="3030"/>
      <c r="L167" s="3027"/>
      <c r="M167" s="3027"/>
      <c r="N167" s="1312" t="s">
        <v>1066</v>
      </c>
      <c r="O167" s="3027"/>
      <c r="P167" s="3030"/>
      <c r="Q167" s="3033"/>
      <c r="R167" s="3040"/>
      <c r="S167" s="3030"/>
      <c r="T167" s="3031"/>
      <c r="U167" s="1373" t="s">
        <v>1067</v>
      </c>
      <c r="V167" s="1374">
        <v>330000000</v>
      </c>
      <c r="W167" s="1314">
        <v>20</v>
      </c>
      <c r="X167" s="1312" t="s">
        <v>185</v>
      </c>
      <c r="Y167" s="3036"/>
      <c r="Z167" s="3036"/>
      <c r="AA167" s="3036"/>
      <c r="AB167" s="3036"/>
      <c r="AC167" s="3036"/>
      <c r="AD167" s="3036"/>
      <c r="AE167" s="3036"/>
      <c r="AF167" s="3036"/>
      <c r="AG167" s="3036"/>
      <c r="AH167" s="3036"/>
      <c r="AI167" s="3036"/>
      <c r="AJ167" s="3036"/>
      <c r="AK167" s="3021"/>
      <c r="AL167" s="3021"/>
      <c r="AM167" s="3024"/>
    </row>
    <row r="168" spans="1:45" ht="108" customHeight="1" x14ac:dyDescent="0.2">
      <c r="A168" s="1270"/>
      <c r="B168" s="1271"/>
      <c r="C168" s="1272"/>
      <c r="D168" s="1271"/>
      <c r="E168" s="1271"/>
      <c r="F168" s="1272"/>
      <c r="G168" s="1279"/>
      <c r="H168" s="1279"/>
      <c r="I168" s="1280"/>
      <c r="J168" s="3028"/>
      <c r="K168" s="3031"/>
      <c r="L168" s="3028"/>
      <c r="M168" s="3028"/>
      <c r="N168" s="1281"/>
      <c r="O168" s="3028"/>
      <c r="P168" s="3031"/>
      <c r="Q168" s="3034"/>
      <c r="R168" s="3041"/>
      <c r="S168" s="3031"/>
      <c r="T168" s="1246" t="s">
        <v>1068</v>
      </c>
      <c r="U168" s="1375" t="s">
        <v>1069</v>
      </c>
      <c r="V168" s="1369">
        <v>15000000</v>
      </c>
      <c r="W168" s="1318"/>
      <c r="X168" s="1376"/>
      <c r="Y168" s="3037"/>
      <c r="Z168" s="3037"/>
      <c r="AA168" s="3037"/>
      <c r="AB168" s="3037"/>
      <c r="AC168" s="3037"/>
      <c r="AD168" s="3037"/>
      <c r="AE168" s="3037"/>
      <c r="AF168" s="3037"/>
      <c r="AG168" s="3037"/>
      <c r="AH168" s="3037"/>
      <c r="AI168" s="3037"/>
      <c r="AJ168" s="3037"/>
      <c r="AK168" s="3022"/>
      <c r="AL168" s="3022"/>
      <c r="AM168" s="3025"/>
    </row>
    <row r="169" spans="1:45" s="1269" customFormat="1" ht="36" customHeight="1" x14ac:dyDescent="0.2">
      <c r="A169" s="1227"/>
      <c r="B169" s="1228"/>
      <c r="C169" s="1229"/>
      <c r="D169" s="1228"/>
      <c r="E169" s="1228"/>
      <c r="F169" s="1229"/>
      <c r="G169" s="1264">
        <v>53</v>
      </c>
      <c r="H169" s="1233" t="s">
        <v>1070</v>
      </c>
      <c r="I169" s="1233"/>
      <c r="J169" s="1233"/>
      <c r="K169" s="1234"/>
      <c r="L169" s="1233"/>
      <c r="M169" s="1233"/>
      <c r="N169" s="1235"/>
      <c r="O169" s="1233"/>
      <c r="P169" s="1234"/>
      <c r="Q169" s="1233"/>
      <c r="R169" s="1233"/>
      <c r="S169" s="1233"/>
      <c r="T169" s="1234"/>
      <c r="U169" s="1234"/>
      <c r="V169" s="1236"/>
      <c r="W169" s="1265"/>
      <c r="X169" s="1235"/>
      <c r="Y169" s="1377"/>
      <c r="Z169" s="1377"/>
      <c r="AA169" s="1377"/>
      <c r="AB169" s="1377"/>
      <c r="AC169" s="1377"/>
      <c r="AD169" s="1377"/>
      <c r="AE169" s="1377"/>
      <c r="AF169" s="1377"/>
      <c r="AG169" s="1377"/>
      <c r="AH169" s="1377"/>
      <c r="AI169" s="1377"/>
      <c r="AJ169" s="1377"/>
      <c r="AK169" s="1233"/>
      <c r="AL169" s="1233"/>
      <c r="AM169" s="1266"/>
      <c r="AN169" s="1217"/>
      <c r="AO169" s="1217"/>
      <c r="AP169" s="1217"/>
      <c r="AQ169" s="1217"/>
      <c r="AR169" s="1217"/>
      <c r="AS169" s="1217"/>
    </row>
    <row r="170" spans="1:45" ht="66" customHeight="1" x14ac:dyDescent="0.2">
      <c r="A170" s="1239"/>
      <c r="B170" s="1240"/>
      <c r="C170" s="1241"/>
      <c r="D170" s="1240"/>
      <c r="E170" s="1240"/>
      <c r="F170" s="1241"/>
      <c r="G170" s="1243"/>
      <c r="H170" s="1243"/>
      <c r="I170" s="1244"/>
      <c r="J170" s="3026">
        <v>173</v>
      </c>
      <c r="K170" s="3042" t="s">
        <v>1071</v>
      </c>
      <c r="L170" s="3026" t="s">
        <v>287</v>
      </c>
      <c r="M170" s="3026">
        <v>7</v>
      </c>
      <c r="N170" s="3026" t="s">
        <v>1072</v>
      </c>
      <c r="O170" s="3026">
        <v>158</v>
      </c>
      <c r="P170" s="3029" t="s">
        <v>1073</v>
      </c>
      <c r="Q170" s="3032">
        <v>1</v>
      </c>
      <c r="R170" s="3039">
        <v>35436120</v>
      </c>
      <c r="S170" s="3029" t="s">
        <v>1074</v>
      </c>
      <c r="T170" s="1246" t="s">
        <v>1075</v>
      </c>
      <c r="U170" s="1378" t="s">
        <v>1076</v>
      </c>
      <c r="V170" s="1317">
        <v>8859030</v>
      </c>
      <c r="W170" s="3062">
        <v>72</v>
      </c>
      <c r="X170" s="3026" t="s">
        <v>999</v>
      </c>
      <c r="Y170" s="3035">
        <f t="shared" ref="Y170:AD170" si="6">Y162</f>
        <v>64149</v>
      </c>
      <c r="Z170" s="3035">
        <f t="shared" si="6"/>
        <v>72224</v>
      </c>
      <c r="AA170" s="3035">
        <f t="shared" si="6"/>
        <v>27477</v>
      </c>
      <c r="AB170" s="3035">
        <f t="shared" si="6"/>
        <v>86843</v>
      </c>
      <c r="AC170" s="3035">
        <f t="shared" si="6"/>
        <v>236429</v>
      </c>
      <c r="AD170" s="3035">
        <f t="shared" si="6"/>
        <v>81384</v>
      </c>
      <c r="AE170" s="3035">
        <v>13208</v>
      </c>
      <c r="AF170" s="3035">
        <v>2145</v>
      </c>
      <c r="AG170" s="3035">
        <v>413</v>
      </c>
      <c r="AH170" s="3035">
        <v>520</v>
      </c>
      <c r="AI170" s="3035">
        <v>16897</v>
      </c>
      <c r="AJ170" s="3035">
        <v>75612</v>
      </c>
      <c r="AK170" s="3020">
        <v>42948</v>
      </c>
      <c r="AL170" s="3020">
        <v>43100</v>
      </c>
      <c r="AM170" s="3023" t="s">
        <v>797</v>
      </c>
    </row>
    <row r="171" spans="1:45" ht="69" customHeight="1" x14ac:dyDescent="0.2">
      <c r="A171" s="1239"/>
      <c r="B171" s="1240"/>
      <c r="C171" s="1241"/>
      <c r="D171" s="1240"/>
      <c r="E171" s="1240"/>
      <c r="F171" s="1241"/>
      <c r="G171" s="1240"/>
      <c r="H171" s="1240"/>
      <c r="I171" s="1241"/>
      <c r="J171" s="3027"/>
      <c r="K171" s="3043"/>
      <c r="L171" s="3027"/>
      <c r="M171" s="3027"/>
      <c r="N171" s="3027"/>
      <c r="O171" s="3027"/>
      <c r="P171" s="3030"/>
      <c r="Q171" s="3033"/>
      <c r="R171" s="3040"/>
      <c r="S171" s="3030"/>
      <c r="T171" s="3042" t="s">
        <v>1077</v>
      </c>
      <c r="U171" s="1378" t="s">
        <v>1078</v>
      </c>
      <c r="V171" s="1317">
        <v>8859030</v>
      </c>
      <c r="W171" s="3063"/>
      <c r="X171" s="3027"/>
      <c r="Y171" s="3036"/>
      <c r="Z171" s="3036"/>
      <c r="AA171" s="3036"/>
      <c r="AB171" s="3036"/>
      <c r="AC171" s="3036"/>
      <c r="AD171" s="3036"/>
      <c r="AE171" s="3036"/>
      <c r="AF171" s="3036"/>
      <c r="AG171" s="3036"/>
      <c r="AH171" s="3036"/>
      <c r="AI171" s="3036"/>
      <c r="AJ171" s="3036"/>
      <c r="AK171" s="3021"/>
      <c r="AL171" s="3021"/>
      <c r="AM171" s="3024"/>
    </row>
    <row r="172" spans="1:45" ht="65.25" customHeight="1" x14ac:dyDescent="0.2">
      <c r="A172" s="1239"/>
      <c r="B172" s="1240"/>
      <c r="C172" s="1241"/>
      <c r="D172" s="1240"/>
      <c r="E172" s="1240"/>
      <c r="F172" s="1241"/>
      <c r="G172" s="1240"/>
      <c r="H172" s="1240"/>
      <c r="I172" s="1241"/>
      <c r="J172" s="3027"/>
      <c r="K172" s="3043"/>
      <c r="L172" s="3027"/>
      <c r="M172" s="3027"/>
      <c r="N172" s="3027"/>
      <c r="O172" s="3027"/>
      <c r="P172" s="3030"/>
      <c r="Q172" s="3033"/>
      <c r="R172" s="3040"/>
      <c r="S172" s="3030"/>
      <c r="T172" s="3044"/>
      <c r="U172" s="1378" t="s">
        <v>1079</v>
      </c>
      <c r="V172" s="1317">
        <v>8859030</v>
      </c>
      <c r="W172" s="3063"/>
      <c r="X172" s="3027"/>
      <c r="Y172" s="3036"/>
      <c r="Z172" s="3036"/>
      <c r="AA172" s="3036"/>
      <c r="AB172" s="3036"/>
      <c r="AC172" s="3036"/>
      <c r="AD172" s="3036"/>
      <c r="AE172" s="3036"/>
      <c r="AF172" s="3036"/>
      <c r="AG172" s="3036"/>
      <c r="AH172" s="3036"/>
      <c r="AI172" s="3036"/>
      <c r="AJ172" s="3036"/>
      <c r="AK172" s="3021"/>
      <c r="AL172" s="3021"/>
      <c r="AM172" s="3024"/>
    </row>
    <row r="173" spans="1:45" ht="74.25" customHeight="1" x14ac:dyDescent="0.2">
      <c r="A173" s="1239"/>
      <c r="B173" s="1240"/>
      <c r="C173" s="1241"/>
      <c r="D173" s="1240"/>
      <c r="E173" s="1240"/>
      <c r="F173" s="1241"/>
      <c r="G173" s="1240"/>
      <c r="H173" s="1240"/>
      <c r="I173" s="1241"/>
      <c r="J173" s="3027"/>
      <c r="K173" s="3043"/>
      <c r="L173" s="3027"/>
      <c r="M173" s="3027"/>
      <c r="N173" s="3027"/>
      <c r="O173" s="3027"/>
      <c r="P173" s="3030"/>
      <c r="Q173" s="3033"/>
      <c r="R173" s="3040"/>
      <c r="S173" s="3030"/>
      <c r="T173" s="1303" t="s">
        <v>1080</v>
      </c>
      <c r="U173" s="1378" t="s">
        <v>1081</v>
      </c>
      <c r="V173" s="1317">
        <v>8859030</v>
      </c>
      <c r="W173" s="3063"/>
      <c r="X173" s="3027"/>
      <c r="Y173" s="3036"/>
      <c r="Z173" s="3036"/>
      <c r="AA173" s="3036"/>
      <c r="AB173" s="3036"/>
      <c r="AC173" s="3036"/>
      <c r="AD173" s="3036"/>
      <c r="AE173" s="3036"/>
      <c r="AF173" s="3036"/>
      <c r="AG173" s="3036"/>
      <c r="AH173" s="3036"/>
      <c r="AI173" s="3036"/>
      <c r="AJ173" s="3036"/>
      <c r="AK173" s="3021"/>
      <c r="AL173" s="3021"/>
      <c r="AM173" s="3024"/>
    </row>
    <row r="174" spans="1:45" ht="93.75" customHeight="1" x14ac:dyDescent="0.2">
      <c r="A174" s="1363"/>
      <c r="B174" s="1254"/>
      <c r="C174" s="1364"/>
      <c r="D174" s="1254"/>
      <c r="E174" s="1254"/>
      <c r="F174" s="1364"/>
      <c r="G174" s="1379"/>
      <c r="H174" s="1379"/>
      <c r="I174" s="1340"/>
      <c r="J174" s="1245">
        <v>174</v>
      </c>
      <c r="K174" s="1246" t="s">
        <v>1082</v>
      </c>
      <c r="L174" s="1245" t="s">
        <v>287</v>
      </c>
      <c r="M174" s="1245">
        <v>150</v>
      </c>
      <c r="N174" s="3028"/>
      <c r="O174" s="3028"/>
      <c r="P174" s="3031"/>
      <c r="Q174" s="1248">
        <v>0</v>
      </c>
      <c r="R174" s="3041"/>
      <c r="S174" s="3031"/>
      <c r="T174" s="1303" t="s">
        <v>1083</v>
      </c>
      <c r="U174" s="1246" t="s">
        <v>1084</v>
      </c>
      <c r="V174" s="1317">
        <v>0</v>
      </c>
      <c r="W174" s="3064"/>
      <c r="X174" s="3028"/>
      <c r="Y174" s="3037"/>
      <c r="Z174" s="3037"/>
      <c r="AA174" s="3037"/>
      <c r="AB174" s="3037"/>
      <c r="AC174" s="3037"/>
      <c r="AD174" s="3037"/>
      <c r="AE174" s="3037"/>
      <c r="AF174" s="3037"/>
      <c r="AG174" s="3037"/>
      <c r="AH174" s="3037"/>
      <c r="AI174" s="3037"/>
      <c r="AJ174" s="3037"/>
      <c r="AK174" s="3022"/>
      <c r="AL174" s="3022"/>
      <c r="AM174" s="3025"/>
    </row>
    <row r="175" spans="1:45" s="1269" customFormat="1" ht="36" customHeight="1" x14ac:dyDescent="0.2">
      <c r="A175" s="1227"/>
      <c r="B175" s="1228"/>
      <c r="C175" s="1229"/>
      <c r="D175" s="1228"/>
      <c r="E175" s="1228"/>
      <c r="F175" s="1229"/>
      <c r="G175" s="1344">
        <v>54</v>
      </c>
      <c r="H175" s="1345" t="s">
        <v>1085</v>
      </c>
      <c r="I175" s="1345"/>
      <c r="J175" s="1233"/>
      <c r="K175" s="1234"/>
      <c r="L175" s="1233"/>
      <c r="M175" s="1233"/>
      <c r="N175" s="1235"/>
      <c r="O175" s="1233"/>
      <c r="P175" s="1234"/>
      <c r="Q175" s="1233"/>
      <c r="R175" s="1233"/>
      <c r="S175" s="1233"/>
      <c r="T175" s="1234"/>
      <c r="U175" s="1234"/>
      <c r="V175" s="1236"/>
      <c r="W175" s="1265"/>
      <c r="X175" s="1235"/>
      <c r="Y175" s="1377"/>
      <c r="Z175" s="1377"/>
      <c r="AA175" s="1377"/>
      <c r="AB175" s="1377"/>
      <c r="AC175" s="1377"/>
      <c r="AD175" s="1377"/>
      <c r="AE175" s="1377"/>
      <c r="AF175" s="1377"/>
      <c r="AG175" s="1377"/>
      <c r="AH175" s="1377"/>
      <c r="AI175" s="1377"/>
      <c r="AJ175" s="1377"/>
      <c r="AK175" s="1233"/>
      <c r="AL175" s="1233"/>
      <c r="AM175" s="1266"/>
      <c r="AN175" s="1217"/>
      <c r="AO175" s="1217"/>
      <c r="AP175" s="1217"/>
      <c r="AQ175" s="1217"/>
      <c r="AR175" s="1217"/>
      <c r="AS175" s="1217"/>
    </row>
    <row r="176" spans="1:45" ht="64.5" customHeight="1" x14ac:dyDescent="0.2">
      <c r="A176" s="1239"/>
      <c r="B176" s="1240"/>
      <c r="C176" s="1241"/>
      <c r="D176" s="1240"/>
      <c r="E176" s="1240"/>
      <c r="F176" s="1240"/>
      <c r="G176" s="1242"/>
      <c r="H176" s="1243"/>
      <c r="I176" s="1244"/>
      <c r="J176" s="3053">
        <v>175</v>
      </c>
      <c r="K176" s="3053" t="s">
        <v>1086</v>
      </c>
      <c r="L176" s="3053" t="s">
        <v>287</v>
      </c>
      <c r="M176" s="3053">
        <v>14</v>
      </c>
      <c r="N176" s="3053" t="s">
        <v>1087</v>
      </c>
      <c r="O176" s="3053">
        <v>159</v>
      </c>
      <c r="P176" s="3050" t="s">
        <v>1088</v>
      </c>
      <c r="Q176" s="3060">
        <v>1</v>
      </c>
      <c r="R176" s="3061">
        <v>23817720</v>
      </c>
      <c r="S176" s="3050" t="s">
        <v>1089</v>
      </c>
      <c r="T176" s="3052" t="s">
        <v>1090</v>
      </c>
      <c r="U176" s="1267" t="s">
        <v>1091</v>
      </c>
      <c r="V176" s="1381">
        <v>20000000</v>
      </c>
      <c r="W176" s="3056">
        <v>72</v>
      </c>
      <c r="X176" s="3057" t="s">
        <v>999</v>
      </c>
      <c r="Y176" s="3049">
        <f t="shared" ref="Y176:AD176" si="7">Y170</f>
        <v>64149</v>
      </c>
      <c r="Z176" s="3049">
        <f t="shared" si="7"/>
        <v>72224</v>
      </c>
      <c r="AA176" s="3049">
        <f t="shared" si="7"/>
        <v>27477</v>
      </c>
      <c r="AB176" s="3049">
        <f t="shared" si="7"/>
        <v>86843</v>
      </c>
      <c r="AC176" s="3049">
        <f t="shared" si="7"/>
        <v>236429</v>
      </c>
      <c r="AD176" s="3049">
        <f t="shared" si="7"/>
        <v>81384</v>
      </c>
      <c r="AE176" s="3049">
        <v>13208</v>
      </c>
      <c r="AF176" s="3049">
        <v>2145</v>
      </c>
      <c r="AG176" s="3049">
        <v>413</v>
      </c>
      <c r="AH176" s="3049">
        <v>520</v>
      </c>
      <c r="AI176" s="3049">
        <v>16897</v>
      </c>
      <c r="AJ176" s="3049">
        <v>75612</v>
      </c>
      <c r="AK176" s="3048">
        <v>42948</v>
      </c>
      <c r="AL176" s="3048">
        <v>43100</v>
      </c>
      <c r="AM176" s="3038" t="s">
        <v>797</v>
      </c>
    </row>
    <row r="177" spans="1:349" ht="59.45" customHeight="1" x14ac:dyDescent="0.2">
      <c r="A177" s="1239"/>
      <c r="B177" s="1240"/>
      <c r="C177" s="1241"/>
      <c r="D177" s="1240"/>
      <c r="E177" s="1240"/>
      <c r="F177" s="1240"/>
      <c r="G177" s="1239"/>
      <c r="H177" s="1240"/>
      <c r="I177" s="1241"/>
      <c r="J177" s="3054"/>
      <c r="K177" s="3054"/>
      <c r="L177" s="3054"/>
      <c r="M177" s="3054"/>
      <c r="N177" s="3054"/>
      <c r="O177" s="3054"/>
      <c r="P177" s="3051"/>
      <c r="Q177" s="3060"/>
      <c r="R177" s="3061"/>
      <c r="S177" s="3051"/>
      <c r="T177" s="3052"/>
      <c r="U177" s="1267" t="s">
        <v>1092</v>
      </c>
      <c r="V177" s="1382">
        <v>3817720</v>
      </c>
      <c r="W177" s="3056"/>
      <c r="X177" s="3058"/>
      <c r="Y177" s="3049"/>
      <c r="Z177" s="3049"/>
      <c r="AA177" s="3049"/>
      <c r="AB177" s="3049"/>
      <c r="AC177" s="3049"/>
      <c r="AD177" s="3049"/>
      <c r="AE177" s="3049"/>
      <c r="AF177" s="3049"/>
      <c r="AG177" s="3049"/>
      <c r="AH177" s="3049"/>
      <c r="AI177" s="3049"/>
      <c r="AJ177" s="3049"/>
      <c r="AK177" s="3049"/>
      <c r="AL177" s="3049"/>
      <c r="AM177" s="3038"/>
      <c r="AO177" s="1268"/>
    </row>
    <row r="178" spans="1:349" ht="64.5" customHeight="1" x14ac:dyDescent="0.2">
      <c r="A178" s="1239"/>
      <c r="B178" s="1240"/>
      <c r="C178" s="1241"/>
      <c r="D178" s="1255"/>
      <c r="E178" s="1255"/>
      <c r="F178" s="1255"/>
      <c r="G178" s="1239"/>
      <c r="H178" s="1240"/>
      <c r="I178" s="1241"/>
      <c r="J178" s="1380">
        <v>176</v>
      </c>
      <c r="K178" s="1383" t="s">
        <v>1093</v>
      </c>
      <c r="L178" s="1380" t="s">
        <v>16</v>
      </c>
      <c r="M178" s="1380">
        <v>2</v>
      </c>
      <c r="N178" s="3055"/>
      <c r="O178" s="3055"/>
      <c r="P178" s="3059"/>
      <c r="Q178" s="3060"/>
      <c r="R178" s="3061"/>
      <c r="S178" s="3051"/>
      <c r="T178" s="1384" t="s">
        <v>1094</v>
      </c>
      <c r="U178" s="1267" t="s">
        <v>1095</v>
      </c>
      <c r="V178" s="1277">
        <v>0</v>
      </c>
      <c r="W178" s="3056"/>
      <c r="X178" s="3058"/>
      <c r="Y178" s="3049"/>
      <c r="Z178" s="3049"/>
      <c r="AA178" s="3049"/>
      <c r="AB178" s="3049"/>
      <c r="AC178" s="3049"/>
      <c r="AD178" s="3049"/>
      <c r="AE178" s="3049"/>
      <c r="AF178" s="3049"/>
      <c r="AG178" s="3049"/>
      <c r="AH178" s="3049"/>
      <c r="AI178" s="3049"/>
      <c r="AJ178" s="3049"/>
      <c r="AK178" s="3049"/>
      <c r="AL178" s="3049"/>
      <c r="AM178" s="3038"/>
    </row>
    <row r="179" spans="1:349" s="1218" customFormat="1" ht="36" customHeight="1" x14ac:dyDescent="0.2">
      <c r="A179" s="1227"/>
      <c r="C179" s="1258"/>
      <c r="D179" s="1343">
        <v>15</v>
      </c>
      <c r="E179" s="1220" t="s">
        <v>1096</v>
      </c>
      <c r="F179" s="1220"/>
      <c r="G179" s="1325"/>
      <c r="H179" s="1325"/>
      <c r="I179" s="1325"/>
      <c r="J179" s="1221"/>
      <c r="K179" s="1222"/>
      <c r="L179" s="1221"/>
      <c r="M179" s="1221"/>
      <c r="N179" s="1223"/>
      <c r="O179" s="1221"/>
      <c r="P179" s="1222"/>
      <c r="Q179" s="1221"/>
      <c r="R179" s="1221"/>
      <c r="S179" s="1221"/>
      <c r="T179" s="1222"/>
      <c r="U179" s="1222"/>
      <c r="V179" s="1224"/>
      <c r="W179" s="1262"/>
      <c r="X179" s="1223"/>
      <c r="Y179" s="1385"/>
      <c r="Z179" s="1385"/>
      <c r="AA179" s="1385"/>
      <c r="AB179" s="1385"/>
      <c r="AC179" s="1385"/>
      <c r="AD179" s="1385"/>
      <c r="AE179" s="1385"/>
      <c r="AF179" s="1385"/>
      <c r="AG179" s="1385"/>
      <c r="AH179" s="1385"/>
      <c r="AI179" s="1385"/>
      <c r="AJ179" s="1385"/>
      <c r="AK179" s="1221"/>
      <c r="AL179" s="1221"/>
      <c r="AM179" s="1263"/>
      <c r="AN179" s="1217"/>
      <c r="AO179" s="1217"/>
      <c r="AP179" s="1217"/>
      <c r="AQ179" s="1217"/>
      <c r="AR179" s="1217"/>
      <c r="AS179" s="1217"/>
    </row>
    <row r="180" spans="1:349" s="1218" customFormat="1" ht="36" customHeight="1" x14ac:dyDescent="0.2">
      <c r="A180" s="1227"/>
      <c r="B180" s="1228"/>
      <c r="C180" s="1229"/>
      <c r="D180" s="1230"/>
      <c r="E180" s="1230"/>
      <c r="F180" s="1231"/>
      <c r="G180" s="1264">
        <v>55</v>
      </c>
      <c r="H180" s="1233" t="s">
        <v>1097</v>
      </c>
      <c r="I180" s="1233"/>
      <c r="J180" s="1233"/>
      <c r="K180" s="1234"/>
      <c r="L180" s="1233"/>
      <c r="M180" s="1233"/>
      <c r="N180" s="1235"/>
      <c r="O180" s="1233"/>
      <c r="P180" s="1234"/>
      <c r="Q180" s="1233"/>
      <c r="R180" s="1233"/>
      <c r="S180" s="1233"/>
      <c r="T180" s="1234"/>
      <c r="U180" s="1234"/>
      <c r="V180" s="1236"/>
      <c r="W180" s="1265"/>
      <c r="X180" s="1386"/>
      <c r="Y180" s="1387"/>
      <c r="Z180" s="1387"/>
      <c r="AA180" s="1387"/>
      <c r="AB180" s="1387"/>
      <c r="AC180" s="1387"/>
      <c r="AD180" s="1387"/>
      <c r="AE180" s="1387"/>
      <c r="AF180" s="1387"/>
      <c r="AG180" s="1387"/>
      <c r="AH180" s="1387"/>
      <c r="AI180" s="1387"/>
      <c r="AJ180" s="1387"/>
      <c r="AK180" s="1233"/>
      <c r="AL180" s="1233"/>
      <c r="AM180" s="1266"/>
      <c r="AN180" s="1217"/>
      <c r="AO180" s="1217"/>
      <c r="AP180" s="1217"/>
      <c r="AQ180" s="1217"/>
      <c r="AR180" s="1217"/>
      <c r="AS180" s="1217"/>
    </row>
    <row r="181" spans="1:349" s="1389" customFormat="1" ht="96" customHeight="1" x14ac:dyDescent="0.2">
      <c r="A181" s="1270"/>
      <c r="B181" s="1271"/>
      <c r="C181" s="1272"/>
      <c r="D181" s="1271"/>
      <c r="E181" s="1271"/>
      <c r="F181" s="1272"/>
      <c r="G181" s="1274"/>
      <c r="H181" s="1274"/>
      <c r="I181" s="1275"/>
      <c r="J181" s="1281">
        <v>177</v>
      </c>
      <c r="K181" s="1287" t="s">
        <v>1098</v>
      </c>
      <c r="L181" s="1281" t="s">
        <v>287</v>
      </c>
      <c r="M181" s="1281">
        <v>2</v>
      </c>
      <c r="N181" s="3026" t="s">
        <v>1099</v>
      </c>
      <c r="O181" s="3026">
        <v>160</v>
      </c>
      <c r="P181" s="3029" t="s">
        <v>1100</v>
      </c>
      <c r="Q181" s="1291">
        <v>0.1</v>
      </c>
      <c r="R181" s="3039">
        <v>137595160</v>
      </c>
      <c r="S181" s="3042" t="s">
        <v>1101</v>
      </c>
      <c r="T181" s="1371" t="s">
        <v>1102</v>
      </c>
      <c r="U181" s="1246" t="s">
        <v>1103</v>
      </c>
      <c r="V181" s="1388">
        <v>0</v>
      </c>
      <c r="W181" s="3045">
        <v>72</v>
      </c>
      <c r="X181" s="3026" t="s">
        <v>999</v>
      </c>
      <c r="Y181" s="3035">
        <v>64149</v>
      </c>
      <c r="Z181" s="3035">
        <v>72224</v>
      </c>
      <c r="AA181" s="3035">
        <v>27477</v>
      </c>
      <c r="AB181" s="3035">
        <v>86843</v>
      </c>
      <c r="AC181" s="3035">
        <v>236429</v>
      </c>
      <c r="AD181" s="3035">
        <v>81384</v>
      </c>
      <c r="AE181" s="3035">
        <v>13208</v>
      </c>
      <c r="AF181" s="3035">
        <v>2145</v>
      </c>
      <c r="AG181" s="3035">
        <v>413</v>
      </c>
      <c r="AH181" s="3035">
        <v>520</v>
      </c>
      <c r="AI181" s="3035">
        <v>16897</v>
      </c>
      <c r="AJ181" s="3035">
        <v>75612</v>
      </c>
      <c r="AK181" s="3020">
        <v>42948</v>
      </c>
      <c r="AL181" s="3020">
        <v>43100</v>
      </c>
      <c r="AM181" s="3023" t="s">
        <v>797</v>
      </c>
      <c r="AN181" s="1322"/>
      <c r="AO181" s="1322"/>
      <c r="AP181" s="1322"/>
      <c r="AQ181" s="1322"/>
      <c r="AR181" s="1322"/>
      <c r="AS181" s="1322"/>
    </row>
    <row r="182" spans="1:349" ht="83.45" customHeight="1" x14ac:dyDescent="0.2">
      <c r="A182" s="1270"/>
      <c r="B182" s="1271"/>
      <c r="C182" s="1272"/>
      <c r="D182" s="1271"/>
      <c r="E182" s="1271"/>
      <c r="F182" s="1272"/>
      <c r="G182" s="1271"/>
      <c r="H182" s="1271"/>
      <c r="I182" s="1272"/>
      <c r="J182" s="3026">
        <v>178</v>
      </c>
      <c r="K182" s="3029" t="s">
        <v>1104</v>
      </c>
      <c r="L182" s="3026" t="s">
        <v>287</v>
      </c>
      <c r="M182" s="3026">
        <v>3</v>
      </c>
      <c r="N182" s="3027"/>
      <c r="O182" s="3027"/>
      <c r="P182" s="3030"/>
      <c r="Q182" s="3032">
        <v>0.8</v>
      </c>
      <c r="R182" s="3040"/>
      <c r="S182" s="3043"/>
      <c r="T182" s="3017" t="s">
        <v>1105</v>
      </c>
      <c r="U182" s="1276" t="s">
        <v>1106</v>
      </c>
      <c r="V182" s="1390">
        <v>48050000</v>
      </c>
      <c r="W182" s="3046"/>
      <c r="X182" s="3027"/>
      <c r="Y182" s="3036"/>
      <c r="Z182" s="3036"/>
      <c r="AA182" s="3036"/>
      <c r="AB182" s="3036"/>
      <c r="AC182" s="3036"/>
      <c r="AD182" s="3036"/>
      <c r="AE182" s="3036"/>
      <c r="AF182" s="3036"/>
      <c r="AG182" s="3036"/>
      <c r="AH182" s="3036"/>
      <c r="AI182" s="3036"/>
      <c r="AJ182" s="3036"/>
      <c r="AK182" s="3021"/>
      <c r="AL182" s="3021"/>
      <c r="AM182" s="3024"/>
    </row>
    <row r="183" spans="1:349" ht="54" customHeight="1" x14ac:dyDescent="0.2">
      <c r="A183" s="1270"/>
      <c r="B183" s="1271"/>
      <c r="C183" s="1272"/>
      <c r="D183" s="1271"/>
      <c r="E183" s="1271"/>
      <c r="F183" s="1272"/>
      <c r="G183" s="1271"/>
      <c r="H183" s="1271"/>
      <c r="I183" s="1272"/>
      <c r="J183" s="3027"/>
      <c r="K183" s="3030"/>
      <c r="L183" s="3027"/>
      <c r="M183" s="3027"/>
      <c r="N183" s="3027"/>
      <c r="O183" s="3027"/>
      <c r="P183" s="3030"/>
      <c r="Q183" s="3033"/>
      <c r="R183" s="3040"/>
      <c r="S183" s="3043"/>
      <c r="T183" s="3017"/>
      <c r="U183" s="1276" t="s">
        <v>1107</v>
      </c>
      <c r="V183" s="1390">
        <v>40000000</v>
      </c>
      <c r="W183" s="3046"/>
      <c r="X183" s="3027"/>
      <c r="Y183" s="3036"/>
      <c r="Z183" s="3036"/>
      <c r="AA183" s="3036"/>
      <c r="AB183" s="3036"/>
      <c r="AC183" s="3036"/>
      <c r="AD183" s="3036"/>
      <c r="AE183" s="3036"/>
      <c r="AF183" s="3036"/>
      <c r="AG183" s="3036"/>
      <c r="AH183" s="3036"/>
      <c r="AI183" s="3036"/>
      <c r="AJ183" s="3036"/>
      <c r="AK183" s="3021"/>
      <c r="AL183" s="3021"/>
      <c r="AM183" s="3024"/>
    </row>
    <row r="184" spans="1:349" ht="57" customHeight="1" x14ac:dyDescent="0.2">
      <c r="A184" s="1270"/>
      <c r="B184" s="1271"/>
      <c r="C184" s="1272"/>
      <c r="D184" s="1271"/>
      <c r="E184" s="1271"/>
      <c r="F184" s="1272"/>
      <c r="G184" s="1271"/>
      <c r="H184" s="1271"/>
      <c r="I184" s="1272"/>
      <c r="J184" s="3027"/>
      <c r="K184" s="3030"/>
      <c r="L184" s="3027"/>
      <c r="M184" s="3027"/>
      <c r="N184" s="3027"/>
      <c r="O184" s="3027"/>
      <c r="P184" s="3030"/>
      <c r="Q184" s="3033"/>
      <c r="R184" s="3040"/>
      <c r="S184" s="3043"/>
      <c r="T184" s="3017"/>
      <c r="U184" s="1276" t="s">
        <v>1108</v>
      </c>
      <c r="V184" s="1390">
        <v>20000000</v>
      </c>
      <c r="W184" s="3046"/>
      <c r="X184" s="3027"/>
      <c r="Y184" s="3036"/>
      <c r="Z184" s="3036"/>
      <c r="AA184" s="3036"/>
      <c r="AB184" s="3036"/>
      <c r="AC184" s="3036"/>
      <c r="AD184" s="3036"/>
      <c r="AE184" s="3036"/>
      <c r="AF184" s="3036"/>
      <c r="AG184" s="3036"/>
      <c r="AH184" s="3036"/>
      <c r="AI184" s="3036"/>
      <c r="AJ184" s="3036"/>
      <c r="AK184" s="3021"/>
      <c r="AL184" s="3021"/>
      <c r="AM184" s="3024"/>
      <c r="AP184" s="1205"/>
    </row>
    <row r="185" spans="1:349" ht="57" customHeight="1" x14ac:dyDescent="0.2">
      <c r="A185" s="1270"/>
      <c r="B185" s="1271"/>
      <c r="C185" s="1272"/>
      <c r="D185" s="1271"/>
      <c r="E185" s="1271"/>
      <c r="F185" s="1272"/>
      <c r="G185" s="1271"/>
      <c r="H185" s="1271"/>
      <c r="I185" s="1272"/>
      <c r="J185" s="3027"/>
      <c r="K185" s="3030"/>
      <c r="L185" s="3027"/>
      <c r="M185" s="3027"/>
      <c r="N185" s="3027"/>
      <c r="O185" s="3027"/>
      <c r="P185" s="3030"/>
      <c r="Q185" s="3033"/>
      <c r="R185" s="3040"/>
      <c r="S185" s="3043"/>
      <c r="T185" s="3017" t="s">
        <v>1109</v>
      </c>
      <c r="U185" s="1391" t="s">
        <v>1110</v>
      </c>
      <c r="V185" s="1390">
        <v>15000000</v>
      </c>
      <c r="W185" s="3046"/>
      <c r="X185" s="3027"/>
      <c r="Y185" s="3036"/>
      <c r="Z185" s="3036"/>
      <c r="AA185" s="3036"/>
      <c r="AB185" s="3036"/>
      <c r="AC185" s="3036"/>
      <c r="AD185" s="3036"/>
      <c r="AE185" s="3036"/>
      <c r="AF185" s="3036"/>
      <c r="AG185" s="3036"/>
      <c r="AH185" s="3036"/>
      <c r="AI185" s="3036"/>
      <c r="AJ185" s="3036"/>
      <c r="AK185" s="3021"/>
      <c r="AL185" s="3021"/>
      <c r="AM185" s="3024"/>
    </row>
    <row r="186" spans="1:349" ht="57" customHeight="1" x14ac:dyDescent="0.2">
      <c r="A186" s="1270"/>
      <c r="B186" s="1271"/>
      <c r="C186" s="1272"/>
      <c r="D186" s="1271"/>
      <c r="E186" s="1271"/>
      <c r="F186" s="1272"/>
      <c r="G186" s="1271"/>
      <c r="H186" s="1271"/>
      <c r="I186" s="1272"/>
      <c r="J186" s="3028"/>
      <c r="K186" s="3031"/>
      <c r="L186" s="3028"/>
      <c r="M186" s="3028"/>
      <c r="N186" s="3027"/>
      <c r="O186" s="3027"/>
      <c r="P186" s="3030"/>
      <c r="Q186" s="3034"/>
      <c r="R186" s="3040"/>
      <c r="S186" s="3043"/>
      <c r="T186" s="3017"/>
      <c r="U186" s="1391" t="s">
        <v>1111</v>
      </c>
      <c r="V186" s="1390">
        <v>14545160</v>
      </c>
      <c r="W186" s="3046"/>
      <c r="X186" s="3027"/>
      <c r="Y186" s="3036"/>
      <c r="Z186" s="3036"/>
      <c r="AA186" s="3036"/>
      <c r="AB186" s="3036"/>
      <c r="AC186" s="3036"/>
      <c r="AD186" s="3036"/>
      <c r="AE186" s="3036"/>
      <c r="AF186" s="3036"/>
      <c r="AG186" s="3036"/>
      <c r="AH186" s="3036"/>
      <c r="AI186" s="3036"/>
      <c r="AJ186" s="3036"/>
      <c r="AK186" s="3021"/>
      <c r="AL186" s="3021"/>
      <c r="AM186" s="3024"/>
    </row>
    <row r="187" spans="1:349" s="1392" customFormat="1" ht="107.45" customHeight="1" x14ac:dyDescent="0.2">
      <c r="A187" s="1278"/>
      <c r="B187" s="1279"/>
      <c r="C187" s="1280"/>
      <c r="D187" s="1279"/>
      <c r="E187" s="1279"/>
      <c r="F187" s="1280"/>
      <c r="G187" s="1279"/>
      <c r="H187" s="1279"/>
      <c r="I187" s="1280"/>
      <c r="J187" s="1245">
        <v>179</v>
      </c>
      <c r="K187" s="1319" t="s">
        <v>1112</v>
      </c>
      <c r="L187" s="1245" t="s">
        <v>287</v>
      </c>
      <c r="M187" s="1245">
        <v>4</v>
      </c>
      <c r="N187" s="3028"/>
      <c r="O187" s="3028"/>
      <c r="P187" s="3031"/>
      <c r="Q187" s="1248">
        <v>0.1</v>
      </c>
      <c r="R187" s="3041"/>
      <c r="S187" s="3044"/>
      <c r="T187" s="1319" t="s">
        <v>1113</v>
      </c>
      <c r="U187" s="1391" t="s">
        <v>1114</v>
      </c>
      <c r="V187" s="1390">
        <v>0</v>
      </c>
      <c r="W187" s="3047"/>
      <c r="X187" s="3028"/>
      <c r="Y187" s="3037"/>
      <c r="Z187" s="3037"/>
      <c r="AA187" s="3037"/>
      <c r="AB187" s="3037"/>
      <c r="AC187" s="3037"/>
      <c r="AD187" s="3037"/>
      <c r="AE187" s="3037"/>
      <c r="AF187" s="3037"/>
      <c r="AG187" s="3037"/>
      <c r="AH187" s="3037"/>
      <c r="AI187" s="3037"/>
      <c r="AJ187" s="3037"/>
      <c r="AK187" s="3022"/>
      <c r="AL187" s="3022"/>
      <c r="AM187" s="3025"/>
      <c r="AN187" s="1205"/>
      <c r="AO187" s="1206"/>
      <c r="AP187" s="1205"/>
      <c r="AQ187" s="1206"/>
      <c r="AR187" s="1205"/>
      <c r="AS187" s="1206"/>
      <c r="AT187" s="1205"/>
      <c r="AU187" s="1206"/>
      <c r="AV187" s="1205"/>
      <c r="AW187" s="1206"/>
      <c r="AX187" s="1205"/>
      <c r="AY187" s="1206"/>
      <c r="AZ187" s="1205"/>
      <c r="BA187" s="1206"/>
      <c r="BB187" s="1205"/>
      <c r="BC187" s="1206"/>
      <c r="BD187" s="1205"/>
      <c r="BE187" s="1206"/>
      <c r="BF187" s="1205"/>
      <c r="BG187" s="1206"/>
      <c r="BH187" s="1205"/>
      <c r="BI187" s="1206"/>
      <c r="BJ187" s="1205"/>
      <c r="BK187" s="1206"/>
      <c r="BL187" s="1205"/>
      <c r="BM187" s="1206"/>
      <c r="BN187" s="1205"/>
      <c r="BO187" s="1206"/>
      <c r="BP187" s="1205"/>
      <c r="BQ187" s="1206"/>
      <c r="BR187" s="1205"/>
      <c r="BS187" s="1206"/>
      <c r="BT187" s="1205"/>
      <c r="BU187" s="1206"/>
      <c r="BV187" s="1205"/>
      <c r="BW187" s="1206"/>
      <c r="BX187" s="1205"/>
      <c r="BY187" s="1206"/>
      <c r="BZ187" s="1206"/>
      <c r="CA187" s="1206"/>
      <c r="CB187" s="1206"/>
      <c r="CC187" s="1206"/>
      <c r="CD187" s="1206"/>
      <c r="CE187" s="1206"/>
      <c r="CF187" s="1206"/>
      <c r="CG187" s="1206"/>
      <c r="CH187" s="1206"/>
      <c r="CI187" s="1206"/>
      <c r="CJ187" s="1206"/>
      <c r="CK187" s="1206"/>
      <c r="CL187" s="1206"/>
      <c r="CM187" s="1206"/>
      <c r="CN187" s="1206"/>
      <c r="CO187" s="1206"/>
      <c r="CP187" s="1206"/>
      <c r="CQ187" s="1206"/>
      <c r="CR187" s="1206"/>
      <c r="CS187" s="1206"/>
      <c r="CT187" s="1206"/>
      <c r="CU187" s="1206"/>
      <c r="CV187" s="1206"/>
      <c r="CW187" s="1206"/>
      <c r="CX187" s="1206"/>
      <c r="CY187" s="1206"/>
      <c r="CZ187" s="1206"/>
      <c r="DA187" s="1206"/>
      <c r="DB187" s="1206"/>
      <c r="DC187" s="1206"/>
      <c r="DD187" s="1206"/>
      <c r="DE187" s="1206"/>
      <c r="DF187" s="1206"/>
      <c r="DG187" s="1206"/>
      <c r="DH187" s="1206"/>
      <c r="DI187" s="1206"/>
      <c r="DJ187" s="1206"/>
      <c r="DK187" s="1206"/>
      <c r="DL187" s="1206"/>
      <c r="DM187" s="1206"/>
      <c r="DN187" s="1206"/>
      <c r="DO187" s="1206"/>
      <c r="DP187" s="1206"/>
      <c r="DQ187" s="1206"/>
      <c r="DR187" s="1206"/>
      <c r="DS187" s="1206"/>
      <c r="DT187" s="1206"/>
      <c r="DU187" s="1206"/>
      <c r="DV187" s="1206"/>
      <c r="DW187" s="1206"/>
      <c r="DX187" s="1206"/>
      <c r="DY187" s="1206"/>
      <c r="DZ187" s="1206"/>
      <c r="EA187" s="1206"/>
      <c r="EB187" s="1206"/>
      <c r="EC187" s="1206"/>
      <c r="ED187" s="1206"/>
      <c r="EE187" s="1206"/>
      <c r="EF187" s="1206"/>
      <c r="EG187" s="1206"/>
      <c r="EH187" s="1206"/>
      <c r="EI187" s="1206"/>
      <c r="EJ187" s="1206"/>
      <c r="EK187" s="1206"/>
      <c r="EL187" s="1206"/>
      <c r="EM187" s="1206"/>
      <c r="EN187" s="1206"/>
      <c r="EO187" s="1206"/>
      <c r="EP187" s="1206"/>
      <c r="EQ187" s="1206"/>
      <c r="ER187" s="1206"/>
      <c r="ES187" s="1206"/>
      <c r="ET187" s="1206"/>
      <c r="EU187" s="1206"/>
      <c r="EV187" s="1206"/>
      <c r="EW187" s="1206"/>
      <c r="EX187" s="1206"/>
      <c r="EY187" s="1206"/>
      <c r="EZ187" s="1206"/>
      <c r="FA187" s="1206"/>
      <c r="FB187" s="1206"/>
      <c r="FC187" s="1206"/>
      <c r="FD187" s="1206"/>
      <c r="FE187" s="1206"/>
      <c r="FF187" s="1206"/>
      <c r="FG187" s="1206"/>
      <c r="FH187" s="1206"/>
      <c r="FI187" s="1206"/>
      <c r="FJ187" s="1206"/>
      <c r="FK187" s="1206"/>
      <c r="FL187" s="1206"/>
      <c r="FM187" s="1206"/>
      <c r="FN187" s="1206"/>
      <c r="FO187" s="1206"/>
      <c r="FP187" s="1206"/>
      <c r="FQ187" s="1206"/>
      <c r="FR187" s="1206"/>
      <c r="FS187" s="1206"/>
      <c r="FT187" s="1206"/>
      <c r="FU187" s="1206"/>
      <c r="FV187" s="1206"/>
      <c r="FW187" s="1206"/>
      <c r="FX187" s="1206"/>
      <c r="FY187" s="1206"/>
      <c r="FZ187" s="1206"/>
      <c r="GA187" s="1206"/>
      <c r="GB187" s="1206"/>
      <c r="GC187" s="1206"/>
      <c r="GD187" s="1206"/>
      <c r="GE187" s="1206"/>
      <c r="GF187" s="1206"/>
      <c r="GG187" s="1206"/>
      <c r="GH187" s="1206"/>
      <c r="GI187" s="1206"/>
      <c r="GJ187" s="1206"/>
      <c r="GK187" s="1206"/>
      <c r="GL187" s="1206"/>
      <c r="GM187" s="1206"/>
      <c r="GN187" s="1206"/>
      <c r="GO187" s="1206"/>
      <c r="GP187" s="1206"/>
      <c r="GQ187" s="1206"/>
      <c r="GR187" s="1206"/>
      <c r="GS187" s="1206"/>
      <c r="GT187" s="1206"/>
      <c r="GU187" s="1206"/>
      <c r="GV187" s="1206"/>
      <c r="GW187" s="1206"/>
      <c r="GX187" s="1206"/>
      <c r="GY187" s="1206"/>
      <c r="GZ187" s="1206"/>
      <c r="HA187" s="1206"/>
      <c r="HB187" s="1206"/>
      <c r="HC187" s="1206"/>
      <c r="HD187" s="1206"/>
      <c r="HE187" s="1206"/>
      <c r="HF187" s="1206"/>
      <c r="HG187" s="1206"/>
      <c r="HH187" s="1206"/>
      <c r="HI187" s="1206"/>
      <c r="HJ187" s="1206"/>
      <c r="HK187" s="1206"/>
      <c r="HL187" s="1206"/>
      <c r="HM187" s="1206"/>
      <c r="HN187" s="1206"/>
      <c r="HO187" s="1206"/>
      <c r="HP187" s="1206"/>
      <c r="HQ187" s="1206"/>
      <c r="HR187" s="1206"/>
      <c r="HS187" s="1206"/>
      <c r="HT187" s="1206"/>
      <c r="HU187" s="1206"/>
      <c r="HV187" s="1206"/>
      <c r="HW187" s="1206"/>
      <c r="HX187" s="1206"/>
      <c r="HY187" s="1206"/>
      <c r="HZ187" s="1206"/>
      <c r="IA187" s="1206"/>
      <c r="IB187" s="1206"/>
      <c r="IC187" s="1206"/>
      <c r="ID187" s="1206"/>
      <c r="IE187" s="1206"/>
      <c r="IF187" s="1206"/>
      <c r="IG187" s="1206"/>
      <c r="IH187" s="1206"/>
      <c r="II187" s="1206"/>
      <c r="IJ187" s="1206"/>
      <c r="IK187" s="1206"/>
      <c r="IL187" s="1206"/>
      <c r="IM187" s="1206"/>
      <c r="IN187" s="1206"/>
      <c r="IO187" s="1206"/>
      <c r="IP187" s="1206"/>
      <c r="IQ187" s="1206"/>
      <c r="IR187" s="1206"/>
      <c r="IS187" s="1206"/>
      <c r="IT187" s="1206"/>
      <c r="IU187" s="1206"/>
      <c r="IV187" s="1206"/>
      <c r="IW187" s="1206"/>
      <c r="IX187" s="1206"/>
      <c r="IY187" s="1206"/>
      <c r="IZ187" s="1206"/>
      <c r="JA187" s="1206"/>
      <c r="JB187" s="1206"/>
      <c r="JC187" s="1206"/>
      <c r="JD187" s="1206"/>
      <c r="JE187" s="1206"/>
      <c r="JF187" s="1206"/>
      <c r="JG187" s="1206"/>
      <c r="JH187" s="1206"/>
      <c r="JI187" s="1206"/>
      <c r="JJ187" s="1206"/>
      <c r="JK187" s="1206"/>
      <c r="JL187" s="1206"/>
      <c r="JM187" s="1206"/>
      <c r="JN187" s="1206"/>
      <c r="JO187" s="1206"/>
      <c r="JP187" s="1206"/>
      <c r="JQ187" s="1206"/>
      <c r="JR187" s="1206"/>
      <c r="JS187" s="1206"/>
      <c r="JT187" s="1206"/>
      <c r="JU187" s="1206"/>
      <c r="JV187" s="1206"/>
      <c r="JW187" s="1206"/>
      <c r="JX187" s="1206"/>
      <c r="JY187" s="1206"/>
      <c r="JZ187" s="1206"/>
      <c r="KA187" s="1206"/>
      <c r="KB187" s="1206"/>
      <c r="KC187" s="1206"/>
      <c r="KD187" s="1206"/>
      <c r="KE187" s="1206"/>
      <c r="KF187" s="1206"/>
      <c r="KG187" s="1206"/>
      <c r="KH187" s="1206"/>
      <c r="KI187" s="1206"/>
      <c r="KJ187" s="1206"/>
      <c r="KK187" s="1206"/>
      <c r="KL187" s="1206"/>
      <c r="KM187" s="1206"/>
      <c r="KN187" s="1206"/>
      <c r="KO187" s="1206"/>
      <c r="KP187" s="1206"/>
      <c r="KQ187" s="1206"/>
      <c r="KR187" s="1206"/>
      <c r="KS187" s="1206"/>
      <c r="KT187" s="1206"/>
      <c r="KU187" s="1206"/>
      <c r="KV187" s="1206"/>
      <c r="KW187" s="1206"/>
      <c r="KX187" s="1206"/>
      <c r="KY187" s="1206"/>
      <c r="KZ187" s="1206"/>
      <c r="LA187" s="1206"/>
      <c r="LB187" s="1206"/>
      <c r="LC187" s="1206"/>
      <c r="LD187" s="1206"/>
      <c r="LE187" s="1206"/>
      <c r="LF187" s="1206"/>
      <c r="LG187" s="1206"/>
      <c r="LH187" s="1206"/>
      <c r="LI187" s="1206"/>
      <c r="LJ187" s="1206"/>
      <c r="LK187" s="1206"/>
      <c r="LL187" s="1206"/>
      <c r="LM187" s="1206"/>
      <c r="LN187" s="1206"/>
      <c r="LO187" s="1206"/>
      <c r="LP187" s="1206"/>
      <c r="LQ187" s="1206"/>
      <c r="LR187" s="1206"/>
      <c r="LS187" s="1206"/>
      <c r="LT187" s="1206"/>
      <c r="LU187" s="1206"/>
      <c r="LV187" s="1206"/>
      <c r="LW187" s="1206"/>
      <c r="LX187" s="1206"/>
      <c r="LY187" s="1206"/>
      <c r="LZ187" s="1206"/>
      <c r="MA187" s="1206"/>
      <c r="MB187" s="1206"/>
      <c r="MC187" s="1206"/>
      <c r="MD187" s="1206"/>
      <c r="ME187" s="1206"/>
      <c r="MF187" s="1206"/>
      <c r="MG187" s="1206"/>
      <c r="MH187" s="1206"/>
      <c r="MI187" s="1206"/>
      <c r="MJ187" s="1206"/>
      <c r="MK187" s="1206"/>
    </row>
    <row r="188" spans="1:349" x14ac:dyDescent="0.2">
      <c r="A188" s="3018"/>
      <c r="B188" s="3018"/>
      <c r="C188" s="3018"/>
      <c r="D188" s="3018"/>
      <c r="E188" s="3018"/>
      <c r="F188" s="3018"/>
      <c r="G188" s="3018"/>
      <c r="H188" s="3018"/>
      <c r="I188" s="3018"/>
      <c r="J188" s="3018"/>
      <c r="K188" s="3018"/>
      <c r="L188" s="3018"/>
      <c r="M188" s="3018"/>
      <c r="N188" s="3018"/>
      <c r="O188" s="3018"/>
      <c r="P188" s="3018"/>
      <c r="Q188" s="3018"/>
    </row>
    <row r="189" spans="1:349" s="1416" customFormat="1" ht="23.25" customHeight="1" x14ac:dyDescent="0.25">
      <c r="A189" s="1400"/>
      <c r="B189" s="1401"/>
      <c r="C189" s="1401"/>
      <c r="D189" s="1401"/>
      <c r="E189" s="1401"/>
      <c r="F189" s="1401"/>
      <c r="G189" s="1401"/>
      <c r="H189" s="1401"/>
      <c r="I189" s="1401"/>
      <c r="J189" s="1401"/>
      <c r="K189" s="1402"/>
      <c r="L189" s="1403"/>
      <c r="M189" s="1403"/>
      <c r="N189" s="1404"/>
      <c r="O189" s="1403"/>
      <c r="P189" s="1402"/>
      <c r="Q189" s="1405" t="s">
        <v>120</v>
      </c>
      <c r="R189" s="1406">
        <f>SUM(R16:R187)</f>
        <v>43515419298.370232</v>
      </c>
      <c r="S189" s="1407"/>
      <c r="T189" s="1402"/>
      <c r="U189" s="1408"/>
      <c r="V189" s="1406">
        <f>SUM(V16:V187)</f>
        <v>43515419296.919998</v>
      </c>
      <c r="W189" s="1409"/>
      <c r="X189" s="1410"/>
      <c r="Y189" s="1411"/>
      <c r="Z189" s="1411"/>
      <c r="AA189" s="1411"/>
      <c r="AB189" s="1411"/>
      <c r="AC189" s="1411"/>
      <c r="AD189" s="1411"/>
      <c r="AE189" s="1411"/>
      <c r="AF189" s="1411"/>
      <c r="AG189" s="1411"/>
      <c r="AH189" s="1411"/>
      <c r="AI189" s="1411"/>
      <c r="AJ189" s="1411"/>
      <c r="AK189" s="1412"/>
      <c r="AL189" s="1413"/>
      <c r="AM189" s="1414"/>
      <c r="AN189" s="1415"/>
      <c r="AO189" s="1415"/>
    </row>
    <row r="191" spans="1:349" ht="14.25" customHeight="1" x14ac:dyDescent="0.2">
      <c r="U191" s="1418"/>
      <c r="V191" s="3019"/>
    </row>
    <row r="192" spans="1:349" s="170" customFormat="1" ht="15" x14ac:dyDescent="0.25">
      <c r="C192" s="3016" t="s">
        <v>1115</v>
      </c>
      <c r="D192" s="3016"/>
      <c r="E192" s="3016"/>
      <c r="F192" s="3016"/>
      <c r="G192" s="3016"/>
      <c r="H192" s="3016"/>
      <c r="I192" s="3016"/>
      <c r="J192" s="3016"/>
      <c r="K192" s="165"/>
      <c r="L192" s="166"/>
      <c r="M192" s="166"/>
      <c r="N192" s="166"/>
      <c r="O192" s="165"/>
      <c r="P192" s="166"/>
      <c r="Q192" s="165"/>
      <c r="R192" s="166"/>
      <c r="S192" s="165"/>
      <c r="T192" s="165"/>
      <c r="U192" s="165"/>
      <c r="V192" s="3019"/>
      <c r="W192" s="167"/>
      <c r="X192" s="167"/>
      <c r="Y192" s="167"/>
      <c r="Z192" s="166"/>
      <c r="AA192" s="165"/>
      <c r="AB192" s="168"/>
      <c r="AC192" s="168"/>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BA192" s="169"/>
      <c r="BB192" s="169"/>
      <c r="BC192" s="171"/>
      <c r="BD192" s="168"/>
      <c r="BE192" s="168"/>
      <c r="BF192" s="172"/>
      <c r="BG192" s="172"/>
      <c r="BH192" s="173"/>
      <c r="BI192" s="173"/>
      <c r="BJ192" s="174"/>
    </row>
    <row r="193" spans="3:62" s="170" customFormat="1" ht="15" customHeight="1" x14ac:dyDescent="0.25">
      <c r="C193" s="3016" t="s">
        <v>1116</v>
      </c>
      <c r="D193" s="3016"/>
      <c r="E193" s="3016"/>
      <c r="F193" s="3016"/>
      <c r="G193" s="3016"/>
      <c r="H193" s="3016"/>
      <c r="I193" s="3016"/>
      <c r="J193" s="3016"/>
      <c r="K193" s="165"/>
      <c r="L193" s="166"/>
      <c r="M193" s="166"/>
      <c r="N193" s="166"/>
      <c r="O193" s="165"/>
      <c r="P193" s="166"/>
      <c r="Q193" s="165"/>
      <c r="R193" s="166"/>
      <c r="S193" s="175"/>
      <c r="T193" s="165"/>
      <c r="U193" s="165"/>
      <c r="V193" s="176"/>
      <c r="W193" s="177"/>
      <c r="X193" s="177"/>
      <c r="Y193" s="177"/>
      <c r="Z193" s="166"/>
      <c r="AA193" s="165"/>
      <c r="AB193" s="168"/>
      <c r="AC193" s="168"/>
      <c r="AD193" s="168"/>
      <c r="AE193" s="178"/>
      <c r="AF193" s="168"/>
      <c r="AG193" s="168"/>
      <c r="AH193" s="168"/>
      <c r="AI193" s="168"/>
      <c r="AJ193" s="178"/>
      <c r="AK193" s="168"/>
      <c r="AL193" s="168"/>
      <c r="AM193" s="168"/>
      <c r="AN193" s="168"/>
      <c r="AO193" s="168"/>
      <c r="AP193" s="168"/>
      <c r="AQ193" s="168"/>
      <c r="AR193" s="168"/>
      <c r="AS193" s="168"/>
      <c r="AT193" s="168"/>
      <c r="AU193" s="168"/>
      <c r="AV193" s="168"/>
      <c r="AW193" s="168"/>
      <c r="AX193" s="168"/>
      <c r="AY193" s="168"/>
      <c r="BA193" s="169"/>
      <c r="BB193" s="169"/>
      <c r="BC193" s="171"/>
      <c r="BD193" s="168"/>
      <c r="BE193" s="168"/>
      <c r="BF193" s="172"/>
      <c r="BG193" s="172"/>
      <c r="BH193" s="173"/>
      <c r="BI193" s="173"/>
      <c r="BJ193" s="174"/>
    </row>
    <row r="194" spans="3:62" s="170" customFormat="1" ht="30.75" customHeight="1" x14ac:dyDescent="0.2">
      <c r="K194" s="165"/>
      <c r="L194" s="166"/>
      <c r="M194" s="166"/>
      <c r="N194" s="166"/>
      <c r="O194" s="165"/>
      <c r="P194" s="166"/>
      <c r="Q194" s="179"/>
      <c r="R194" s="166"/>
      <c r="S194" s="180"/>
      <c r="T194" s="165"/>
      <c r="U194" s="165"/>
      <c r="V194" s="165"/>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71"/>
      <c r="AY194" s="168"/>
      <c r="BA194" s="169"/>
      <c r="BB194" s="169"/>
      <c r="BC194" s="173"/>
      <c r="BD194" s="173"/>
      <c r="BE194" s="174"/>
    </row>
    <row r="195" spans="3:62" x14ac:dyDescent="0.2">
      <c r="V195" s="1419"/>
    </row>
  </sheetData>
  <mergeCells count="781">
    <mergeCell ref="AE6:AE12"/>
    <mergeCell ref="AF6:AF12"/>
    <mergeCell ref="AG6:AG12"/>
    <mergeCell ref="AH6:AH12"/>
    <mergeCell ref="AI6:AI12"/>
    <mergeCell ref="AJ6:AJ12"/>
    <mergeCell ref="AK5:AK12"/>
    <mergeCell ref="AL5:AL12"/>
    <mergeCell ref="A3:M4"/>
    <mergeCell ref="P3:X4"/>
    <mergeCell ref="Y3:AJ4"/>
    <mergeCell ref="A5:A12"/>
    <mergeCell ref="B5:C12"/>
    <mergeCell ref="D5:D12"/>
    <mergeCell ref="E5:F12"/>
    <mergeCell ref="G5:G12"/>
    <mergeCell ref="N5:N12"/>
    <mergeCell ref="V5:V12"/>
    <mergeCell ref="W5:W12"/>
    <mergeCell ref="Y6:Y12"/>
    <mergeCell ref="Z6:Z12"/>
    <mergeCell ref="AA6:AA12"/>
    <mergeCell ref="AB6:AB12"/>
    <mergeCell ref="AC6:AC12"/>
    <mergeCell ref="AD6:AD12"/>
    <mergeCell ref="AM5:AM12"/>
    <mergeCell ref="U5:U12"/>
    <mergeCell ref="X5:X12"/>
    <mergeCell ref="Y5:AD5"/>
    <mergeCell ref="AE5:AJ5"/>
    <mergeCell ref="M5:M12"/>
    <mergeCell ref="A14:C14"/>
    <mergeCell ref="N16:N23"/>
    <mergeCell ref="O16:O23"/>
    <mergeCell ref="P16:P23"/>
    <mergeCell ref="R16:R23"/>
    <mergeCell ref="S16:S23"/>
    <mergeCell ref="W16:W23"/>
    <mergeCell ref="X16:X23"/>
    <mergeCell ref="O5:O12"/>
    <mergeCell ref="P5:P12"/>
    <mergeCell ref="Q5:Q12"/>
    <mergeCell ref="R5:R12"/>
    <mergeCell ref="S5:S12"/>
    <mergeCell ref="T5:T12"/>
    <mergeCell ref="H5:I12"/>
    <mergeCell ref="J5:J12"/>
    <mergeCell ref="K5:K12"/>
    <mergeCell ref="L5:L12"/>
    <mergeCell ref="Q17:Q18"/>
    <mergeCell ref="T17:T18"/>
    <mergeCell ref="J19:J23"/>
    <mergeCell ref="K19:K23"/>
    <mergeCell ref="L19:L23"/>
    <mergeCell ref="AL16:AL23"/>
    <mergeCell ref="AM16:AM23"/>
    <mergeCell ref="J17:J18"/>
    <mergeCell ref="K17:K18"/>
    <mergeCell ref="L17:L18"/>
    <mergeCell ref="M17:M18"/>
    <mergeCell ref="AH16:AH23"/>
    <mergeCell ref="AI16:AI23"/>
    <mergeCell ref="AJ16:AJ23"/>
    <mergeCell ref="AE16:AE23"/>
    <mergeCell ref="AF16:AF23"/>
    <mergeCell ref="AG16:AG23"/>
    <mergeCell ref="AB16:AB23"/>
    <mergeCell ref="AC16:AC23"/>
    <mergeCell ref="AD16:AD23"/>
    <mergeCell ref="M19:M23"/>
    <mergeCell ref="Q19:Q23"/>
    <mergeCell ref="T19:T23"/>
    <mergeCell ref="AK16:AK23"/>
    <mergeCell ref="Y16:Y23"/>
    <mergeCell ref="Z16:Z23"/>
    <mergeCell ref="AA16:AA23"/>
    <mergeCell ref="AM26:AM29"/>
    <mergeCell ref="J28:J29"/>
    <mergeCell ref="K28:K29"/>
    <mergeCell ref="L28:L29"/>
    <mergeCell ref="M28:M29"/>
    <mergeCell ref="Q28:Q29"/>
    <mergeCell ref="T28:T29"/>
    <mergeCell ref="AK26:AK29"/>
    <mergeCell ref="AL26:AL29"/>
    <mergeCell ref="AJ26:AJ29"/>
    <mergeCell ref="AG26:AG29"/>
    <mergeCell ref="AH26:AH29"/>
    <mergeCell ref="J26:J27"/>
    <mergeCell ref="K26:K27"/>
    <mergeCell ref="L26:L27"/>
    <mergeCell ref="M26:M27"/>
    <mergeCell ref="N26:N29"/>
    <mergeCell ref="AA26:AA29"/>
    <mergeCell ref="AB26:AB29"/>
    <mergeCell ref="AI26:AI29"/>
    <mergeCell ref="AD26:AD29"/>
    <mergeCell ref="AE26:AE29"/>
    <mergeCell ref="AF26:AF29"/>
    <mergeCell ref="AC26:AC29"/>
    <mergeCell ref="O31:O44"/>
    <mergeCell ref="P31:P44"/>
    <mergeCell ref="Q31:Q33"/>
    <mergeCell ref="R31:R44"/>
    <mergeCell ref="S31:S44"/>
    <mergeCell ref="T31:T38"/>
    <mergeCell ref="Q39:Q41"/>
    <mergeCell ref="T39:T44"/>
    <mergeCell ref="Z26:Z29"/>
    <mergeCell ref="O26:O29"/>
    <mergeCell ref="P26:P29"/>
    <mergeCell ref="Q26:Q27"/>
    <mergeCell ref="R26:R29"/>
    <mergeCell ref="S26:S29"/>
    <mergeCell ref="T26:T27"/>
    <mergeCell ref="W26:W29"/>
    <mergeCell ref="X26:X29"/>
    <mergeCell ref="Y26:Y29"/>
    <mergeCell ref="K31:K33"/>
    <mergeCell ref="L31:L33"/>
    <mergeCell ref="M31:M33"/>
    <mergeCell ref="N31:N44"/>
    <mergeCell ref="M39:M41"/>
    <mergeCell ref="J42:J44"/>
    <mergeCell ref="K42:K44"/>
    <mergeCell ref="AI31:AI44"/>
    <mergeCell ref="AD31:AD44"/>
    <mergeCell ref="AE31:AE44"/>
    <mergeCell ref="AF31:AF44"/>
    <mergeCell ref="AA31:AA44"/>
    <mergeCell ref="AB31:AB44"/>
    <mergeCell ref="AC31:AC44"/>
    <mergeCell ref="W31:W44"/>
    <mergeCell ref="X31:X44"/>
    <mergeCell ref="Y31:Y44"/>
    <mergeCell ref="Z31:Z44"/>
    <mergeCell ref="L42:L44"/>
    <mergeCell ref="M42:M44"/>
    <mergeCell ref="Q42:Q44"/>
    <mergeCell ref="O46:O50"/>
    <mergeCell ref="P46:P50"/>
    <mergeCell ref="AM31:AM44"/>
    <mergeCell ref="J34:J38"/>
    <mergeCell ref="K34:K38"/>
    <mergeCell ref="L34:L38"/>
    <mergeCell ref="M34:M38"/>
    <mergeCell ref="Q34:Q38"/>
    <mergeCell ref="J39:J41"/>
    <mergeCell ref="K39:K41"/>
    <mergeCell ref="L39:L41"/>
    <mergeCell ref="AK31:AK44"/>
    <mergeCell ref="AL31:AL44"/>
    <mergeCell ref="AJ31:AJ44"/>
    <mergeCell ref="AG31:AG44"/>
    <mergeCell ref="AH31:AH44"/>
    <mergeCell ref="AM46:AM50"/>
    <mergeCell ref="J47:J48"/>
    <mergeCell ref="K47:K48"/>
    <mergeCell ref="L47:L48"/>
    <mergeCell ref="M47:M48"/>
    <mergeCell ref="Q47:Q48"/>
    <mergeCell ref="T47:T48"/>
    <mergeCell ref="J31:J33"/>
    <mergeCell ref="J52:J54"/>
    <mergeCell ref="K52:K54"/>
    <mergeCell ref="L52:L54"/>
    <mergeCell ref="M52:M54"/>
    <mergeCell ref="N52:N59"/>
    <mergeCell ref="L58:L59"/>
    <mergeCell ref="M58:M59"/>
    <mergeCell ref="J49:J50"/>
    <mergeCell ref="K49:K50"/>
    <mergeCell ref="L49:L50"/>
    <mergeCell ref="M49:M50"/>
    <mergeCell ref="N46:N50"/>
    <mergeCell ref="Q49:Q50"/>
    <mergeCell ref="AL46:AL50"/>
    <mergeCell ref="Z46:Z50"/>
    <mergeCell ref="AA46:AA50"/>
    <mergeCell ref="AB46:AB50"/>
    <mergeCell ref="R46:R50"/>
    <mergeCell ref="S46:S50"/>
    <mergeCell ref="W46:W50"/>
    <mergeCell ref="X46:X50"/>
    <mergeCell ref="Y46:Y50"/>
    <mergeCell ref="T49:T50"/>
    <mergeCell ref="AK46:AK50"/>
    <mergeCell ref="AI46:AI50"/>
    <mergeCell ref="AJ46:AJ50"/>
    <mergeCell ref="AF46:AF50"/>
    <mergeCell ref="AG46:AG50"/>
    <mergeCell ref="AH46:AH50"/>
    <mergeCell ref="AC46:AC50"/>
    <mergeCell ref="AD46:AD50"/>
    <mergeCell ref="AE46:AE50"/>
    <mergeCell ref="Z52:Z59"/>
    <mergeCell ref="O52:O59"/>
    <mergeCell ref="P52:P59"/>
    <mergeCell ref="Q52:Q54"/>
    <mergeCell ref="R52:R59"/>
    <mergeCell ref="S52:S59"/>
    <mergeCell ref="T52:T54"/>
    <mergeCell ref="Q58:Q59"/>
    <mergeCell ref="T58:T59"/>
    <mergeCell ref="AM52:AM59"/>
    <mergeCell ref="J55:J57"/>
    <mergeCell ref="K55:K57"/>
    <mergeCell ref="L55:L57"/>
    <mergeCell ref="M55:M57"/>
    <mergeCell ref="Q55:Q57"/>
    <mergeCell ref="T55:T57"/>
    <mergeCell ref="J58:J59"/>
    <mergeCell ref="K58:K59"/>
    <mergeCell ref="AK52:AK59"/>
    <mergeCell ref="AL52:AL59"/>
    <mergeCell ref="AJ52:AJ59"/>
    <mergeCell ref="AG52:AG59"/>
    <mergeCell ref="AH52:AH59"/>
    <mergeCell ref="AI52:AI59"/>
    <mergeCell ref="AD52:AD59"/>
    <mergeCell ref="AE52:AE59"/>
    <mergeCell ref="AF52:AF59"/>
    <mergeCell ref="AA52:AA59"/>
    <mergeCell ref="AB52:AB59"/>
    <mergeCell ref="AC52:AC59"/>
    <mergeCell ref="W52:W59"/>
    <mergeCell ref="X52:X59"/>
    <mergeCell ref="Y52:Y59"/>
    <mergeCell ref="AE61:AE63"/>
    <mergeCell ref="AF61:AF63"/>
    <mergeCell ref="AG61:AG63"/>
    <mergeCell ref="AB61:AB63"/>
    <mergeCell ref="AC61:AC63"/>
    <mergeCell ref="AD61:AD63"/>
    <mergeCell ref="X61:X63"/>
    <mergeCell ref="Y61:Y63"/>
    <mergeCell ref="Z61:Z63"/>
    <mergeCell ref="AA61:AA63"/>
    <mergeCell ref="AK61:AK63"/>
    <mergeCell ref="AL61:AL63"/>
    <mergeCell ref="AM61:AM63"/>
    <mergeCell ref="AH61:AH63"/>
    <mergeCell ref="AI61:AI63"/>
    <mergeCell ref="AJ61:AJ63"/>
    <mergeCell ref="P64:P69"/>
    <mergeCell ref="Q64:Q68"/>
    <mergeCell ref="R64:R69"/>
    <mergeCell ref="S64:S69"/>
    <mergeCell ref="T64:T68"/>
    <mergeCell ref="Y64:Y69"/>
    <mergeCell ref="T62:T63"/>
    <mergeCell ref="P61:P63"/>
    <mergeCell ref="R61:R63"/>
    <mergeCell ref="S61:S63"/>
    <mergeCell ref="W61:W63"/>
    <mergeCell ref="AF64:AF69"/>
    <mergeCell ref="AG64:AG69"/>
    <mergeCell ref="AH64:AH69"/>
    <mergeCell ref="AC64:AC69"/>
    <mergeCell ref="AD64:AD69"/>
    <mergeCell ref="AE64:AE69"/>
    <mergeCell ref="Z64:Z69"/>
    <mergeCell ref="J64:J68"/>
    <mergeCell ref="K64:K68"/>
    <mergeCell ref="L64:L68"/>
    <mergeCell ref="M64:M68"/>
    <mergeCell ref="O64:O69"/>
    <mergeCell ref="J62:J63"/>
    <mergeCell ref="K62:K63"/>
    <mergeCell ref="L62:L63"/>
    <mergeCell ref="M62:M63"/>
    <mergeCell ref="N61:N63"/>
    <mergeCell ref="O61:O63"/>
    <mergeCell ref="AA64:AA69"/>
    <mergeCell ref="AB64:AB69"/>
    <mergeCell ref="AA70:AA78"/>
    <mergeCell ref="AB70:AB78"/>
    <mergeCell ref="P70:P78"/>
    <mergeCell ref="Q70:Q78"/>
    <mergeCell ref="R70:R78"/>
    <mergeCell ref="S70:S78"/>
    <mergeCell ref="T70:T73"/>
    <mergeCell ref="Y70:Y78"/>
    <mergeCell ref="AL64:AL69"/>
    <mergeCell ref="AM64:AM69"/>
    <mergeCell ref="J70:J78"/>
    <mergeCell ref="K70:K78"/>
    <mergeCell ref="L70:L78"/>
    <mergeCell ref="M70:M78"/>
    <mergeCell ref="O70:O78"/>
    <mergeCell ref="AK64:AK69"/>
    <mergeCell ref="AI64:AI69"/>
    <mergeCell ref="AJ64:AJ69"/>
    <mergeCell ref="AL70:AL78"/>
    <mergeCell ref="AM70:AM78"/>
    <mergeCell ref="T74:T76"/>
    <mergeCell ref="T77:T78"/>
    <mergeCell ref="AK70:AK78"/>
    <mergeCell ref="AI70:AI78"/>
    <mergeCell ref="AJ70:AJ78"/>
    <mergeCell ref="AF70:AF78"/>
    <mergeCell ref="AG70:AG78"/>
    <mergeCell ref="AH70:AH78"/>
    <mergeCell ref="AC70:AC78"/>
    <mergeCell ref="AD70:AD78"/>
    <mergeCell ref="AE70:AE78"/>
    <mergeCell ref="Z70:Z78"/>
    <mergeCell ref="W80:W86"/>
    <mergeCell ref="X80:X86"/>
    <mergeCell ref="Y80:Y86"/>
    <mergeCell ref="Z80:Z86"/>
    <mergeCell ref="O80:O86"/>
    <mergeCell ref="P80:P86"/>
    <mergeCell ref="Q80:Q82"/>
    <mergeCell ref="R80:R86"/>
    <mergeCell ref="S80:S86"/>
    <mergeCell ref="T80:T82"/>
    <mergeCell ref="P88:P93"/>
    <mergeCell ref="Q88:Q90"/>
    <mergeCell ref="R88:R93"/>
    <mergeCell ref="S88:S93"/>
    <mergeCell ref="T88:T90"/>
    <mergeCell ref="J88:J90"/>
    <mergeCell ref="K88:K90"/>
    <mergeCell ref="L88:L90"/>
    <mergeCell ref="M88:M90"/>
    <mergeCell ref="N88:N93"/>
    <mergeCell ref="AM80:AM86"/>
    <mergeCell ref="J83:J86"/>
    <mergeCell ref="K83:K86"/>
    <mergeCell ref="L83:L86"/>
    <mergeCell ref="M83:M86"/>
    <mergeCell ref="Q83:Q86"/>
    <mergeCell ref="T83:T86"/>
    <mergeCell ref="AK80:AK86"/>
    <mergeCell ref="AL80:AL86"/>
    <mergeCell ref="AJ80:AJ86"/>
    <mergeCell ref="J80:J82"/>
    <mergeCell ref="K80:K82"/>
    <mergeCell ref="L80:L82"/>
    <mergeCell ref="M80:M82"/>
    <mergeCell ref="N80:N86"/>
    <mergeCell ref="AG80:AG86"/>
    <mergeCell ref="AH80:AH86"/>
    <mergeCell ref="AI80:AI86"/>
    <mergeCell ref="AD80:AD86"/>
    <mergeCell ref="AE80:AE86"/>
    <mergeCell ref="AF80:AF86"/>
    <mergeCell ref="AA80:AA86"/>
    <mergeCell ref="AB80:AB86"/>
    <mergeCell ref="AC80:AC86"/>
    <mergeCell ref="AM88:AM93"/>
    <mergeCell ref="J91:J93"/>
    <mergeCell ref="K91:K93"/>
    <mergeCell ref="L91:L93"/>
    <mergeCell ref="M91:M93"/>
    <mergeCell ref="Q91:Q93"/>
    <mergeCell ref="T91:T93"/>
    <mergeCell ref="AK88:AK93"/>
    <mergeCell ref="AL88:AL93"/>
    <mergeCell ref="AJ88:AJ93"/>
    <mergeCell ref="AG88:AG93"/>
    <mergeCell ref="AH88:AH93"/>
    <mergeCell ref="AI88:AI93"/>
    <mergeCell ref="AD88:AD93"/>
    <mergeCell ref="AE88:AE93"/>
    <mergeCell ref="AF88:AF93"/>
    <mergeCell ref="AA88:AA93"/>
    <mergeCell ref="AB88:AB93"/>
    <mergeCell ref="AC88:AC93"/>
    <mergeCell ref="W88:W93"/>
    <mergeCell ref="X88:X93"/>
    <mergeCell ref="Y88:Y93"/>
    <mergeCell ref="Z88:Z93"/>
    <mergeCell ref="O88:O93"/>
    <mergeCell ref="AM104:AM118"/>
    <mergeCell ref="J107:J109"/>
    <mergeCell ref="K107:K109"/>
    <mergeCell ref="L107:L109"/>
    <mergeCell ref="AG95:AG102"/>
    <mergeCell ref="AH95:AH102"/>
    <mergeCell ref="AC95:AC102"/>
    <mergeCell ref="AD95:AD102"/>
    <mergeCell ref="AE95:AE102"/>
    <mergeCell ref="Z95:Z102"/>
    <mergeCell ref="AA95:AA102"/>
    <mergeCell ref="AB95:AB102"/>
    <mergeCell ref="P95:P102"/>
    <mergeCell ref="Q95:Q96"/>
    <mergeCell ref="R95:R102"/>
    <mergeCell ref="S95:S102"/>
    <mergeCell ref="T95:T96"/>
    <mergeCell ref="Y95:Y102"/>
    <mergeCell ref="Q97:Q98"/>
    <mergeCell ref="T97:T102"/>
    <mergeCell ref="J95:J96"/>
    <mergeCell ref="K95:K96"/>
    <mergeCell ref="L95:L96"/>
    <mergeCell ref="M95:M96"/>
    <mergeCell ref="AQ95:AR96"/>
    <mergeCell ref="J97:J98"/>
    <mergeCell ref="K97:K98"/>
    <mergeCell ref="L97:L98"/>
    <mergeCell ref="M97:M98"/>
    <mergeCell ref="AK95:AK102"/>
    <mergeCell ref="AI95:AI102"/>
    <mergeCell ref="AJ95:AJ102"/>
    <mergeCell ref="AF95:AF102"/>
    <mergeCell ref="Q99:Q102"/>
    <mergeCell ref="AL95:AL102"/>
    <mergeCell ref="AM95:AM102"/>
    <mergeCell ref="O95:O102"/>
    <mergeCell ref="J99:J102"/>
    <mergeCell ref="K99:K102"/>
    <mergeCell ref="L99:L102"/>
    <mergeCell ref="M99:M102"/>
    <mergeCell ref="AL104:AL118"/>
    <mergeCell ref="AJ104:AJ118"/>
    <mergeCell ref="AG104:AG118"/>
    <mergeCell ref="AH104:AH118"/>
    <mergeCell ref="AI104:AI118"/>
    <mergeCell ref="AD104:AD118"/>
    <mergeCell ref="AE104:AE118"/>
    <mergeCell ref="Q117:Q118"/>
    <mergeCell ref="K110:K116"/>
    <mergeCell ref="L110:L116"/>
    <mergeCell ref="M110:M116"/>
    <mergeCell ref="Q110:Q116"/>
    <mergeCell ref="K104:K106"/>
    <mergeCell ref="L104:L106"/>
    <mergeCell ref="M104:M106"/>
    <mergeCell ref="O104:O118"/>
    <mergeCell ref="P104:P118"/>
    <mergeCell ref="Q104:Q106"/>
    <mergeCell ref="AF104:AF118"/>
    <mergeCell ref="AA104:AA118"/>
    <mergeCell ref="AB104:AB118"/>
    <mergeCell ref="AC104:AC118"/>
    <mergeCell ref="R104:R118"/>
    <mergeCell ref="S104:S118"/>
    <mergeCell ref="J117:J118"/>
    <mergeCell ref="K117:K118"/>
    <mergeCell ref="L117:L118"/>
    <mergeCell ref="M117:M118"/>
    <mergeCell ref="M107:M109"/>
    <mergeCell ref="Q107:Q109"/>
    <mergeCell ref="T107:T109"/>
    <mergeCell ref="J110:J116"/>
    <mergeCell ref="AK104:AK118"/>
    <mergeCell ref="J104:J106"/>
    <mergeCell ref="T104:T106"/>
    <mergeCell ref="Y104:Y118"/>
    <mergeCell ref="Z104:Z118"/>
    <mergeCell ref="T117:T118"/>
    <mergeCell ref="T110:T116"/>
    <mergeCell ref="O120:O124"/>
    <mergeCell ref="P120:P124"/>
    <mergeCell ref="Q120:Q123"/>
    <mergeCell ref="R120:R124"/>
    <mergeCell ref="S120:S124"/>
    <mergeCell ref="T120:T122"/>
    <mergeCell ref="J120:J123"/>
    <mergeCell ref="K120:K123"/>
    <mergeCell ref="L120:L123"/>
    <mergeCell ref="M120:M123"/>
    <mergeCell ref="N120:N124"/>
    <mergeCell ref="AE120:AE124"/>
    <mergeCell ref="AF120:AF124"/>
    <mergeCell ref="AF126:AF130"/>
    <mergeCell ref="AG126:AG130"/>
    <mergeCell ref="AH126:AH130"/>
    <mergeCell ref="AA120:AA124"/>
    <mergeCell ref="AB120:AB124"/>
    <mergeCell ref="AC120:AC124"/>
    <mergeCell ref="W120:W124"/>
    <mergeCell ref="X120:X124"/>
    <mergeCell ref="Y120:Y124"/>
    <mergeCell ref="Z120:Z124"/>
    <mergeCell ref="W126:W130"/>
    <mergeCell ref="X126:X130"/>
    <mergeCell ref="Y126:Y130"/>
    <mergeCell ref="Z126:Z130"/>
    <mergeCell ref="AM120:AM124"/>
    <mergeCell ref="J126:J130"/>
    <mergeCell ref="K126:K130"/>
    <mergeCell ref="L126:L130"/>
    <mergeCell ref="M126:M130"/>
    <mergeCell ref="N126:N130"/>
    <mergeCell ref="O126:O130"/>
    <mergeCell ref="P126:P130"/>
    <mergeCell ref="Q126:Q130"/>
    <mergeCell ref="AK120:AK124"/>
    <mergeCell ref="AL120:AL124"/>
    <mergeCell ref="AJ120:AJ124"/>
    <mergeCell ref="AL126:AL130"/>
    <mergeCell ref="AM126:AM130"/>
    <mergeCell ref="T128:T129"/>
    <mergeCell ref="AA126:AA130"/>
    <mergeCell ref="AB126:AB130"/>
    <mergeCell ref="R126:R130"/>
    <mergeCell ref="S126:S130"/>
    <mergeCell ref="T126:T127"/>
    <mergeCell ref="AG120:AG124"/>
    <mergeCell ref="AH120:AH124"/>
    <mergeCell ref="AI120:AI124"/>
    <mergeCell ref="AD120:AD124"/>
    <mergeCell ref="AG131:AG138"/>
    <mergeCell ref="AH131:AH138"/>
    <mergeCell ref="AI131:AI138"/>
    <mergeCell ref="AK126:AK130"/>
    <mergeCell ref="AI126:AI130"/>
    <mergeCell ref="AJ126:AJ130"/>
    <mergeCell ref="AC126:AC130"/>
    <mergeCell ref="AD126:AD130"/>
    <mergeCell ref="AE126:AE130"/>
    <mergeCell ref="D140:F146"/>
    <mergeCell ref="O141:O146"/>
    <mergeCell ref="P141:P146"/>
    <mergeCell ref="R141:R146"/>
    <mergeCell ref="S141:S146"/>
    <mergeCell ref="Y141:Y146"/>
    <mergeCell ref="T143:T144"/>
    <mergeCell ref="U143:U144"/>
    <mergeCell ref="V143:V144"/>
    <mergeCell ref="W131:W138"/>
    <mergeCell ref="X131:X138"/>
    <mergeCell ref="Y131:Y138"/>
    <mergeCell ref="Z131:Z138"/>
    <mergeCell ref="N131:N138"/>
    <mergeCell ref="O131:O138"/>
    <mergeCell ref="P131:P138"/>
    <mergeCell ref="Q131:Q133"/>
    <mergeCell ref="R131:R138"/>
    <mergeCell ref="S131:S138"/>
    <mergeCell ref="U149:U150"/>
    <mergeCell ref="V149:V150"/>
    <mergeCell ref="J131:J133"/>
    <mergeCell ref="K131:K133"/>
    <mergeCell ref="L131:L133"/>
    <mergeCell ref="M131:M133"/>
    <mergeCell ref="AM131:AM138"/>
    <mergeCell ref="J134:J138"/>
    <mergeCell ref="K134:K138"/>
    <mergeCell ref="L134:L138"/>
    <mergeCell ref="M134:M138"/>
    <mergeCell ref="Q134:Q138"/>
    <mergeCell ref="T134:T138"/>
    <mergeCell ref="AK131:AK138"/>
    <mergeCell ref="AL131:AL138"/>
    <mergeCell ref="AJ131:AJ138"/>
    <mergeCell ref="AD131:AD138"/>
    <mergeCell ref="AE131:AE138"/>
    <mergeCell ref="AF131:AF138"/>
    <mergeCell ref="AA131:AA138"/>
    <mergeCell ref="AB131:AB138"/>
    <mergeCell ref="AC131:AC138"/>
    <mergeCell ref="AF141:AF146"/>
    <mergeCell ref="T131:T133"/>
    <mergeCell ref="K149:K150"/>
    <mergeCell ref="L149:L150"/>
    <mergeCell ref="M149:M150"/>
    <mergeCell ref="O149:O153"/>
    <mergeCell ref="P149:P153"/>
    <mergeCell ref="Q149:Q150"/>
    <mergeCell ref="R149:R153"/>
    <mergeCell ref="S149:S153"/>
    <mergeCell ref="T149:T150"/>
    <mergeCell ref="AL141:AL146"/>
    <mergeCell ref="AM141:AM146"/>
    <mergeCell ref="J143:J144"/>
    <mergeCell ref="K143:K144"/>
    <mergeCell ref="L143:L144"/>
    <mergeCell ref="M143:M144"/>
    <mergeCell ref="Q143:Q144"/>
    <mergeCell ref="AK141:AK146"/>
    <mergeCell ref="AI141:AI146"/>
    <mergeCell ref="AJ141:AJ146"/>
    <mergeCell ref="AG141:AG146"/>
    <mergeCell ref="AH141:AH146"/>
    <mergeCell ref="AC141:AC146"/>
    <mergeCell ref="AD141:AD146"/>
    <mergeCell ref="AE141:AE146"/>
    <mergeCell ref="Z141:Z146"/>
    <mergeCell ref="AA141:AA146"/>
    <mergeCell ref="AB141:AB146"/>
    <mergeCell ref="AL149:AL153"/>
    <mergeCell ref="AM149:AM153"/>
    <mergeCell ref="J152:J153"/>
    <mergeCell ref="K152:K153"/>
    <mergeCell ref="L152:L153"/>
    <mergeCell ref="M152:M153"/>
    <mergeCell ref="AH149:AH153"/>
    <mergeCell ref="AI149:AI153"/>
    <mergeCell ref="AJ149:AJ153"/>
    <mergeCell ref="AE149:AE153"/>
    <mergeCell ref="AF149:AF153"/>
    <mergeCell ref="AG149:AG153"/>
    <mergeCell ref="AB149:AB153"/>
    <mergeCell ref="AC149:AC153"/>
    <mergeCell ref="AD149:AD153"/>
    <mergeCell ref="J149:J150"/>
    <mergeCell ref="Q152:Q153"/>
    <mergeCell ref="T152:T153"/>
    <mergeCell ref="U152:U153"/>
    <mergeCell ref="V152:V153"/>
    <mergeCell ref="AK149:AK153"/>
    <mergeCell ref="Y149:Y153"/>
    <mergeCell ref="Z149:Z153"/>
    <mergeCell ref="AA149:AA153"/>
    <mergeCell ref="Y154:AJ154"/>
    <mergeCell ref="J155:J157"/>
    <mergeCell ref="K155:K157"/>
    <mergeCell ref="L155:L157"/>
    <mergeCell ref="M155:M157"/>
    <mergeCell ref="N155:N157"/>
    <mergeCell ref="O155:O157"/>
    <mergeCell ref="P155:P157"/>
    <mergeCell ref="Q155:Q157"/>
    <mergeCell ref="AH155:AH157"/>
    <mergeCell ref="AC155:AC157"/>
    <mergeCell ref="AD155:AD157"/>
    <mergeCell ref="AE155:AE157"/>
    <mergeCell ref="Z155:Z157"/>
    <mergeCell ref="AA155:AA157"/>
    <mergeCell ref="AB155:AB157"/>
    <mergeCell ref="R155:R157"/>
    <mergeCell ref="S155:S157"/>
    <mergeCell ref="W155:W157"/>
    <mergeCell ref="X155:X157"/>
    <mergeCell ref="Y155:Y157"/>
    <mergeCell ref="O159:O161"/>
    <mergeCell ref="P159:P161"/>
    <mergeCell ref="Q159:Q160"/>
    <mergeCell ref="R159:R161"/>
    <mergeCell ref="S159:S161"/>
    <mergeCell ref="T159:T160"/>
    <mergeCell ref="AL155:AL157"/>
    <mergeCell ref="AM155:AM157"/>
    <mergeCell ref="Y158:AJ158"/>
    <mergeCell ref="AD162:AD168"/>
    <mergeCell ref="AE162:AE168"/>
    <mergeCell ref="AF162:AF168"/>
    <mergeCell ref="J159:J160"/>
    <mergeCell ref="K159:K160"/>
    <mergeCell ref="L159:L160"/>
    <mergeCell ref="M159:M160"/>
    <mergeCell ref="N159:N161"/>
    <mergeCell ref="AK155:AK157"/>
    <mergeCell ref="AI155:AI157"/>
    <mergeCell ref="AJ155:AJ157"/>
    <mergeCell ref="AF155:AF157"/>
    <mergeCell ref="AG155:AG157"/>
    <mergeCell ref="AI159:AI161"/>
    <mergeCell ref="AD159:AD161"/>
    <mergeCell ref="AE159:AE161"/>
    <mergeCell ref="AF159:AF161"/>
    <mergeCell ref="AA159:AA161"/>
    <mergeCell ref="AB159:AB161"/>
    <mergeCell ref="AC159:AC161"/>
    <mergeCell ref="W159:W161"/>
    <mergeCell ref="X159:X161"/>
    <mergeCell ref="Y159:Y161"/>
    <mergeCell ref="Z159:Z161"/>
    <mergeCell ref="W170:W174"/>
    <mergeCell ref="X170:X174"/>
    <mergeCell ref="Y170:Y174"/>
    <mergeCell ref="S162:S168"/>
    <mergeCell ref="T162:T167"/>
    <mergeCell ref="Y162:Y168"/>
    <mergeCell ref="Z162:Z168"/>
    <mergeCell ref="AM159:AM161"/>
    <mergeCell ref="J162:J168"/>
    <mergeCell ref="K162:K168"/>
    <mergeCell ref="L162:L168"/>
    <mergeCell ref="M162:M168"/>
    <mergeCell ref="O162:O168"/>
    <mergeCell ref="P162:P168"/>
    <mergeCell ref="Q162:Q168"/>
    <mergeCell ref="R162:R168"/>
    <mergeCell ref="AK159:AK161"/>
    <mergeCell ref="AL159:AL161"/>
    <mergeCell ref="AJ159:AJ161"/>
    <mergeCell ref="AG159:AG161"/>
    <mergeCell ref="AH159:AH161"/>
    <mergeCell ref="AG162:AG168"/>
    <mergeCell ref="AH162:AH168"/>
    <mergeCell ref="AI162:AI168"/>
    <mergeCell ref="AM162:AM168"/>
    <mergeCell ref="J170:J173"/>
    <mergeCell ref="K170:K173"/>
    <mergeCell ref="L170:L173"/>
    <mergeCell ref="M170:M173"/>
    <mergeCell ref="N170:N174"/>
    <mergeCell ref="O170:O174"/>
    <mergeCell ref="P170:P174"/>
    <mergeCell ref="Q170:Q173"/>
    <mergeCell ref="AK162:AK168"/>
    <mergeCell ref="AL162:AL168"/>
    <mergeCell ref="AJ162:AJ168"/>
    <mergeCell ref="AL170:AL174"/>
    <mergeCell ref="AM170:AM174"/>
    <mergeCell ref="T171:T172"/>
    <mergeCell ref="AA162:AA168"/>
    <mergeCell ref="AB162:AB168"/>
    <mergeCell ref="AC162:AC168"/>
    <mergeCell ref="AE170:AE174"/>
    <mergeCell ref="Z170:Z174"/>
    <mergeCell ref="AA170:AA174"/>
    <mergeCell ref="AB170:AB174"/>
    <mergeCell ref="R170:R174"/>
    <mergeCell ref="S170:S174"/>
    <mergeCell ref="J176:J177"/>
    <mergeCell ref="K176:K177"/>
    <mergeCell ref="L176:L177"/>
    <mergeCell ref="M176:M177"/>
    <mergeCell ref="N176:N178"/>
    <mergeCell ref="AK170:AK174"/>
    <mergeCell ref="AI170:AI174"/>
    <mergeCell ref="AJ170:AJ174"/>
    <mergeCell ref="AF170:AF174"/>
    <mergeCell ref="AG170:AG174"/>
    <mergeCell ref="AH170:AH174"/>
    <mergeCell ref="AC170:AC174"/>
    <mergeCell ref="AD170:AD174"/>
    <mergeCell ref="AA176:AA178"/>
    <mergeCell ref="AB176:AB178"/>
    <mergeCell ref="AC176:AC178"/>
    <mergeCell ref="W176:W178"/>
    <mergeCell ref="X176:X178"/>
    <mergeCell ref="Y176:Y178"/>
    <mergeCell ref="Z176:Z178"/>
    <mergeCell ref="O176:O178"/>
    <mergeCell ref="P176:P178"/>
    <mergeCell ref="Q176:Q178"/>
    <mergeCell ref="R176:R178"/>
    <mergeCell ref="S181:S187"/>
    <mergeCell ref="W181:W187"/>
    <mergeCell ref="X181:X187"/>
    <mergeCell ref="Y181:Y187"/>
    <mergeCell ref="AK176:AK178"/>
    <mergeCell ref="AL176:AL178"/>
    <mergeCell ref="AJ176:AJ178"/>
    <mergeCell ref="S176:S178"/>
    <mergeCell ref="T176:T177"/>
    <mergeCell ref="AG176:AG178"/>
    <mergeCell ref="AH176:AH178"/>
    <mergeCell ref="AI176:AI178"/>
    <mergeCell ref="AD176:AD178"/>
    <mergeCell ref="AE176:AE178"/>
    <mergeCell ref="AF176:AF178"/>
    <mergeCell ref="AH181:AH187"/>
    <mergeCell ref="AC181:AC187"/>
    <mergeCell ref="AD181:AD187"/>
    <mergeCell ref="AE181:AE187"/>
    <mergeCell ref="Z181:Z187"/>
    <mergeCell ref="AA181:AA187"/>
    <mergeCell ref="AB181:AB187"/>
    <mergeCell ref="A1:AK2"/>
    <mergeCell ref="C193:J193"/>
    <mergeCell ref="T185:T186"/>
    <mergeCell ref="A188:Q188"/>
    <mergeCell ref="V191:V192"/>
    <mergeCell ref="C192:J192"/>
    <mergeCell ref="AL181:AL187"/>
    <mergeCell ref="AM181:AM187"/>
    <mergeCell ref="J182:J186"/>
    <mergeCell ref="K182:K186"/>
    <mergeCell ref="L182:L186"/>
    <mergeCell ref="M182:M186"/>
    <mergeCell ref="Q182:Q186"/>
    <mergeCell ref="T182:T184"/>
    <mergeCell ref="AK181:AK187"/>
    <mergeCell ref="AI181:AI187"/>
    <mergeCell ref="AJ181:AJ187"/>
    <mergeCell ref="AF181:AF187"/>
    <mergeCell ref="AG181:AG187"/>
    <mergeCell ref="AM176:AM178"/>
    <mergeCell ref="N181:N187"/>
    <mergeCell ref="O181:O187"/>
    <mergeCell ref="P181:P187"/>
    <mergeCell ref="R181:R18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topLeftCell="V1" zoomScale="70" zoomScaleNormal="70" zoomScalePageLayoutView="59" workbookViewId="0">
      <selection sqref="A1:AH4"/>
    </sheetView>
  </sheetViews>
  <sheetFormatPr baseColWidth="10" defaultColWidth="11.42578125" defaultRowHeight="14.25" x14ac:dyDescent="0.2"/>
  <cols>
    <col min="1" max="1" width="10.5703125" style="181" customWidth="1"/>
    <col min="2" max="2" width="16.28515625" style="181" customWidth="1"/>
    <col min="3" max="3" width="11.42578125" style="181" customWidth="1"/>
    <col min="4" max="4" width="14.5703125" style="181" customWidth="1"/>
    <col min="5" max="5" width="10.42578125" style="181" customWidth="1"/>
    <col min="6" max="6" width="18.7109375" style="181" customWidth="1"/>
    <col min="7" max="7" width="11.5703125" style="181" customWidth="1"/>
    <col min="8" max="8" width="43.5703125" style="183" customWidth="1"/>
    <col min="9" max="9" width="14.5703125" style="181" customWidth="1"/>
    <col min="10" max="10" width="11.28515625" style="181" customWidth="1"/>
    <col min="11" max="11" width="20.140625" style="181" customWidth="1"/>
    <col min="12" max="12" width="11" style="181" customWidth="1"/>
    <col min="13" max="13" width="26.7109375" style="183" customWidth="1"/>
    <col min="14" max="14" width="12" style="181" customWidth="1"/>
    <col min="15" max="15" width="18.7109375" style="240" customWidth="1"/>
    <col min="16" max="16" width="31.85546875" style="183" customWidth="1"/>
    <col min="17" max="17" width="30.5703125" style="183" customWidth="1"/>
    <col min="18" max="18" width="27" style="1474" customWidth="1"/>
    <col min="19" max="19" width="22.5703125" style="182" customWidth="1"/>
    <col min="20" max="20" width="14.85546875" style="181" customWidth="1"/>
    <col min="21" max="21" width="18" style="183" customWidth="1"/>
    <col min="22" max="22" width="9.28515625" style="181" customWidth="1"/>
    <col min="23" max="23" width="11.42578125" style="181" customWidth="1"/>
    <col min="24" max="24" width="9.28515625" style="181" customWidth="1"/>
    <col min="25" max="25" width="9.7109375" style="181" customWidth="1"/>
    <col min="26" max="33" width="9.140625" style="181" customWidth="1"/>
    <col min="34" max="36" width="19.85546875" style="181" customWidth="1"/>
    <col min="37" max="16384" width="11.42578125" style="181"/>
  </cols>
  <sheetData>
    <row r="1" spans="1:36" ht="15" customHeight="1" x14ac:dyDescent="0.25">
      <c r="A1" s="3190" t="s">
        <v>1794</v>
      </c>
      <c r="B1" s="3190"/>
      <c r="C1" s="3190"/>
      <c r="D1" s="3190"/>
      <c r="E1" s="3190"/>
      <c r="F1" s="3190"/>
      <c r="G1" s="3190"/>
      <c r="H1" s="3190"/>
      <c r="I1" s="3190"/>
      <c r="J1" s="3190"/>
      <c r="K1" s="3190"/>
      <c r="L1" s="3190"/>
      <c r="M1" s="3190"/>
      <c r="N1" s="3190"/>
      <c r="O1" s="3190"/>
      <c r="P1" s="3190"/>
      <c r="Q1" s="3190"/>
      <c r="R1" s="3190"/>
      <c r="S1" s="3190"/>
      <c r="T1" s="3190"/>
      <c r="U1" s="3190"/>
      <c r="V1" s="3190"/>
      <c r="W1" s="3190"/>
      <c r="X1" s="3190"/>
      <c r="Y1" s="3190"/>
      <c r="Z1" s="3190"/>
      <c r="AA1" s="3190"/>
      <c r="AB1" s="3190"/>
      <c r="AC1" s="3190"/>
      <c r="AD1" s="3190"/>
      <c r="AE1" s="3190"/>
      <c r="AF1" s="3190"/>
      <c r="AG1" s="3190"/>
      <c r="AH1" s="3191"/>
      <c r="AI1" s="769" t="s">
        <v>0</v>
      </c>
      <c r="AJ1" s="245" t="s">
        <v>1784</v>
      </c>
    </row>
    <row r="2" spans="1:36" ht="15" x14ac:dyDescent="0.25">
      <c r="A2" s="3190"/>
      <c r="B2" s="3190"/>
      <c r="C2" s="3190"/>
      <c r="D2" s="3190"/>
      <c r="E2" s="3190"/>
      <c r="F2" s="3190"/>
      <c r="G2" s="3190"/>
      <c r="H2" s="3190"/>
      <c r="I2" s="3190"/>
      <c r="J2" s="3190"/>
      <c r="K2" s="3190"/>
      <c r="L2" s="3190"/>
      <c r="M2" s="3190"/>
      <c r="N2" s="3190"/>
      <c r="O2" s="3190"/>
      <c r="P2" s="3190"/>
      <c r="Q2" s="3190"/>
      <c r="R2" s="3190"/>
      <c r="S2" s="3190"/>
      <c r="T2" s="3190"/>
      <c r="U2" s="3190"/>
      <c r="V2" s="3190"/>
      <c r="W2" s="3190"/>
      <c r="X2" s="3190"/>
      <c r="Y2" s="3190"/>
      <c r="Z2" s="3190"/>
      <c r="AA2" s="3190"/>
      <c r="AB2" s="3190"/>
      <c r="AC2" s="3190"/>
      <c r="AD2" s="3190"/>
      <c r="AE2" s="3190"/>
      <c r="AF2" s="3190"/>
      <c r="AG2" s="3190"/>
      <c r="AH2" s="3191"/>
      <c r="AI2" s="770" t="s">
        <v>1</v>
      </c>
      <c r="AJ2" s="246">
        <v>5</v>
      </c>
    </row>
    <row r="3" spans="1:36" ht="15" x14ac:dyDescent="0.25">
      <c r="A3" s="3190"/>
      <c r="B3" s="3190"/>
      <c r="C3" s="3190"/>
      <c r="D3" s="3190"/>
      <c r="E3" s="3190"/>
      <c r="F3" s="3190"/>
      <c r="G3" s="3190"/>
      <c r="H3" s="3190"/>
      <c r="I3" s="3190"/>
      <c r="J3" s="3190"/>
      <c r="K3" s="3190"/>
      <c r="L3" s="3190"/>
      <c r="M3" s="3190"/>
      <c r="N3" s="3190"/>
      <c r="O3" s="3190"/>
      <c r="P3" s="3190"/>
      <c r="Q3" s="3190"/>
      <c r="R3" s="3190"/>
      <c r="S3" s="3190"/>
      <c r="T3" s="3190"/>
      <c r="U3" s="3190"/>
      <c r="V3" s="3190"/>
      <c r="W3" s="3190"/>
      <c r="X3" s="3190"/>
      <c r="Y3" s="3190"/>
      <c r="Z3" s="3190"/>
      <c r="AA3" s="3190"/>
      <c r="AB3" s="3190"/>
      <c r="AC3" s="3190"/>
      <c r="AD3" s="3190"/>
      <c r="AE3" s="3190"/>
      <c r="AF3" s="3190"/>
      <c r="AG3" s="3190"/>
      <c r="AH3" s="3191"/>
      <c r="AI3" s="769" t="s">
        <v>2</v>
      </c>
      <c r="AJ3" s="247" t="s">
        <v>1785</v>
      </c>
    </row>
    <row r="4" spans="1:36" ht="19.5" customHeight="1" x14ac:dyDescent="0.2">
      <c r="A4" s="3192"/>
      <c r="B4" s="3192"/>
      <c r="C4" s="3192"/>
      <c r="D4" s="3192"/>
      <c r="E4" s="3192"/>
      <c r="F4" s="3192"/>
      <c r="G4" s="3192"/>
      <c r="H4" s="3192"/>
      <c r="I4" s="3192"/>
      <c r="J4" s="3192"/>
      <c r="K4" s="3192"/>
      <c r="L4" s="3192"/>
      <c r="M4" s="3192"/>
      <c r="N4" s="3192"/>
      <c r="O4" s="3192"/>
      <c r="P4" s="3192"/>
      <c r="Q4" s="3192"/>
      <c r="R4" s="3192"/>
      <c r="S4" s="3192"/>
      <c r="T4" s="3192"/>
      <c r="U4" s="3192"/>
      <c r="V4" s="3192"/>
      <c r="W4" s="3192"/>
      <c r="X4" s="3192"/>
      <c r="Y4" s="3192"/>
      <c r="Z4" s="3192"/>
      <c r="AA4" s="3192"/>
      <c r="AB4" s="3192"/>
      <c r="AC4" s="3192"/>
      <c r="AD4" s="3192"/>
      <c r="AE4" s="3192"/>
      <c r="AF4" s="3192"/>
      <c r="AG4" s="3192"/>
      <c r="AH4" s="3193"/>
      <c r="AI4" s="772" t="s">
        <v>3</v>
      </c>
      <c r="AJ4" s="248" t="s">
        <v>4</v>
      </c>
    </row>
    <row r="5" spans="1:36" ht="39.75" customHeight="1" x14ac:dyDescent="0.2">
      <c r="A5" s="3178" t="s">
        <v>5</v>
      </c>
      <c r="B5" s="3178"/>
      <c r="C5" s="3178"/>
      <c r="D5" s="3178"/>
      <c r="E5" s="3178"/>
      <c r="F5" s="3178"/>
      <c r="G5" s="3178"/>
      <c r="H5" s="3178"/>
      <c r="I5" s="3178"/>
      <c r="J5" s="3178"/>
      <c r="K5" s="3180" t="s">
        <v>6</v>
      </c>
      <c r="L5" s="3180"/>
      <c r="M5" s="3180"/>
      <c r="N5" s="3180"/>
      <c r="O5" s="3180"/>
      <c r="P5" s="3180"/>
      <c r="Q5" s="3180"/>
      <c r="R5" s="3180"/>
      <c r="S5" s="3180"/>
      <c r="T5" s="3180"/>
      <c r="U5" s="3180"/>
      <c r="V5" s="3180"/>
      <c r="W5" s="3180"/>
      <c r="X5" s="3180"/>
      <c r="Y5" s="3180"/>
      <c r="Z5" s="3180"/>
      <c r="AA5" s="3180"/>
      <c r="AB5" s="3180"/>
      <c r="AC5" s="3180"/>
      <c r="AD5" s="3180"/>
      <c r="AE5" s="3180"/>
      <c r="AF5" s="3180"/>
      <c r="AG5" s="3180"/>
      <c r="AH5" s="3180"/>
      <c r="AI5" s="3180"/>
      <c r="AJ5" s="3180"/>
    </row>
    <row r="6" spans="1:36" ht="21.75" customHeight="1" x14ac:dyDescent="0.2">
      <c r="A6" s="3178"/>
      <c r="B6" s="3178"/>
      <c r="C6" s="3178"/>
      <c r="D6" s="3178"/>
      <c r="E6" s="3178"/>
      <c r="F6" s="3178"/>
      <c r="G6" s="3178"/>
      <c r="H6" s="3178"/>
      <c r="I6" s="3178"/>
      <c r="J6" s="3178"/>
      <c r="K6" s="3181"/>
      <c r="L6" s="3181"/>
      <c r="M6" s="3181"/>
      <c r="N6" s="3181"/>
      <c r="O6" s="3181"/>
      <c r="P6" s="3181"/>
      <c r="Q6" s="3181"/>
      <c r="R6" s="3181"/>
      <c r="S6" s="3181"/>
      <c r="T6" s="3181"/>
      <c r="U6" s="3181"/>
      <c r="V6" s="3182" t="s">
        <v>7</v>
      </c>
      <c r="W6" s="3183"/>
      <c r="X6" s="3183"/>
      <c r="Y6" s="3183"/>
      <c r="Z6" s="3183"/>
      <c r="AA6" s="3183"/>
      <c r="AB6" s="3183"/>
      <c r="AC6" s="3183"/>
      <c r="AD6" s="3183"/>
      <c r="AE6" s="3183"/>
      <c r="AF6" s="3183"/>
      <c r="AG6" s="3183"/>
      <c r="AH6" s="3184"/>
      <c r="AI6" s="3184"/>
      <c r="AJ6" s="3185"/>
    </row>
    <row r="7" spans="1:36" ht="21" customHeight="1" x14ac:dyDescent="0.2">
      <c r="A7" s="3179"/>
      <c r="B7" s="3179"/>
      <c r="C7" s="3179"/>
      <c r="D7" s="3179"/>
      <c r="E7" s="3179"/>
      <c r="F7" s="3179"/>
      <c r="G7" s="3179"/>
      <c r="H7" s="3179"/>
      <c r="I7" s="3179"/>
      <c r="J7" s="3179"/>
      <c r="K7" s="3186"/>
      <c r="L7" s="3186"/>
      <c r="M7" s="3186"/>
      <c r="N7" s="3186"/>
      <c r="O7" s="3186"/>
      <c r="P7" s="3186"/>
      <c r="Q7" s="3186"/>
      <c r="R7" s="3186"/>
      <c r="S7" s="3186"/>
      <c r="T7" s="3186"/>
      <c r="U7" s="3186"/>
      <c r="V7" s="3187" t="s">
        <v>1343</v>
      </c>
      <c r="W7" s="3188"/>
      <c r="X7" s="3188"/>
      <c r="Y7" s="3188"/>
      <c r="Z7" s="3188"/>
      <c r="AA7" s="3189"/>
      <c r="AB7" s="3187" t="s">
        <v>24</v>
      </c>
      <c r="AC7" s="3188"/>
      <c r="AD7" s="3188"/>
      <c r="AE7" s="3188"/>
      <c r="AF7" s="3188"/>
      <c r="AG7" s="3188"/>
      <c r="AH7" s="3186"/>
      <c r="AI7" s="3186"/>
      <c r="AJ7" s="3186"/>
    </row>
    <row r="8" spans="1:36" s="186" customFormat="1" ht="162.75" x14ac:dyDescent="0.25">
      <c r="A8" s="1491" t="s">
        <v>8</v>
      </c>
      <c r="B8" s="1491" t="s">
        <v>1344</v>
      </c>
      <c r="C8" s="1491" t="s">
        <v>8</v>
      </c>
      <c r="D8" s="1491" t="s">
        <v>1345</v>
      </c>
      <c r="E8" s="1491" t="s">
        <v>8</v>
      </c>
      <c r="F8" s="1491" t="s">
        <v>1346</v>
      </c>
      <c r="G8" s="1491" t="s">
        <v>8</v>
      </c>
      <c r="H8" s="1491" t="s">
        <v>1347</v>
      </c>
      <c r="I8" s="1492" t="s">
        <v>13</v>
      </c>
      <c r="J8" s="1493" t="s">
        <v>1348</v>
      </c>
      <c r="K8" s="1492" t="s">
        <v>15</v>
      </c>
      <c r="L8" s="1492" t="s">
        <v>8</v>
      </c>
      <c r="M8" s="1492" t="s">
        <v>1349</v>
      </c>
      <c r="N8" s="1492" t="s">
        <v>17</v>
      </c>
      <c r="O8" s="1492" t="s">
        <v>1350</v>
      </c>
      <c r="P8" s="1492" t="s">
        <v>19</v>
      </c>
      <c r="Q8" s="1492" t="s">
        <v>20</v>
      </c>
      <c r="R8" s="1492" t="s">
        <v>21</v>
      </c>
      <c r="S8" s="1494" t="s">
        <v>18</v>
      </c>
      <c r="T8" s="1492" t="s">
        <v>8</v>
      </c>
      <c r="U8" s="1492" t="s">
        <v>22</v>
      </c>
      <c r="V8" s="1538" t="s">
        <v>259</v>
      </c>
      <c r="W8" s="1538" t="s">
        <v>29</v>
      </c>
      <c r="X8" s="1538" t="s">
        <v>30</v>
      </c>
      <c r="Y8" s="1538" t="s">
        <v>31</v>
      </c>
      <c r="Z8" s="1538" t="s">
        <v>32</v>
      </c>
      <c r="AA8" s="1538" t="s">
        <v>33</v>
      </c>
      <c r="AB8" s="1538" t="s">
        <v>34</v>
      </c>
      <c r="AC8" s="1538" t="s">
        <v>35</v>
      </c>
      <c r="AD8" s="1538" t="s">
        <v>36</v>
      </c>
      <c r="AE8" s="1538" t="s">
        <v>37</v>
      </c>
      <c r="AF8" s="1538" t="s">
        <v>38</v>
      </c>
      <c r="AG8" s="1538" t="s">
        <v>39</v>
      </c>
      <c r="AH8" s="1490" t="s">
        <v>25</v>
      </c>
      <c r="AI8" s="1490" t="s">
        <v>26</v>
      </c>
      <c r="AJ8" s="185" t="s">
        <v>27</v>
      </c>
    </row>
    <row r="9" spans="1:36" s="188" customFormat="1" ht="31.5" customHeight="1" x14ac:dyDescent="0.2">
      <c r="A9" s="187">
        <v>3</v>
      </c>
      <c r="B9" s="3200" t="s">
        <v>537</v>
      </c>
      <c r="C9" s="3200"/>
      <c r="D9" s="3200"/>
      <c r="E9" s="3200"/>
      <c r="F9" s="3200"/>
      <c r="G9" s="3200"/>
      <c r="H9" s="3200"/>
      <c r="I9" s="3200"/>
      <c r="J9" s="3200"/>
      <c r="K9" s="3200"/>
      <c r="L9" s="3200"/>
      <c r="M9" s="3200"/>
      <c r="N9" s="3200"/>
      <c r="O9" s="3200"/>
      <c r="P9" s="3200"/>
      <c r="Q9" s="3200"/>
      <c r="R9" s="3200"/>
      <c r="S9" s="3200"/>
      <c r="T9" s="3200"/>
      <c r="U9" s="3200"/>
      <c r="V9" s="3200"/>
      <c r="W9" s="3200"/>
      <c r="X9" s="3200"/>
      <c r="Y9" s="3200"/>
      <c r="Z9" s="3200"/>
      <c r="AA9" s="3200"/>
      <c r="AB9" s="3200"/>
      <c r="AC9" s="3200"/>
      <c r="AD9" s="3200"/>
      <c r="AE9" s="3200"/>
      <c r="AF9" s="3200"/>
      <c r="AG9" s="3200"/>
      <c r="AH9" s="3200"/>
      <c r="AI9" s="3200"/>
      <c r="AJ9" s="3200"/>
    </row>
    <row r="10" spans="1:36" s="188" customFormat="1" ht="24.75" customHeight="1" x14ac:dyDescent="0.2">
      <c r="A10" s="3201"/>
      <c r="B10" s="3202"/>
      <c r="C10" s="189">
        <v>20</v>
      </c>
      <c r="D10" s="3205" t="s">
        <v>1351</v>
      </c>
      <c r="E10" s="3205"/>
      <c r="F10" s="3205"/>
      <c r="G10" s="3205"/>
      <c r="H10" s="3205"/>
      <c r="I10" s="3205"/>
      <c r="J10" s="3205"/>
      <c r="K10" s="3205"/>
      <c r="L10" s="3205"/>
      <c r="M10" s="3205"/>
      <c r="N10" s="3205"/>
      <c r="O10" s="3205"/>
      <c r="P10" s="3205"/>
      <c r="Q10" s="3205"/>
      <c r="R10" s="3205"/>
      <c r="S10" s="3205"/>
      <c r="T10" s="3205"/>
      <c r="U10" s="3205"/>
      <c r="V10" s="3205"/>
      <c r="W10" s="3205"/>
      <c r="X10" s="3205"/>
      <c r="Y10" s="3205"/>
      <c r="Z10" s="3205"/>
      <c r="AA10" s="3205"/>
      <c r="AB10" s="3205"/>
      <c r="AC10" s="3205"/>
      <c r="AD10" s="3205"/>
      <c r="AE10" s="3205"/>
      <c r="AF10" s="3205"/>
      <c r="AG10" s="3205"/>
      <c r="AH10" s="3205"/>
      <c r="AI10" s="3205"/>
      <c r="AJ10" s="3205"/>
    </row>
    <row r="11" spans="1:36" s="188" customFormat="1" ht="27" customHeight="1" x14ac:dyDescent="0.2">
      <c r="A11" s="3203"/>
      <c r="B11" s="3204"/>
      <c r="C11" s="3194"/>
      <c r="D11" s="3194"/>
      <c r="E11" s="190">
        <v>68</v>
      </c>
      <c r="F11" s="191" t="s">
        <v>1352</v>
      </c>
      <c r="G11" s="191"/>
      <c r="H11" s="192"/>
      <c r="I11" s="193"/>
      <c r="J11" s="194"/>
      <c r="K11" s="194"/>
      <c r="L11" s="194"/>
      <c r="M11" s="195"/>
      <c r="N11" s="194"/>
      <c r="O11" s="194"/>
      <c r="P11" s="195"/>
      <c r="Q11" s="195"/>
      <c r="R11" s="1467"/>
      <c r="S11" s="196"/>
      <c r="T11" s="194"/>
      <c r="U11" s="195"/>
      <c r="V11" s="194"/>
      <c r="W11" s="194"/>
      <c r="X11" s="194"/>
      <c r="Y11" s="194"/>
      <c r="Z11" s="194"/>
      <c r="AA11" s="194"/>
      <c r="AB11" s="194"/>
      <c r="AC11" s="194"/>
      <c r="AD11" s="194"/>
      <c r="AE11" s="194"/>
      <c r="AF11" s="194"/>
      <c r="AG11" s="194"/>
      <c r="AH11" s="197"/>
      <c r="AI11" s="197"/>
      <c r="AJ11" s="198"/>
    </row>
    <row r="12" spans="1:36" s="188" customFormat="1" ht="21" customHeight="1" x14ac:dyDescent="0.2">
      <c r="A12" s="3203"/>
      <c r="B12" s="3204"/>
      <c r="C12" s="3194"/>
      <c r="D12" s="3194"/>
      <c r="E12" s="3206" t="s">
        <v>150</v>
      </c>
      <c r="F12" s="3206"/>
      <c r="G12" s="3194">
        <v>202</v>
      </c>
      <c r="H12" s="3207" t="s">
        <v>1353</v>
      </c>
      <c r="I12" s="3194" t="s">
        <v>1354</v>
      </c>
      <c r="J12" s="3194">
        <v>23</v>
      </c>
      <c r="K12" s="3195" t="s">
        <v>1355</v>
      </c>
      <c r="L12" s="3194">
        <v>161</v>
      </c>
      <c r="M12" s="3198" t="s">
        <v>1356</v>
      </c>
      <c r="N12" s="3199">
        <f>+(S12+S17)/O12</f>
        <v>0.5274343321373095</v>
      </c>
      <c r="O12" s="3208">
        <v>716676896</v>
      </c>
      <c r="P12" s="3209" t="s">
        <v>1357</v>
      </c>
      <c r="Q12" s="3210" t="s">
        <v>1358</v>
      </c>
      <c r="R12" s="3213" t="s">
        <v>1359</v>
      </c>
      <c r="S12" s="3216">
        <v>310000000</v>
      </c>
      <c r="T12" s="3218">
        <v>4</v>
      </c>
      <c r="U12" s="3207" t="s">
        <v>1360</v>
      </c>
      <c r="V12" s="3217">
        <v>3525</v>
      </c>
      <c r="W12" s="3222">
        <v>4164</v>
      </c>
      <c r="X12" s="3194">
        <v>4491</v>
      </c>
      <c r="Y12" s="3217"/>
      <c r="Z12" s="3217"/>
      <c r="AA12" s="3217"/>
      <c r="AB12" s="3217"/>
      <c r="AC12" s="3217"/>
      <c r="AD12" s="3217"/>
      <c r="AE12" s="3217"/>
      <c r="AF12" s="3217"/>
      <c r="AG12" s="3217"/>
      <c r="AH12" s="3219">
        <v>42774</v>
      </c>
      <c r="AI12" s="3219">
        <v>42923</v>
      </c>
      <c r="AJ12" s="3223" t="s">
        <v>1361</v>
      </c>
    </row>
    <row r="13" spans="1:36" s="188" customFormat="1" ht="12" customHeight="1" x14ac:dyDescent="0.2">
      <c r="A13" s="3203"/>
      <c r="B13" s="3204"/>
      <c r="C13" s="3194"/>
      <c r="D13" s="3194"/>
      <c r="E13" s="3206"/>
      <c r="F13" s="3206"/>
      <c r="G13" s="3194"/>
      <c r="H13" s="3207"/>
      <c r="I13" s="3194"/>
      <c r="J13" s="3194"/>
      <c r="K13" s="3196"/>
      <c r="L13" s="3194"/>
      <c r="M13" s="3198"/>
      <c r="N13" s="3199"/>
      <c r="O13" s="3208"/>
      <c r="P13" s="3209"/>
      <c r="Q13" s="3211"/>
      <c r="R13" s="3214"/>
      <c r="S13" s="3216"/>
      <c r="T13" s="3218"/>
      <c r="U13" s="3207"/>
      <c r="V13" s="3217"/>
      <c r="W13" s="3222"/>
      <c r="X13" s="3194"/>
      <c r="Y13" s="3217"/>
      <c r="Z13" s="3217"/>
      <c r="AA13" s="3217"/>
      <c r="AB13" s="3217"/>
      <c r="AC13" s="3217"/>
      <c r="AD13" s="3217"/>
      <c r="AE13" s="3217"/>
      <c r="AF13" s="3217"/>
      <c r="AG13" s="3217"/>
      <c r="AH13" s="3219"/>
      <c r="AI13" s="3219"/>
      <c r="AJ13" s="3223"/>
    </row>
    <row r="14" spans="1:36" s="188" customFormat="1" ht="12" customHeight="1" x14ac:dyDescent="0.2">
      <c r="A14" s="3203"/>
      <c r="B14" s="3204"/>
      <c r="C14" s="3194"/>
      <c r="D14" s="3194"/>
      <c r="E14" s="3206"/>
      <c r="F14" s="3206"/>
      <c r="G14" s="3194"/>
      <c r="H14" s="3207"/>
      <c r="I14" s="3194"/>
      <c r="J14" s="3194"/>
      <c r="K14" s="3196"/>
      <c r="L14" s="3194"/>
      <c r="M14" s="3198"/>
      <c r="N14" s="3199"/>
      <c r="O14" s="3208"/>
      <c r="P14" s="3209"/>
      <c r="Q14" s="3211"/>
      <c r="R14" s="3214"/>
      <c r="S14" s="3216"/>
      <c r="T14" s="3218"/>
      <c r="U14" s="3207"/>
      <c r="V14" s="3217"/>
      <c r="W14" s="3222"/>
      <c r="X14" s="3194"/>
      <c r="Y14" s="3217"/>
      <c r="Z14" s="3217"/>
      <c r="AA14" s="3217"/>
      <c r="AB14" s="3217"/>
      <c r="AC14" s="3217"/>
      <c r="AD14" s="3217"/>
      <c r="AE14" s="3217"/>
      <c r="AF14" s="3217"/>
      <c r="AG14" s="3217"/>
      <c r="AH14" s="3219"/>
      <c r="AI14" s="3219"/>
      <c r="AJ14" s="3223"/>
    </row>
    <row r="15" spans="1:36" ht="27" customHeight="1" x14ac:dyDescent="0.2">
      <c r="A15" s="3203"/>
      <c r="B15" s="3204"/>
      <c r="C15" s="3194"/>
      <c r="D15" s="3194"/>
      <c r="E15" s="3206"/>
      <c r="F15" s="3206"/>
      <c r="G15" s="3194"/>
      <c r="H15" s="3207"/>
      <c r="I15" s="3194"/>
      <c r="J15" s="3194"/>
      <c r="K15" s="3197"/>
      <c r="L15" s="3194"/>
      <c r="M15" s="3198"/>
      <c r="N15" s="3199"/>
      <c r="O15" s="3208"/>
      <c r="P15" s="3209"/>
      <c r="Q15" s="3211"/>
      <c r="R15" s="3214"/>
      <c r="S15" s="3216"/>
      <c r="T15" s="3218"/>
      <c r="U15" s="3207"/>
      <c r="V15" s="3217"/>
      <c r="W15" s="3222"/>
      <c r="X15" s="3194"/>
      <c r="Y15" s="3217"/>
      <c r="Z15" s="3217"/>
      <c r="AA15" s="3217"/>
      <c r="AB15" s="3217"/>
      <c r="AC15" s="3217"/>
      <c r="AD15" s="3217"/>
      <c r="AE15" s="3217"/>
      <c r="AF15" s="3217"/>
      <c r="AG15" s="3217"/>
      <c r="AH15" s="3219"/>
      <c r="AI15" s="3219"/>
      <c r="AJ15" s="3223"/>
    </row>
    <row r="16" spans="1:36" ht="27" customHeight="1" x14ac:dyDescent="0.2">
      <c r="A16" s="3203"/>
      <c r="B16" s="3204"/>
      <c r="C16" s="3194"/>
      <c r="D16" s="3194"/>
      <c r="E16" s="3206"/>
      <c r="F16" s="3206"/>
      <c r="G16" s="3194"/>
      <c r="H16" s="3207"/>
      <c r="I16" s="3194"/>
      <c r="J16" s="3194"/>
      <c r="K16" s="199" t="s">
        <v>1362</v>
      </c>
      <c r="L16" s="3194"/>
      <c r="M16" s="3198"/>
      <c r="N16" s="3199"/>
      <c r="O16" s="3208"/>
      <c r="P16" s="3209"/>
      <c r="Q16" s="3211"/>
      <c r="R16" s="3215"/>
      <c r="S16" s="482">
        <v>60000000</v>
      </c>
      <c r="T16" s="472"/>
      <c r="U16" s="469" t="s">
        <v>1363</v>
      </c>
      <c r="V16" s="3217"/>
      <c r="W16" s="3222"/>
      <c r="X16" s="3194"/>
      <c r="Y16" s="3217"/>
      <c r="Z16" s="3217"/>
      <c r="AA16" s="3217"/>
      <c r="AB16" s="3217"/>
      <c r="AC16" s="3217"/>
      <c r="AD16" s="3217"/>
      <c r="AE16" s="3217"/>
      <c r="AF16" s="3217"/>
      <c r="AG16" s="3217"/>
      <c r="AH16" s="3219"/>
      <c r="AI16" s="3219"/>
      <c r="AJ16" s="3223"/>
    </row>
    <row r="17" spans="1:39" ht="45" customHeight="1" x14ac:dyDescent="0.2">
      <c r="A17" s="3203"/>
      <c r="B17" s="3204"/>
      <c r="C17" s="3194"/>
      <c r="D17" s="3194"/>
      <c r="E17" s="3206"/>
      <c r="F17" s="3206"/>
      <c r="G17" s="3194"/>
      <c r="H17" s="3207"/>
      <c r="I17" s="3194"/>
      <c r="J17" s="3194"/>
      <c r="K17" s="199" t="s">
        <v>1362</v>
      </c>
      <c r="L17" s="3194"/>
      <c r="M17" s="3198"/>
      <c r="N17" s="3199"/>
      <c r="O17" s="3208"/>
      <c r="P17" s="3209"/>
      <c r="Q17" s="3211"/>
      <c r="R17" s="1468" t="s">
        <v>1364</v>
      </c>
      <c r="S17" s="482">
        <v>68000000</v>
      </c>
      <c r="T17" s="472">
        <v>3</v>
      </c>
      <c r="U17" s="469" t="s">
        <v>1363</v>
      </c>
      <c r="V17" s="3217"/>
      <c r="W17" s="3222"/>
      <c r="X17" s="3194"/>
      <c r="Y17" s="3217"/>
      <c r="Z17" s="3217"/>
      <c r="AA17" s="3217"/>
      <c r="AB17" s="3217"/>
      <c r="AC17" s="3217"/>
      <c r="AD17" s="3217"/>
      <c r="AE17" s="3217"/>
      <c r="AF17" s="3217"/>
      <c r="AG17" s="3217"/>
      <c r="AH17" s="3219"/>
      <c r="AI17" s="3219"/>
      <c r="AJ17" s="3223"/>
    </row>
    <row r="18" spans="1:39" ht="56.25" customHeight="1" x14ac:dyDescent="0.2">
      <c r="A18" s="3203"/>
      <c r="B18" s="3204"/>
      <c r="C18" s="3194"/>
      <c r="D18" s="3194"/>
      <c r="E18" s="3206"/>
      <c r="F18" s="3206"/>
      <c r="G18" s="470">
        <v>203</v>
      </c>
      <c r="H18" s="469" t="s">
        <v>1365</v>
      </c>
      <c r="I18" s="470" t="s">
        <v>1354</v>
      </c>
      <c r="J18" s="470">
        <v>20</v>
      </c>
      <c r="K18" s="200" t="s">
        <v>1366</v>
      </c>
      <c r="L18" s="3194"/>
      <c r="M18" s="3198"/>
      <c r="N18" s="474">
        <f>S18/O12</f>
        <v>0.22325262735970772</v>
      </c>
      <c r="O18" s="3208"/>
      <c r="P18" s="3209"/>
      <c r="Q18" s="3212"/>
      <c r="R18" s="1468" t="s">
        <v>1367</v>
      </c>
      <c r="S18" s="482">
        <v>160000000</v>
      </c>
      <c r="T18" s="472">
        <v>3</v>
      </c>
      <c r="U18" s="469" t="s">
        <v>1363</v>
      </c>
      <c r="V18" s="3217"/>
      <c r="W18" s="3222"/>
      <c r="X18" s="3194"/>
      <c r="Y18" s="3217"/>
      <c r="Z18" s="3217"/>
      <c r="AA18" s="3217"/>
      <c r="AB18" s="3217"/>
      <c r="AC18" s="3217"/>
      <c r="AD18" s="3217"/>
      <c r="AE18" s="3217"/>
      <c r="AF18" s="3217"/>
      <c r="AG18" s="3217"/>
      <c r="AH18" s="3219"/>
      <c r="AI18" s="3219"/>
      <c r="AJ18" s="3223"/>
    </row>
    <row r="19" spans="1:39" ht="33" customHeight="1" x14ac:dyDescent="0.2">
      <c r="A19" s="3203"/>
      <c r="B19" s="3204"/>
      <c r="C19" s="3194"/>
      <c r="D19" s="3194"/>
      <c r="E19" s="190">
        <v>69</v>
      </c>
      <c r="F19" s="201" t="s">
        <v>1368</v>
      </c>
      <c r="G19" s="201"/>
      <c r="H19" s="202"/>
      <c r="I19" s="203"/>
      <c r="J19" s="203"/>
      <c r="K19" s="203"/>
      <c r="L19" s="203"/>
      <c r="M19" s="195"/>
      <c r="N19" s="203"/>
      <c r="O19" s="203"/>
      <c r="P19" s="195"/>
      <c r="Q19" s="195"/>
      <c r="R19" s="1467"/>
      <c r="S19" s="196"/>
      <c r="T19" s="203"/>
      <c r="U19" s="195"/>
      <c r="V19" s="203"/>
      <c r="W19" s="203"/>
      <c r="X19" s="203"/>
      <c r="Y19" s="203"/>
      <c r="Z19" s="203"/>
      <c r="AA19" s="203"/>
      <c r="AB19" s="203"/>
      <c r="AC19" s="203"/>
      <c r="AD19" s="203"/>
      <c r="AE19" s="203"/>
      <c r="AF19" s="203"/>
      <c r="AG19" s="203"/>
      <c r="AH19" s="204"/>
      <c r="AI19" s="204"/>
      <c r="AJ19" s="205"/>
    </row>
    <row r="20" spans="1:39" ht="42.75" x14ac:dyDescent="0.2">
      <c r="A20" s="3203"/>
      <c r="B20" s="3204"/>
      <c r="C20" s="3194"/>
      <c r="D20" s="3194"/>
      <c r="E20" s="3194"/>
      <c r="F20" s="3194"/>
      <c r="G20" s="3194">
        <v>204</v>
      </c>
      <c r="H20" s="3207" t="s">
        <v>1369</v>
      </c>
      <c r="I20" s="3194" t="s">
        <v>1354</v>
      </c>
      <c r="J20" s="3194">
        <v>13</v>
      </c>
      <c r="K20" s="3194" t="s">
        <v>1370</v>
      </c>
      <c r="L20" s="3194">
        <v>161</v>
      </c>
      <c r="M20" s="3207" t="s">
        <v>1356</v>
      </c>
      <c r="N20" s="3199">
        <f>+(S20+S21)/O20</f>
        <v>0.16559330524309243</v>
      </c>
      <c r="O20" s="3218">
        <v>716676896</v>
      </c>
      <c r="P20" s="3207" t="str">
        <f>+P12</f>
        <v xml:space="preserve">Incrementar los niveles de desarrollo en el deporte formativo y competitivo del departamento del quindio </v>
      </c>
      <c r="Q20" s="3207" t="str">
        <f>+Q12</f>
        <v>Fortalecer los procesos con deportistas de altos logros</v>
      </c>
      <c r="R20" s="3207" t="s">
        <v>1371</v>
      </c>
      <c r="S20" s="472">
        <v>113400000</v>
      </c>
      <c r="T20" s="472">
        <v>4</v>
      </c>
      <c r="U20" s="469" t="s">
        <v>1372</v>
      </c>
      <c r="V20" s="3194">
        <v>3525</v>
      </c>
      <c r="W20" s="3194">
        <v>4164</v>
      </c>
      <c r="X20" s="3194">
        <v>4491</v>
      </c>
      <c r="Y20" s="3224"/>
      <c r="Z20" s="3224"/>
      <c r="AA20" s="3224"/>
      <c r="AB20" s="3224"/>
      <c r="AC20" s="3224"/>
      <c r="AD20" s="3224"/>
      <c r="AE20" s="3224"/>
      <c r="AF20" s="3224"/>
      <c r="AG20" s="3224"/>
      <c r="AH20" s="3221">
        <v>42774</v>
      </c>
      <c r="AI20" s="3221">
        <v>42923</v>
      </c>
      <c r="AJ20" s="3220" t="s">
        <v>1361</v>
      </c>
    </row>
    <row r="21" spans="1:39" ht="28.5" x14ac:dyDescent="0.2">
      <c r="A21" s="3203"/>
      <c r="B21" s="3204"/>
      <c r="C21" s="3194"/>
      <c r="D21" s="3194"/>
      <c r="E21" s="3194"/>
      <c r="F21" s="3194"/>
      <c r="G21" s="3194"/>
      <c r="H21" s="3207"/>
      <c r="I21" s="3194"/>
      <c r="J21" s="3194"/>
      <c r="K21" s="3194"/>
      <c r="L21" s="3194"/>
      <c r="M21" s="3207"/>
      <c r="N21" s="3199"/>
      <c r="O21" s="3218"/>
      <c r="P21" s="3207"/>
      <c r="Q21" s="3207"/>
      <c r="R21" s="3207"/>
      <c r="S21" s="472">
        <v>5276896</v>
      </c>
      <c r="T21" s="472">
        <v>9</v>
      </c>
      <c r="U21" s="469" t="s">
        <v>1373</v>
      </c>
      <c r="V21" s="3194"/>
      <c r="W21" s="3194"/>
      <c r="X21" s="3194"/>
      <c r="Y21" s="3224"/>
      <c r="Z21" s="3224"/>
      <c r="AA21" s="3224"/>
      <c r="AB21" s="3224"/>
      <c r="AC21" s="3224"/>
      <c r="AD21" s="3224"/>
      <c r="AE21" s="3224"/>
      <c r="AF21" s="3224"/>
      <c r="AG21" s="3224"/>
      <c r="AH21" s="3221"/>
      <c r="AI21" s="3221"/>
      <c r="AJ21" s="3220"/>
    </row>
    <row r="22" spans="1:39" ht="38.25" customHeight="1" x14ac:dyDescent="0.2">
      <c r="A22" s="3203"/>
      <c r="B22" s="3204"/>
      <c r="C22" s="3194"/>
      <c r="D22" s="3194"/>
      <c r="E22" s="190">
        <v>70</v>
      </c>
      <c r="F22" s="193" t="s">
        <v>1374</v>
      </c>
      <c r="G22" s="194"/>
      <c r="H22" s="195"/>
      <c r="I22" s="194"/>
      <c r="J22" s="194"/>
      <c r="K22" s="194"/>
      <c r="L22" s="194"/>
      <c r="M22" s="195"/>
      <c r="N22" s="194"/>
      <c r="O22" s="194"/>
      <c r="P22" s="195"/>
      <c r="Q22" s="195"/>
      <c r="R22" s="1467"/>
      <c r="S22" s="196"/>
      <c r="T22" s="194"/>
      <c r="U22" s="195"/>
      <c r="V22" s="194"/>
      <c r="W22" s="194"/>
      <c r="X22" s="194"/>
      <c r="Y22" s="194"/>
      <c r="Z22" s="194"/>
      <c r="AA22" s="194"/>
      <c r="AB22" s="194"/>
      <c r="AC22" s="194"/>
      <c r="AD22" s="194"/>
      <c r="AE22" s="194"/>
      <c r="AF22" s="194"/>
      <c r="AG22" s="194"/>
      <c r="AH22" s="197"/>
      <c r="AI22" s="197"/>
      <c r="AJ22" s="198"/>
    </row>
    <row r="23" spans="1:39" ht="63" customHeight="1" x14ac:dyDescent="0.2">
      <c r="A23" s="3203"/>
      <c r="B23" s="3204"/>
      <c r="C23" s="3194"/>
      <c r="D23" s="3194"/>
      <c r="E23" s="3206"/>
      <c r="F23" s="3206"/>
      <c r="G23" s="3194">
        <v>205</v>
      </c>
      <c r="H23" s="3207" t="s">
        <v>1375</v>
      </c>
      <c r="I23" s="3194" t="s">
        <v>1354</v>
      </c>
      <c r="J23" s="3194">
        <v>1</v>
      </c>
      <c r="K23" s="200" t="s">
        <v>1376</v>
      </c>
      <c r="L23" s="3194">
        <v>162</v>
      </c>
      <c r="M23" s="3207" t="s">
        <v>1377</v>
      </c>
      <c r="N23" s="3199">
        <v>1</v>
      </c>
      <c r="O23" s="3218">
        <v>205652392</v>
      </c>
      <c r="P23" s="3209" t="s">
        <v>1378</v>
      </c>
      <c r="Q23" s="3225" t="s">
        <v>1379</v>
      </c>
      <c r="R23" s="3207" t="s">
        <v>1380</v>
      </c>
      <c r="S23" s="472">
        <v>80000000</v>
      </c>
      <c r="T23" s="472">
        <v>4</v>
      </c>
      <c r="U23" s="483" t="s">
        <v>1360</v>
      </c>
      <c r="V23" s="3218">
        <v>3525</v>
      </c>
      <c r="W23" s="3194">
        <v>4164</v>
      </c>
      <c r="X23" s="3194">
        <v>4491</v>
      </c>
      <c r="Y23" s="3218"/>
      <c r="Z23" s="3218"/>
      <c r="AA23" s="3218"/>
      <c r="AB23" s="3218"/>
      <c r="AC23" s="3218"/>
      <c r="AD23" s="3218"/>
      <c r="AE23" s="3218"/>
      <c r="AF23" s="3218"/>
      <c r="AG23" s="3218"/>
      <c r="AH23" s="3243">
        <v>42774</v>
      </c>
      <c r="AI23" s="3243">
        <v>42863</v>
      </c>
      <c r="AJ23" s="3241" t="s">
        <v>1361</v>
      </c>
    </row>
    <row r="24" spans="1:39" ht="73.5" customHeight="1" x14ac:dyDescent="0.2">
      <c r="A24" s="3203"/>
      <c r="B24" s="3204"/>
      <c r="C24" s="3194"/>
      <c r="D24" s="3194"/>
      <c r="E24" s="3206"/>
      <c r="F24" s="3206"/>
      <c r="G24" s="3194"/>
      <c r="H24" s="3207"/>
      <c r="I24" s="3194"/>
      <c r="J24" s="3194"/>
      <c r="K24" s="470" t="s">
        <v>1381</v>
      </c>
      <c r="L24" s="3194"/>
      <c r="M24" s="3207"/>
      <c r="N24" s="3199"/>
      <c r="O24" s="3218"/>
      <c r="P24" s="3209"/>
      <c r="Q24" s="3225"/>
      <c r="R24" s="3207"/>
      <c r="S24" s="472">
        <v>125652392</v>
      </c>
      <c r="T24" s="472">
        <v>7</v>
      </c>
      <c r="U24" s="469" t="s">
        <v>1382</v>
      </c>
      <c r="V24" s="3218"/>
      <c r="W24" s="3194"/>
      <c r="X24" s="3194"/>
      <c r="Y24" s="3218"/>
      <c r="Z24" s="3218"/>
      <c r="AA24" s="3218"/>
      <c r="AB24" s="3218"/>
      <c r="AC24" s="3218"/>
      <c r="AD24" s="3218"/>
      <c r="AE24" s="3218"/>
      <c r="AF24" s="3218"/>
      <c r="AG24" s="3218"/>
      <c r="AH24" s="3244"/>
      <c r="AI24" s="3244"/>
      <c r="AJ24" s="3242"/>
      <c r="AK24" s="206"/>
      <c r="AL24" s="206"/>
      <c r="AM24" s="206"/>
    </row>
    <row r="25" spans="1:39" ht="36.75" customHeight="1" x14ac:dyDescent="0.2">
      <c r="A25" s="3203"/>
      <c r="B25" s="3204"/>
      <c r="C25" s="3194"/>
      <c r="D25" s="3194"/>
      <c r="E25" s="190">
        <v>71</v>
      </c>
      <c r="F25" s="191" t="s">
        <v>1383</v>
      </c>
      <c r="G25" s="191"/>
      <c r="H25" s="192"/>
      <c r="I25" s="191"/>
      <c r="J25" s="191"/>
      <c r="K25" s="191"/>
      <c r="L25" s="191"/>
      <c r="M25" s="192"/>
      <c r="N25" s="191"/>
      <c r="O25" s="191"/>
      <c r="P25" s="192"/>
      <c r="Q25" s="192"/>
      <c r="R25" s="1469"/>
      <c r="S25" s="207"/>
      <c r="T25" s="191"/>
      <c r="U25" s="192"/>
      <c r="V25" s="191"/>
      <c r="W25" s="191"/>
      <c r="X25" s="191"/>
      <c r="Y25" s="191"/>
      <c r="Z25" s="191"/>
      <c r="AA25" s="191"/>
      <c r="AB25" s="191"/>
      <c r="AC25" s="191"/>
      <c r="AD25" s="191"/>
      <c r="AE25" s="191"/>
      <c r="AF25" s="191"/>
      <c r="AG25" s="191"/>
      <c r="AH25" s="208"/>
      <c r="AI25" s="208"/>
      <c r="AJ25" s="208"/>
    </row>
    <row r="26" spans="1:39" s="206" customFormat="1" ht="44.25" customHeight="1" x14ac:dyDescent="0.2">
      <c r="A26" s="3203"/>
      <c r="B26" s="3204"/>
      <c r="C26" s="3194"/>
      <c r="D26" s="3194"/>
      <c r="E26" s="3194"/>
      <c r="F26" s="3194"/>
      <c r="G26" s="3226">
        <v>206</v>
      </c>
      <c r="H26" s="3227" t="s">
        <v>1384</v>
      </c>
      <c r="I26" s="3228" t="s">
        <v>16</v>
      </c>
      <c r="J26" s="3228">
        <v>12</v>
      </c>
      <c r="K26" s="3195" t="s">
        <v>1385</v>
      </c>
      <c r="L26" s="3195">
        <v>163</v>
      </c>
      <c r="M26" s="3229" t="s">
        <v>1386</v>
      </c>
      <c r="N26" s="3233">
        <f>+(S26+S27)/O26</f>
        <v>0.7388871764968441</v>
      </c>
      <c r="O26" s="3235">
        <v>191898553</v>
      </c>
      <c r="P26" s="3210" t="s">
        <v>1387</v>
      </c>
      <c r="Q26" s="3238" t="s">
        <v>1388</v>
      </c>
      <c r="R26" s="3229" t="s">
        <v>1389</v>
      </c>
      <c r="S26" s="209">
        <v>106800000</v>
      </c>
      <c r="T26" s="3218">
        <v>20</v>
      </c>
      <c r="U26" s="473" t="s">
        <v>1390</v>
      </c>
      <c r="V26" s="3224"/>
      <c r="W26" s="3194">
        <v>4164</v>
      </c>
      <c r="X26" s="3194">
        <v>5851</v>
      </c>
      <c r="Y26" s="3224"/>
      <c r="Z26" s="3224"/>
      <c r="AA26" s="3224"/>
      <c r="AB26" s="3224"/>
      <c r="AC26" s="3224"/>
      <c r="AD26" s="3224"/>
      <c r="AE26" s="3224"/>
      <c r="AF26" s="3224"/>
      <c r="AG26" s="3224"/>
      <c r="AH26" s="3243">
        <v>42774</v>
      </c>
      <c r="AI26" s="3243">
        <v>42923</v>
      </c>
      <c r="AJ26" s="3223" t="s">
        <v>1361</v>
      </c>
    </row>
    <row r="27" spans="1:39" s="206" customFormat="1" ht="27" customHeight="1" x14ac:dyDescent="0.2">
      <c r="A27" s="3203"/>
      <c r="B27" s="3204"/>
      <c r="C27" s="3194"/>
      <c r="D27" s="3194"/>
      <c r="E27" s="3194"/>
      <c r="F27" s="3194"/>
      <c r="G27" s="3226"/>
      <c r="H27" s="3227"/>
      <c r="I27" s="3228"/>
      <c r="J27" s="3228"/>
      <c r="K27" s="3197"/>
      <c r="L27" s="3196"/>
      <c r="M27" s="3230"/>
      <c r="N27" s="3234"/>
      <c r="O27" s="3236"/>
      <c r="P27" s="3211"/>
      <c r="Q27" s="3239"/>
      <c r="R27" s="3231"/>
      <c r="S27" s="209">
        <f>80000000-45008620</f>
        <v>34991380</v>
      </c>
      <c r="T27" s="3218"/>
      <c r="U27" s="473" t="s">
        <v>1391</v>
      </c>
      <c r="V27" s="3224"/>
      <c r="W27" s="3194"/>
      <c r="X27" s="3194"/>
      <c r="Y27" s="3224"/>
      <c r="Z27" s="3224"/>
      <c r="AA27" s="3224"/>
      <c r="AB27" s="3224"/>
      <c r="AC27" s="3224"/>
      <c r="AD27" s="3224"/>
      <c r="AE27" s="3224"/>
      <c r="AF27" s="3224"/>
      <c r="AG27" s="3224"/>
      <c r="AH27" s="3248"/>
      <c r="AI27" s="3248"/>
      <c r="AJ27" s="3223"/>
    </row>
    <row r="28" spans="1:39" s="206" customFormat="1" ht="55.5" customHeight="1" x14ac:dyDescent="0.2">
      <c r="A28" s="3203"/>
      <c r="B28" s="3204"/>
      <c r="C28" s="3194"/>
      <c r="D28" s="3194"/>
      <c r="E28" s="3194"/>
      <c r="F28" s="3194"/>
      <c r="G28" s="3226">
        <v>207</v>
      </c>
      <c r="H28" s="3227" t="s">
        <v>1392</v>
      </c>
      <c r="I28" s="3228" t="s">
        <v>16</v>
      </c>
      <c r="J28" s="3194">
        <v>1</v>
      </c>
      <c r="K28" s="3195" t="s">
        <v>1393</v>
      </c>
      <c r="L28" s="3196"/>
      <c r="M28" s="3230"/>
      <c r="N28" s="3233">
        <f>+(+S28+S29)/O26</f>
        <v>0.15689108400937238</v>
      </c>
      <c r="O28" s="3236"/>
      <c r="P28" s="3211"/>
      <c r="Q28" s="3239"/>
      <c r="R28" s="3229" t="s">
        <v>1394</v>
      </c>
      <c r="S28" s="209">
        <v>107172</v>
      </c>
      <c r="T28" s="3218"/>
      <c r="U28" s="473" t="s">
        <v>185</v>
      </c>
      <c r="V28" s="3224"/>
      <c r="W28" s="3232"/>
      <c r="X28" s="3232"/>
      <c r="Y28" s="3224"/>
      <c r="Z28" s="3224"/>
      <c r="AA28" s="3224"/>
      <c r="AB28" s="3224"/>
      <c r="AC28" s="3224"/>
      <c r="AD28" s="3224"/>
      <c r="AE28" s="3224"/>
      <c r="AF28" s="3224"/>
      <c r="AG28" s="3224"/>
      <c r="AH28" s="3248"/>
      <c r="AI28" s="3248"/>
      <c r="AJ28" s="3245"/>
    </row>
    <row r="29" spans="1:39" s="206" customFormat="1" ht="55.5" customHeight="1" x14ac:dyDescent="0.2">
      <c r="A29" s="3203"/>
      <c r="B29" s="3204"/>
      <c r="C29" s="3194"/>
      <c r="D29" s="3194"/>
      <c r="E29" s="3194"/>
      <c r="F29" s="3194"/>
      <c r="G29" s="3226"/>
      <c r="H29" s="3227"/>
      <c r="I29" s="3228"/>
      <c r="J29" s="3194"/>
      <c r="K29" s="3197"/>
      <c r="L29" s="3196"/>
      <c r="M29" s="3230"/>
      <c r="N29" s="3234"/>
      <c r="O29" s="3236"/>
      <c r="P29" s="3211"/>
      <c r="Q29" s="3239"/>
      <c r="R29" s="3231"/>
      <c r="S29" s="209">
        <v>30000000</v>
      </c>
      <c r="T29" s="3218"/>
      <c r="U29" s="473" t="s">
        <v>1391</v>
      </c>
      <c r="V29" s="3224"/>
      <c r="W29" s="3232"/>
      <c r="X29" s="3232"/>
      <c r="Y29" s="3224"/>
      <c r="Z29" s="3224"/>
      <c r="AA29" s="3224"/>
      <c r="AB29" s="3224"/>
      <c r="AC29" s="3224"/>
      <c r="AD29" s="3224"/>
      <c r="AE29" s="3224"/>
      <c r="AF29" s="3224"/>
      <c r="AG29" s="3224"/>
      <c r="AH29" s="3248"/>
      <c r="AI29" s="3248"/>
      <c r="AJ29" s="3245"/>
    </row>
    <row r="30" spans="1:39" s="206" customFormat="1" ht="55.5" customHeight="1" x14ac:dyDescent="0.2">
      <c r="A30" s="3203"/>
      <c r="B30" s="3204"/>
      <c r="C30" s="3194"/>
      <c r="D30" s="3194"/>
      <c r="E30" s="3194"/>
      <c r="F30" s="3194"/>
      <c r="G30" s="470">
        <v>208</v>
      </c>
      <c r="H30" s="469" t="s">
        <v>1395</v>
      </c>
      <c r="I30" s="470" t="s">
        <v>1354</v>
      </c>
      <c r="J30" s="470">
        <v>1</v>
      </c>
      <c r="K30" s="200" t="s">
        <v>1396</v>
      </c>
      <c r="L30" s="3197"/>
      <c r="M30" s="3231"/>
      <c r="N30" s="474">
        <f>+S30/O26</f>
        <v>0.10422173428269675</v>
      </c>
      <c r="O30" s="3237"/>
      <c r="P30" s="3212"/>
      <c r="Q30" s="3240"/>
      <c r="R30" s="1453" t="s">
        <v>1394</v>
      </c>
      <c r="S30" s="210">
        <v>20000000</v>
      </c>
      <c r="T30" s="3218"/>
      <c r="U30" s="473" t="s">
        <v>185</v>
      </c>
      <c r="V30" s="3224"/>
      <c r="W30" s="3232"/>
      <c r="X30" s="3232"/>
      <c r="Y30" s="3224"/>
      <c r="Z30" s="3224"/>
      <c r="AA30" s="3224"/>
      <c r="AB30" s="3224"/>
      <c r="AC30" s="3224"/>
      <c r="AD30" s="3224"/>
      <c r="AE30" s="3224"/>
      <c r="AF30" s="3224"/>
      <c r="AG30" s="3224"/>
      <c r="AH30" s="3244"/>
      <c r="AI30" s="3244"/>
      <c r="AJ30" s="3245"/>
    </row>
    <row r="31" spans="1:39" ht="36.75" customHeight="1" x14ac:dyDescent="0.2">
      <c r="A31" s="3203"/>
      <c r="B31" s="3204"/>
      <c r="C31" s="189">
        <v>21</v>
      </c>
      <c r="D31" s="211" t="s">
        <v>1397</v>
      </c>
      <c r="E31" s="212"/>
      <c r="F31" s="212"/>
      <c r="G31" s="212"/>
      <c r="H31" s="213"/>
      <c r="I31" s="212"/>
      <c r="J31" s="212"/>
      <c r="K31" s="212"/>
      <c r="L31" s="212"/>
      <c r="M31" s="213"/>
      <c r="N31" s="212"/>
      <c r="O31" s="212"/>
      <c r="P31" s="213"/>
      <c r="Q31" s="213"/>
      <c r="R31" s="1470"/>
      <c r="S31" s="214"/>
      <c r="T31" s="212"/>
      <c r="U31" s="213"/>
      <c r="V31" s="212"/>
      <c r="W31" s="212"/>
      <c r="X31" s="212"/>
      <c r="Y31" s="212"/>
      <c r="Z31" s="212"/>
      <c r="AA31" s="212"/>
      <c r="AB31" s="212"/>
      <c r="AC31" s="212"/>
      <c r="AD31" s="212"/>
      <c r="AE31" s="212"/>
      <c r="AF31" s="212"/>
      <c r="AG31" s="212"/>
      <c r="AH31" s="3246"/>
      <c r="AI31" s="3246"/>
      <c r="AJ31" s="215"/>
    </row>
    <row r="32" spans="1:39" ht="35.25" customHeight="1" x14ac:dyDescent="0.2">
      <c r="A32" s="3203"/>
      <c r="B32" s="3204"/>
      <c r="C32" s="3194"/>
      <c r="D32" s="3194"/>
      <c r="E32" s="190">
        <v>72</v>
      </c>
      <c r="F32" s="201" t="s">
        <v>1398</v>
      </c>
      <c r="G32" s="201"/>
      <c r="H32" s="192"/>
      <c r="I32" s="201"/>
      <c r="J32" s="201"/>
      <c r="K32" s="201"/>
      <c r="L32" s="201"/>
      <c r="M32" s="192"/>
      <c r="N32" s="201"/>
      <c r="O32" s="201"/>
      <c r="P32" s="192"/>
      <c r="Q32" s="192"/>
      <c r="R32" s="1467"/>
      <c r="S32" s="196"/>
      <c r="T32" s="203"/>
      <c r="U32" s="195"/>
      <c r="V32" s="203"/>
      <c r="W32" s="203"/>
      <c r="X32" s="203"/>
      <c r="Y32" s="203"/>
      <c r="Z32" s="203"/>
      <c r="AA32" s="203"/>
      <c r="AB32" s="203"/>
      <c r="AC32" s="203"/>
      <c r="AD32" s="203"/>
      <c r="AE32" s="203"/>
      <c r="AF32" s="203"/>
      <c r="AG32" s="203"/>
      <c r="AH32" s="3247"/>
      <c r="AI32" s="3247"/>
      <c r="AJ32" s="205"/>
    </row>
    <row r="33" spans="1:36" ht="60.75" customHeight="1" x14ac:dyDescent="0.2">
      <c r="A33" s="3203"/>
      <c r="B33" s="3204"/>
      <c r="C33" s="3194"/>
      <c r="D33" s="3194"/>
      <c r="E33" s="3194"/>
      <c r="F33" s="3194"/>
      <c r="G33" s="3228">
        <v>209</v>
      </c>
      <c r="H33" s="3227" t="s">
        <v>1399</v>
      </c>
      <c r="I33" s="3228" t="s">
        <v>16</v>
      </c>
      <c r="J33" s="3228">
        <v>1</v>
      </c>
      <c r="K33" s="3194" t="s">
        <v>1400</v>
      </c>
      <c r="L33" s="3194">
        <v>164</v>
      </c>
      <c r="M33" s="3207" t="s">
        <v>1401</v>
      </c>
      <c r="N33" s="3199">
        <f>+(S33+S34)/O33</f>
        <v>0.27356731189633926</v>
      </c>
      <c r="O33" s="3218">
        <v>95604200</v>
      </c>
      <c r="P33" s="3207" t="s">
        <v>1402</v>
      </c>
      <c r="Q33" s="3225" t="s">
        <v>1403</v>
      </c>
      <c r="R33" s="3249" t="s">
        <v>1404</v>
      </c>
      <c r="S33" s="209">
        <v>8000000</v>
      </c>
      <c r="T33" s="3218" t="s">
        <v>1405</v>
      </c>
      <c r="U33" s="473" t="s">
        <v>185</v>
      </c>
      <c r="V33" s="3195">
        <v>3525</v>
      </c>
      <c r="W33" s="3195">
        <v>17139</v>
      </c>
      <c r="X33" s="3258">
        <v>4167</v>
      </c>
      <c r="Y33" s="3195">
        <v>906</v>
      </c>
      <c r="Z33" s="3194">
        <v>885</v>
      </c>
      <c r="AA33" s="3195">
        <v>718</v>
      </c>
      <c r="AB33" s="3224"/>
      <c r="AC33" s="3224"/>
      <c r="AD33" s="3224"/>
      <c r="AE33" s="3224"/>
      <c r="AF33" s="3194"/>
      <c r="AG33" s="3224"/>
      <c r="AH33" s="3219">
        <v>42786</v>
      </c>
      <c r="AI33" s="3219">
        <v>42935</v>
      </c>
      <c r="AJ33" s="3223" t="s">
        <v>1361</v>
      </c>
    </row>
    <row r="34" spans="1:36" ht="60.75" customHeight="1" x14ac:dyDescent="0.2">
      <c r="A34" s="3203"/>
      <c r="B34" s="3204"/>
      <c r="C34" s="3194"/>
      <c r="D34" s="3194"/>
      <c r="E34" s="3194"/>
      <c r="F34" s="3194"/>
      <c r="G34" s="3228"/>
      <c r="H34" s="3227"/>
      <c r="I34" s="3228"/>
      <c r="J34" s="3228"/>
      <c r="K34" s="3194"/>
      <c r="L34" s="3194"/>
      <c r="M34" s="3207"/>
      <c r="N34" s="3199"/>
      <c r="O34" s="3218"/>
      <c r="P34" s="3207"/>
      <c r="Q34" s="3225"/>
      <c r="R34" s="3249"/>
      <c r="S34" s="209">
        <f>30000000-11845816</f>
        <v>18154184</v>
      </c>
      <c r="T34" s="3218"/>
      <c r="U34" s="473" t="s">
        <v>1391</v>
      </c>
      <c r="V34" s="3196"/>
      <c r="W34" s="3196"/>
      <c r="X34" s="3259"/>
      <c r="Y34" s="3196"/>
      <c r="Z34" s="3194"/>
      <c r="AA34" s="3196"/>
      <c r="AB34" s="3224"/>
      <c r="AC34" s="3224"/>
      <c r="AD34" s="3224"/>
      <c r="AE34" s="3224"/>
      <c r="AF34" s="3194"/>
      <c r="AG34" s="3224"/>
      <c r="AH34" s="3219"/>
      <c r="AI34" s="3219"/>
      <c r="AJ34" s="3223"/>
    </row>
    <row r="35" spans="1:36" ht="54" customHeight="1" x14ac:dyDescent="0.2">
      <c r="A35" s="3203"/>
      <c r="B35" s="3204"/>
      <c r="C35" s="3194"/>
      <c r="D35" s="3194"/>
      <c r="E35" s="3194"/>
      <c r="F35" s="3194"/>
      <c r="G35" s="3228">
        <v>210</v>
      </c>
      <c r="H35" s="3227" t="s">
        <v>1406</v>
      </c>
      <c r="I35" s="3228" t="s">
        <v>16</v>
      </c>
      <c r="J35" s="3228">
        <v>1</v>
      </c>
      <c r="K35" s="3194"/>
      <c r="L35" s="3194"/>
      <c r="M35" s="3207"/>
      <c r="N35" s="3199">
        <f>+(S35+S36)/O33</f>
        <v>0.59254735670608616</v>
      </c>
      <c r="O35" s="3194"/>
      <c r="P35" s="3207"/>
      <c r="Q35" s="3225"/>
      <c r="R35" s="3250" t="s">
        <v>1407</v>
      </c>
      <c r="S35" s="216">
        <v>42000000</v>
      </c>
      <c r="T35" s="3218"/>
      <c r="U35" s="473" t="s">
        <v>185</v>
      </c>
      <c r="V35" s="3196"/>
      <c r="W35" s="3196"/>
      <c r="X35" s="3259"/>
      <c r="Y35" s="3196"/>
      <c r="Z35" s="3194"/>
      <c r="AA35" s="3196"/>
      <c r="AB35" s="3224"/>
      <c r="AC35" s="3224"/>
      <c r="AD35" s="3224"/>
      <c r="AE35" s="3224"/>
      <c r="AF35" s="3194"/>
      <c r="AG35" s="3224"/>
      <c r="AH35" s="3252"/>
      <c r="AI35" s="3252"/>
      <c r="AJ35" s="3245"/>
    </row>
    <row r="36" spans="1:36" ht="54" customHeight="1" x14ac:dyDescent="0.2">
      <c r="A36" s="3203"/>
      <c r="B36" s="3204"/>
      <c r="C36" s="3194"/>
      <c r="D36" s="3194"/>
      <c r="E36" s="3194"/>
      <c r="F36" s="3194"/>
      <c r="G36" s="3228"/>
      <c r="H36" s="3227"/>
      <c r="I36" s="3228"/>
      <c r="J36" s="3228"/>
      <c r="K36" s="3194"/>
      <c r="L36" s="3194"/>
      <c r="M36" s="3207"/>
      <c r="N36" s="3199"/>
      <c r="O36" s="3194"/>
      <c r="P36" s="3207"/>
      <c r="Q36" s="3225"/>
      <c r="R36" s="3251"/>
      <c r="S36" s="209">
        <f>38000000-23349984</f>
        <v>14650016</v>
      </c>
      <c r="T36" s="3218"/>
      <c r="U36" s="473" t="s">
        <v>1391</v>
      </c>
      <c r="V36" s="3196"/>
      <c r="W36" s="3196"/>
      <c r="X36" s="3259"/>
      <c r="Y36" s="3196"/>
      <c r="Z36" s="3194"/>
      <c r="AA36" s="3196"/>
      <c r="AB36" s="3224"/>
      <c r="AC36" s="3224"/>
      <c r="AD36" s="3224"/>
      <c r="AE36" s="3224"/>
      <c r="AF36" s="3194"/>
      <c r="AG36" s="3224"/>
      <c r="AH36" s="3252"/>
      <c r="AI36" s="3252"/>
      <c r="AJ36" s="3245"/>
    </row>
    <row r="37" spans="1:36" ht="70.5" customHeight="1" x14ac:dyDescent="0.2">
      <c r="A37" s="3203"/>
      <c r="B37" s="3204"/>
      <c r="C37" s="3194"/>
      <c r="D37" s="3194"/>
      <c r="E37" s="3194"/>
      <c r="F37" s="3194"/>
      <c r="G37" s="470">
        <v>211</v>
      </c>
      <c r="H37" s="469" t="s">
        <v>1408</v>
      </c>
      <c r="I37" s="470" t="s">
        <v>1354</v>
      </c>
      <c r="J37" s="470">
        <v>1</v>
      </c>
      <c r="K37" s="3194"/>
      <c r="L37" s="3194"/>
      <c r="M37" s="3207"/>
      <c r="N37" s="474">
        <f>+(S37)/O33</f>
        <v>0.13388533139757458</v>
      </c>
      <c r="O37" s="3194"/>
      <c r="P37" s="3207"/>
      <c r="Q37" s="3225"/>
      <c r="R37" s="1454" t="s">
        <v>1409</v>
      </c>
      <c r="S37" s="472">
        <f>30000000-17200000</f>
        <v>12800000</v>
      </c>
      <c r="T37" s="3218"/>
      <c r="U37" s="473" t="s">
        <v>1391</v>
      </c>
      <c r="V37" s="3197"/>
      <c r="W37" s="3197"/>
      <c r="X37" s="3260"/>
      <c r="Y37" s="3197"/>
      <c r="Z37" s="3194"/>
      <c r="AA37" s="3197"/>
      <c r="AB37" s="3224"/>
      <c r="AC37" s="3224"/>
      <c r="AD37" s="3224"/>
      <c r="AE37" s="3224"/>
      <c r="AF37" s="3194"/>
      <c r="AG37" s="3224"/>
      <c r="AH37" s="3252"/>
      <c r="AI37" s="3252"/>
      <c r="AJ37" s="3245"/>
    </row>
    <row r="38" spans="1:36" ht="39" customHeight="1" x14ac:dyDescent="0.2">
      <c r="A38" s="3203"/>
      <c r="B38" s="3204"/>
      <c r="C38" s="3194"/>
      <c r="D38" s="3194"/>
      <c r="E38" s="190">
        <v>73</v>
      </c>
      <c r="F38" s="201" t="s">
        <v>1410</v>
      </c>
      <c r="G38" s="201"/>
      <c r="H38" s="192"/>
      <c r="I38" s="201"/>
      <c r="J38" s="201"/>
      <c r="K38" s="201"/>
      <c r="L38" s="201"/>
      <c r="M38" s="192"/>
      <c r="N38" s="201"/>
      <c r="O38" s="201"/>
      <c r="P38" s="192"/>
      <c r="Q38" s="192"/>
      <c r="R38" s="1467"/>
      <c r="S38" s="196"/>
      <c r="T38" s="203"/>
      <c r="U38" s="195"/>
      <c r="V38" s="203"/>
      <c r="W38" s="203"/>
      <c r="X38" s="203"/>
      <c r="Y38" s="203"/>
      <c r="Z38" s="203"/>
      <c r="AA38" s="203"/>
      <c r="AB38" s="203"/>
      <c r="AC38" s="203"/>
      <c r="AD38" s="203"/>
      <c r="AE38" s="203"/>
      <c r="AF38" s="203"/>
      <c r="AG38" s="203"/>
      <c r="AH38" s="204"/>
      <c r="AI38" s="204"/>
      <c r="AJ38" s="205"/>
    </row>
    <row r="39" spans="1:36" ht="111" customHeight="1" x14ac:dyDescent="0.2">
      <c r="A39" s="3203"/>
      <c r="B39" s="3204"/>
      <c r="C39" s="3194"/>
      <c r="D39" s="3194"/>
      <c r="E39" s="3194"/>
      <c r="F39" s="3194"/>
      <c r="G39" s="3194">
        <v>212</v>
      </c>
      <c r="H39" s="3207" t="s">
        <v>1411</v>
      </c>
      <c r="I39" s="3194" t="s">
        <v>1354</v>
      </c>
      <c r="J39" s="3194">
        <v>1</v>
      </c>
      <c r="K39" s="3194" t="s">
        <v>1412</v>
      </c>
      <c r="L39" s="3194">
        <v>165</v>
      </c>
      <c r="M39" s="3207" t="s">
        <v>1413</v>
      </c>
      <c r="N39" s="3060">
        <v>1</v>
      </c>
      <c r="O39" s="3194">
        <v>154700000</v>
      </c>
      <c r="P39" s="3207" t="s">
        <v>1414</v>
      </c>
      <c r="Q39" s="3207" t="s">
        <v>1415</v>
      </c>
      <c r="R39" s="3207" t="s">
        <v>1416</v>
      </c>
      <c r="S39" s="472">
        <v>51200000</v>
      </c>
      <c r="T39" s="472">
        <v>54</v>
      </c>
      <c r="U39" s="469" t="s">
        <v>1417</v>
      </c>
      <c r="V39" s="3222">
        <v>3525</v>
      </c>
      <c r="W39" s="3222">
        <v>17139</v>
      </c>
      <c r="X39" s="3222">
        <v>4167</v>
      </c>
      <c r="Y39" s="3222">
        <v>906</v>
      </c>
      <c r="Z39" s="3222">
        <v>885</v>
      </c>
      <c r="AA39" s="3222">
        <v>718</v>
      </c>
      <c r="AB39" s="3222"/>
      <c r="AC39" s="3222"/>
      <c r="AD39" s="3222"/>
      <c r="AE39" s="3222"/>
      <c r="AF39" s="3222"/>
      <c r="AG39" s="3222"/>
      <c r="AH39" s="3222"/>
      <c r="AI39" s="3222"/>
      <c r="AJ39" s="3222" t="s">
        <v>1418</v>
      </c>
    </row>
    <row r="40" spans="1:36" ht="111" customHeight="1" x14ac:dyDescent="0.2">
      <c r="A40" s="3203"/>
      <c r="B40" s="3204"/>
      <c r="C40" s="3194"/>
      <c r="D40" s="3194"/>
      <c r="E40" s="3194"/>
      <c r="F40" s="3194"/>
      <c r="G40" s="3194"/>
      <c r="H40" s="3207"/>
      <c r="I40" s="3194"/>
      <c r="J40" s="3194"/>
      <c r="K40" s="3194"/>
      <c r="L40" s="3194"/>
      <c r="M40" s="3207"/>
      <c r="N40" s="3060"/>
      <c r="O40" s="3194"/>
      <c r="P40" s="3207"/>
      <c r="Q40" s="3207"/>
      <c r="R40" s="3207"/>
      <c r="S40" s="472">
        <v>103500000</v>
      </c>
      <c r="T40" s="472"/>
      <c r="U40" s="469" t="s">
        <v>1391</v>
      </c>
      <c r="V40" s="3222"/>
      <c r="W40" s="3222"/>
      <c r="X40" s="3222"/>
      <c r="Y40" s="3222"/>
      <c r="Z40" s="3222"/>
      <c r="AA40" s="3222"/>
      <c r="AB40" s="3222"/>
      <c r="AC40" s="3222"/>
      <c r="AD40" s="3222"/>
      <c r="AE40" s="3222"/>
      <c r="AF40" s="3222"/>
      <c r="AG40" s="3222"/>
      <c r="AH40" s="3222"/>
      <c r="AI40" s="3222"/>
      <c r="AJ40" s="3222"/>
    </row>
    <row r="41" spans="1:36" ht="36" customHeight="1" x14ac:dyDescent="0.2">
      <c r="A41" s="3203"/>
      <c r="B41" s="3204"/>
      <c r="C41" s="217">
        <v>22</v>
      </c>
      <c r="D41" s="218" t="s">
        <v>1419</v>
      </c>
      <c r="E41" s="219"/>
      <c r="F41" s="219"/>
      <c r="G41" s="219"/>
      <c r="H41" s="220"/>
      <c r="I41" s="219"/>
      <c r="J41" s="219"/>
      <c r="K41" s="219"/>
      <c r="L41" s="219"/>
      <c r="M41" s="220"/>
      <c r="N41" s="219"/>
      <c r="O41" s="219"/>
      <c r="P41" s="220"/>
      <c r="Q41" s="220"/>
      <c r="R41" s="1471"/>
      <c r="S41" s="221"/>
      <c r="T41" s="219"/>
      <c r="U41" s="220"/>
      <c r="V41" s="219"/>
      <c r="W41" s="219"/>
      <c r="X41" s="219"/>
      <c r="Y41" s="219"/>
      <c r="Z41" s="219"/>
      <c r="AA41" s="219"/>
      <c r="AB41" s="219"/>
      <c r="AC41" s="219"/>
      <c r="AD41" s="219"/>
      <c r="AE41" s="219"/>
      <c r="AF41" s="219"/>
      <c r="AG41" s="219"/>
      <c r="AH41" s="222"/>
      <c r="AI41" s="222"/>
      <c r="AJ41" s="223"/>
    </row>
    <row r="42" spans="1:36" ht="33.75" customHeight="1" x14ac:dyDescent="0.2">
      <c r="A42" s="3203"/>
      <c r="B42" s="3204"/>
      <c r="C42" s="3253"/>
      <c r="D42" s="3254"/>
      <c r="E42" s="190">
        <v>74</v>
      </c>
      <c r="F42" s="224" t="s">
        <v>1420</v>
      </c>
      <c r="G42" s="225"/>
      <c r="H42" s="226"/>
      <c r="I42" s="225"/>
      <c r="J42" s="225"/>
      <c r="K42" s="225"/>
      <c r="L42" s="225"/>
      <c r="M42" s="226"/>
      <c r="N42" s="225"/>
      <c r="O42" s="225"/>
      <c r="P42" s="226"/>
      <c r="Q42" s="226"/>
      <c r="R42" s="1472"/>
      <c r="S42" s="227"/>
      <c r="T42" s="225"/>
      <c r="U42" s="226"/>
      <c r="V42" s="225"/>
      <c r="W42" s="225"/>
      <c r="X42" s="225"/>
      <c r="Y42" s="225"/>
      <c r="Z42" s="225"/>
      <c r="AA42" s="225"/>
      <c r="AB42" s="225"/>
      <c r="AC42" s="225"/>
      <c r="AD42" s="225"/>
      <c r="AE42" s="225"/>
      <c r="AF42" s="225"/>
      <c r="AG42" s="225"/>
      <c r="AH42" s="228"/>
      <c r="AI42" s="228"/>
      <c r="AJ42" s="229"/>
    </row>
    <row r="43" spans="1:36" ht="146.25" customHeight="1" thickBot="1" x14ac:dyDescent="0.25">
      <c r="A43" s="3203"/>
      <c r="B43" s="3204"/>
      <c r="C43" s="3255"/>
      <c r="D43" s="3256"/>
      <c r="E43" s="3253"/>
      <c r="F43" s="3257"/>
      <c r="G43" s="471">
        <v>213</v>
      </c>
      <c r="H43" s="477" t="s">
        <v>1421</v>
      </c>
      <c r="I43" s="471" t="s">
        <v>1354</v>
      </c>
      <c r="J43" s="471">
        <v>12</v>
      </c>
      <c r="K43" s="471" t="s">
        <v>1422</v>
      </c>
      <c r="L43" s="471">
        <v>166</v>
      </c>
      <c r="M43" s="477" t="s">
        <v>1423</v>
      </c>
      <c r="N43" s="476">
        <v>1</v>
      </c>
      <c r="O43" s="480">
        <v>236949833</v>
      </c>
      <c r="P43" s="1455" t="s">
        <v>1424</v>
      </c>
      <c r="Q43" s="230" t="s">
        <v>1425</v>
      </c>
      <c r="R43" s="1455" t="s">
        <v>1426</v>
      </c>
      <c r="S43" s="479">
        <v>236949833.46000001</v>
      </c>
      <c r="T43" s="479">
        <v>2</v>
      </c>
      <c r="U43" s="477" t="s">
        <v>1427</v>
      </c>
      <c r="V43" s="231">
        <v>64149</v>
      </c>
      <c r="W43" s="231">
        <v>72224</v>
      </c>
      <c r="X43" s="231">
        <v>27477</v>
      </c>
      <c r="Y43" s="471">
        <v>86843</v>
      </c>
      <c r="Z43" s="471">
        <v>221686</v>
      </c>
      <c r="AA43" s="231">
        <v>81384</v>
      </c>
      <c r="AB43" s="471">
        <v>13208</v>
      </c>
      <c r="AC43" s="471">
        <v>1817</v>
      </c>
      <c r="AD43" s="475"/>
      <c r="AE43" s="475"/>
      <c r="AF43" s="231">
        <v>16897</v>
      </c>
      <c r="AG43" s="232"/>
      <c r="AH43" s="478"/>
      <c r="AI43" s="478"/>
      <c r="AJ43" s="481" t="s">
        <v>1361</v>
      </c>
    </row>
    <row r="44" spans="1:36" s="239" customFormat="1" ht="29.25" customHeight="1" thickBot="1" x14ac:dyDescent="0.3">
      <c r="A44" s="3261" t="s">
        <v>120</v>
      </c>
      <c r="B44" s="3262"/>
      <c r="C44" s="3262"/>
      <c r="D44" s="3262"/>
      <c r="E44" s="3262"/>
      <c r="F44" s="3262"/>
      <c r="G44" s="3262"/>
      <c r="H44" s="3262"/>
      <c r="I44" s="3262"/>
      <c r="J44" s="3262"/>
      <c r="K44" s="3262"/>
      <c r="L44" s="3262"/>
      <c r="M44" s="3262"/>
      <c r="N44" s="3263"/>
      <c r="O44" s="233">
        <f>SUM(O19:O43)</f>
        <v>1601481874</v>
      </c>
      <c r="P44" s="234"/>
      <c r="Q44" s="235"/>
      <c r="R44" s="1473"/>
      <c r="S44" s="236">
        <f>SUM(S12:S43)</f>
        <v>1601481873.46</v>
      </c>
      <c r="T44" s="237"/>
      <c r="U44" s="235"/>
      <c r="V44" s="238"/>
      <c r="W44" s="238"/>
      <c r="X44" s="238"/>
      <c r="Y44" s="238"/>
      <c r="Z44" s="238"/>
      <c r="AA44" s="238"/>
      <c r="AB44" s="238"/>
      <c r="AC44" s="238"/>
      <c r="AD44" s="238"/>
      <c r="AE44" s="238"/>
      <c r="AF44" s="238"/>
      <c r="AG44" s="238"/>
      <c r="AH44" s="238"/>
      <c r="AI44" s="238"/>
      <c r="AJ44" s="361"/>
    </row>
    <row r="46" spans="1:36" x14ac:dyDescent="0.2">
      <c r="P46" s="241"/>
      <c r="S46" s="242"/>
    </row>
    <row r="51" spans="8:15" x14ac:dyDescent="0.2">
      <c r="O51" s="243"/>
    </row>
    <row r="53" spans="8:15" ht="15" x14ac:dyDescent="0.25">
      <c r="H53" s="244" t="s">
        <v>1361</v>
      </c>
      <c r="I53" s="184"/>
      <c r="J53" s="184"/>
    </row>
    <row r="54" spans="8:15" x14ac:dyDescent="0.2">
      <c r="H54" s="183" t="s">
        <v>1428</v>
      </c>
    </row>
  </sheetData>
  <mergeCells count="205">
    <mergeCell ref="A44:N44"/>
    <mergeCell ref="AH39:AH40"/>
    <mergeCell ref="AI39:AI40"/>
    <mergeCell ref="AG39:AG40"/>
    <mergeCell ref="AD39:AD40"/>
    <mergeCell ref="AE39:AE40"/>
    <mergeCell ref="AF39:AF40"/>
    <mergeCell ref="AA39:AA40"/>
    <mergeCell ref="P39:P40"/>
    <mergeCell ref="AB39:AB40"/>
    <mergeCell ref="AC39:AC40"/>
    <mergeCell ref="X39:X40"/>
    <mergeCell ref="Y39:Y40"/>
    <mergeCell ref="Z39:Z40"/>
    <mergeCell ref="M39:M40"/>
    <mergeCell ref="N39:N40"/>
    <mergeCell ref="O39:O40"/>
    <mergeCell ref="AJ39:AJ40"/>
    <mergeCell ref="C42:D43"/>
    <mergeCell ref="E43:F43"/>
    <mergeCell ref="E39:F40"/>
    <mergeCell ref="G39:G40"/>
    <mergeCell ref="H39:H40"/>
    <mergeCell ref="I39:I40"/>
    <mergeCell ref="J39:J40"/>
    <mergeCell ref="AI33:AI37"/>
    <mergeCell ref="AE33:AE37"/>
    <mergeCell ref="Z33:Z37"/>
    <mergeCell ref="AA33:AA37"/>
    <mergeCell ref="AB33:AB37"/>
    <mergeCell ref="W33:W37"/>
    <mergeCell ref="X33:X37"/>
    <mergeCell ref="Y33:Y37"/>
    <mergeCell ref="O33:O37"/>
    <mergeCell ref="P33:P37"/>
    <mergeCell ref="Q39:Q40"/>
    <mergeCell ref="R39:R40"/>
    <mergeCell ref="V39:V40"/>
    <mergeCell ref="W39:W40"/>
    <mergeCell ref="K39:K40"/>
    <mergeCell ref="L39:L40"/>
    <mergeCell ref="AJ33:AJ37"/>
    <mergeCell ref="G35:G36"/>
    <mergeCell ref="H35:H36"/>
    <mergeCell ref="I35:I36"/>
    <mergeCell ref="J35:J36"/>
    <mergeCell ref="N35:N36"/>
    <mergeCell ref="AH33:AH37"/>
    <mergeCell ref="AF33:AF37"/>
    <mergeCell ref="AG33:AG37"/>
    <mergeCell ref="AC33:AC37"/>
    <mergeCell ref="AD33:AD37"/>
    <mergeCell ref="AH31:AI31"/>
    <mergeCell ref="C32:D40"/>
    <mergeCell ref="AH32:AI32"/>
    <mergeCell ref="E33:F37"/>
    <mergeCell ref="G33:G34"/>
    <mergeCell ref="H33:H34"/>
    <mergeCell ref="I33:I34"/>
    <mergeCell ref="AH26:AH30"/>
    <mergeCell ref="AI26:AI30"/>
    <mergeCell ref="Y26:Y30"/>
    <mergeCell ref="Z26:Z30"/>
    <mergeCell ref="AA26:AA30"/>
    <mergeCell ref="V26:V30"/>
    <mergeCell ref="W26:W30"/>
    <mergeCell ref="Q33:Q37"/>
    <mergeCell ref="R33:R34"/>
    <mergeCell ref="T33:T37"/>
    <mergeCell ref="V33:V37"/>
    <mergeCell ref="R35:R36"/>
    <mergeCell ref="J33:J34"/>
    <mergeCell ref="K33:K37"/>
    <mergeCell ref="L33:L37"/>
    <mergeCell ref="M33:M37"/>
    <mergeCell ref="N33:N34"/>
    <mergeCell ref="X26:X30"/>
    <mergeCell ref="N26:N27"/>
    <mergeCell ref="O26:O30"/>
    <mergeCell ref="P26:P30"/>
    <mergeCell ref="Q26:Q30"/>
    <mergeCell ref="R26:R27"/>
    <mergeCell ref="T26:T30"/>
    <mergeCell ref="AJ23:AJ24"/>
    <mergeCell ref="AH23:AH24"/>
    <mergeCell ref="AI23:AI24"/>
    <mergeCell ref="AG23:AG24"/>
    <mergeCell ref="AD23:AD24"/>
    <mergeCell ref="AE23:AE24"/>
    <mergeCell ref="AJ26:AJ30"/>
    <mergeCell ref="AE26:AE30"/>
    <mergeCell ref="AF26:AF30"/>
    <mergeCell ref="AG26:AG30"/>
    <mergeCell ref="AB26:AB30"/>
    <mergeCell ref="AC26:AC30"/>
    <mergeCell ref="AD26:AD30"/>
    <mergeCell ref="N28:N29"/>
    <mergeCell ref="R28:R29"/>
    <mergeCell ref="X23:X24"/>
    <mergeCell ref="Y23:Y24"/>
    <mergeCell ref="E26:F30"/>
    <mergeCell ref="G26:G27"/>
    <mergeCell ref="H26:H27"/>
    <mergeCell ref="I26:I27"/>
    <mergeCell ref="J26:J27"/>
    <mergeCell ref="K26:K27"/>
    <mergeCell ref="L26:L30"/>
    <mergeCell ref="M26:M30"/>
    <mergeCell ref="K28:K29"/>
    <mergeCell ref="G28:G29"/>
    <mergeCell ref="H28:H29"/>
    <mergeCell ref="I28:I29"/>
    <mergeCell ref="J28:J29"/>
    <mergeCell ref="Z23:Z24"/>
    <mergeCell ref="Q23:Q24"/>
    <mergeCell ref="R23:R24"/>
    <mergeCell ref="V23:V24"/>
    <mergeCell ref="W23:W24"/>
    <mergeCell ref="AF23:AF24"/>
    <mergeCell ref="AA23:AA24"/>
    <mergeCell ref="AB23:AB24"/>
    <mergeCell ref="AC23:AC24"/>
    <mergeCell ref="E23:F24"/>
    <mergeCell ref="G23:G24"/>
    <mergeCell ref="H23:H24"/>
    <mergeCell ref="I23:I24"/>
    <mergeCell ref="J23:J24"/>
    <mergeCell ref="AE20:AE21"/>
    <mergeCell ref="AF20:AF21"/>
    <mergeCell ref="AG20:AG21"/>
    <mergeCell ref="AB20:AB21"/>
    <mergeCell ref="AC20:AC21"/>
    <mergeCell ref="AD20:AD21"/>
    <mergeCell ref="L23:L24"/>
    <mergeCell ref="M23:M24"/>
    <mergeCell ref="N23:N24"/>
    <mergeCell ref="O23:O24"/>
    <mergeCell ref="P23:P24"/>
    <mergeCell ref="Y20:Y21"/>
    <mergeCell ref="Z20:Z21"/>
    <mergeCell ref="AA20:AA21"/>
    <mergeCell ref="V20:V21"/>
    <mergeCell ref="W20:W21"/>
    <mergeCell ref="X20:X21"/>
    <mergeCell ref="M20:M21"/>
    <mergeCell ref="N20:N21"/>
    <mergeCell ref="AJ20:AJ21"/>
    <mergeCell ref="AH20:AH21"/>
    <mergeCell ref="AI20:AI21"/>
    <mergeCell ref="V12:V18"/>
    <mergeCell ref="W12:W18"/>
    <mergeCell ref="AD12:AD18"/>
    <mergeCell ref="AE12:AE18"/>
    <mergeCell ref="AF12:AF18"/>
    <mergeCell ref="AA12:AA18"/>
    <mergeCell ref="AB12:AB18"/>
    <mergeCell ref="AC12:AC18"/>
    <mergeCell ref="AJ12:AJ18"/>
    <mergeCell ref="E20:F21"/>
    <mergeCell ref="G20:G21"/>
    <mergeCell ref="H20:H21"/>
    <mergeCell ref="I20:I21"/>
    <mergeCell ref="J20:J21"/>
    <mergeCell ref="K20:K21"/>
    <mergeCell ref="L20:L21"/>
    <mergeCell ref="AH12:AH18"/>
    <mergeCell ref="AI12:AI18"/>
    <mergeCell ref="AG12:AG18"/>
    <mergeCell ref="O20:O21"/>
    <mergeCell ref="P20:P21"/>
    <mergeCell ref="Q20:Q21"/>
    <mergeCell ref="R20:R21"/>
    <mergeCell ref="A1:AH4"/>
    <mergeCell ref="J12:J17"/>
    <mergeCell ref="K12:K15"/>
    <mergeCell ref="L12:L18"/>
    <mergeCell ref="M12:M18"/>
    <mergeCell ref="N12:N17"/>
    <mergeCell ref="B9:AJ9"/>
    <mergeCell ref="A10:B43"/>
    <mergeCell ref="D10:AJ10"/>
    <mergeCell ref="C11:D30"/>
    <mergeCell ref="E12:F18"/>
    <mergeCell ref="G12:G17"/>
    <mergeCell ref="H12:H17"/>
    <mergeCell ref="I12:I17"/>
    <mergeCell ref="X12:X18"/>
    <mergeCell ref="O12:O18"/>
    <mergeCell ref="P12:P18"/>
    <mergeCell ref="Q12:Q18"/>
    <mergeCell ref="R12:R16"/>
    <mergeCell ref="S12:S15"/>
    <mergeCell ref="Y12:Y18"/>
    <mergeCell ref="Z12:Z18"/>
    <mergeCell ref="T12:T15"/>
    <mergeCell ref="U12:U15"/>
    <mergeCell ref="A5:J7"/>
    <mergeCell ref="K5:AJ5"/>
    <mergeCell ref="K6:U6"/>
    <mergeCell ref="V6:AG6"/>
    <mergeCell ref="AH6:AJ6"/>
    <mergeCell ref="K7:U7"/>
    <mergeCell ref="V7:AA7"/>
    <mergeCell ref="AB7:AG7"/>
    <mergeCell ref="AH7:AJ7"/>
  </mergeCells>
  <pageMargins left="0.7" right="0.7" top="0.75" bottom="0.75" header="0.3" footer="0.3"/>
  <pageSetup paperSize="5"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3"/>
  <sheetViews>
    <sheetView tabSelected="1" zoomScale="60" zoomScaleNormal="60" workbookViewId="0">
      <selection activeCell="F14" sqref="F14:F21"/>
    </sheetView>
  </sheetViews>
  <sheetFormatPr baseColWidth="10" defaultColWidth="11.42578125" defaultRowHeight="15" x14ac:dyDescent="0.2"/>
  <cols>
    <col min="1" max="1" width="11.28515625" style="3294" customWidth="1"/>
    <col min="2" max="2" width="20.140625" style="3294" customWidth="1"/>
    <col min="3" max="3" width="10.42578125" style="3294" customWidth="1"/>
    <col min="4" max="4" width="21.7109375" style="3294" customWidth="1"/>
    <col min="5" max="5" width="12.28515625" style="3412" customWidth="1"/>
    <col min="6" max="6" width="21.7109375" style="3294" customWidth="1"/>
    <col min="7" max="7" width="10.85546875" style="3412" customWidth="1"/>
    <col min="8" max="8" width="28.140625" style="3413" customWidth="1"/>
    <col min="9" max="9" width="22" style="3413" customWidth="1"/>
    <col min="10" max="10" width="15.28515625" style="3413" customWidth="1"/>
    <col min="11" max="12" width="19" style="3413" customWidth="1"/>
    <col min="13" max="13" width="27.140625" style="3414" bestFit="1" customWidth="1"/>
    <col min="14" max="14" width="14.85546875" style="3415" customWidth="1"/>
    <col min="15" max="15" width="25.85546875" style="3413" customWidth="1"/>
    <col min="16" max="16" width="29.7109375" style="3413" customWidth="1"/>
    <col min="17" max="17" width="43.7109375" style="3413" customWidth="1"/>
    <col min="18" max="18" width="28.7109375" style="3416" customWidth="1"/>
    <col min="19" max="19" width="25.7109375" style="3416" customWidth="1"/>
    <col min="20" max="20" width="11.28515625" style="3416" bestFit="1" customWidth="1"/>
    <col min="21" max="21" width="20.85546875" style="3416" customWidth="1"/>
    <col min="22" max="33" width="9.85546875" style="3294" customWidth="1"/>
    <col min="34" max="34" width="15.7109375" style="3410" customWidth="1"/>
    <col min="35" max="35" width="16.42578125" style="3417" customWidth="1"/>
    <col min="36" max="36" width="16" style="3294" customWidth="1"/>
    <col min="37" max="252" width="11.42578125" style="3294"/>
    <col min="253" max="253" width="9.140625" style="3294" customWidth="1"/>
    <col min="254" max="254" width="20.140625" style="3294" customWidth="1"/>
    <col min="255" max="255" width="9.140625" style="3294" customWidth="1"/>
    <col min="256" max="256" width="21.7109375" style="3294" customWidth="1"/>
    <col min="257" max="257" width="9.140625" style="3294" customWidth="1"/>
    <col min="258" max="258" width="21.7109375" style="3294" customWidth="1"/>
    <col min="259" max="259" width="9.140625" style="3294" customWidth="1"/>
    <col min="260" max="260" width="28.140625" style="3294" customWidth="1"/>
    <col min="261" max="261" width="22" style="3294" customWidth="1"/>
    <col min="262" max="262" width="39.85546875" style="3294" customWidth="1"/>
    <col min="263" max="263" width="19" style="3294" customWidth="1"/>
    <col min="264" max="264" width="27.140625" style="3294" bestFit="1" customWidth="1"/>
    <col min="265" max="265" width="14.85546875" style="3294" customWidth="1"/>
    <col min="266" max="266" width="20.28515625" style="3294" customWidth="1"/>
    <col min="267" max="267" width="16.42578125" style="3294" customWidth="1"/>
    <col min="268" max="268" width="43.7109375" style="3294" customWidth="1"/>
    <col min="269" max="269" width="28.7109375" style="3294" customWidth="1"/>
    <col min="270" max="271" width="20.85546875" style="3294" customWidth="1"/>
    <col min="272" max="283" width="9.85546875" style="3294" customWidth="1"/>
    <col min="284" max="284" width="15.7109375" style="3294" customWidth="1"/>
    <col min="285" max="285" width="16.42578125" style="3294" customWidth="1"/>
    <col min="286" max="286" width="28.7109375" style="3294" customWidth="1"/>
    <col min="287" max="287" width="21.42578125" style="3294" customWidth="1"/>
    <col min="288" max="288" width="15.7109375" style="3294" bestFit="1" customWidth="1"/>
    <col min="289" max="508" width="11.42578125" style="3294"/>
    <col min="509" max="509" width="9.140625" style="3294" customWidth="1"/>
    <col min="510" max="510" width="20.140625" style="3294" customWidth="1"/>
    <col min="511" max="511" width="9.140625" style="3294" customWidth="1"/>
    <col min="512" max="512" width="21.7109375" style="3294" customWidth="1"/>
    <col min="513" max="513" width="9.140625" style="3294" customWidth="1"/>
    <col min="514" max="514" width="21.7109375" style="3294" customWidth="1"/>
    <col min="515" max="515" width="9.140625" style="3294" customWidth="1"/>
    <col min="516" max="516" width="28.140625" style="3294" customWidth="1"/>
    <col min="517" max="517" width="22" style="3294" customWidth="1"/>
    <col min="518" max="518" width="39.85546875" style="3294" customWidth="1"/>
    <col min="519" max="519" width="19" style="3294" customWidth="1"/>
    <col min="520" max="520" width="27.140625" style="3294" bestFit="1" customWidth="1"/>
    <col min="521" max="521" width="14.85546875" style="3294" customWidth="1"/>
    <col min="522" max="522" width="20.28515625" style="3294" customWidth="1"/>
    <col min="523" max="523" width="16.42578125" style="3294" customWidth="1"/>
    <col min="524" max="524" width="43.7109375" style="3294" customWidth="1"/>
    <col min="525" max="525" width="28.7109375" style="3294" customWidth="1"/>
    <col min="526" max="527" width="20.85546875" style="3294" customWidth="1"/>
    <col min="528" max="539" width="9.85546875" style="3294" customWidth="1"/>
    <col min="540" max="540" width="15.7109375" style="3294" customWidth="1"/>
    <col min="541" max="541" width="16.42578125" style="3294" customWidth="1"/>
    <col min="542" max="542" width="28.7109375" style="3294" customWidth="1"/>
    <col min="543" max="543" width="21.42578125" style="3294" customWidth="1"/>
    <col min="544" max="544" width="15.7109375" style="3294" bestFit="1" customWidth="1"/>
    <col min="545" max="764" width="11.42578125" style="3294"/>
    <col min="765" max="765" width="9.140625" style="3294" customWidth="1"/>
    <col min="766" max="766" width="20.140625" style="3294" customWidth="1"/>
    <col min="767" max="767" width="9.140625" style="3294" customWidth="1"/>
    <col min="768" max="768" width="21.7109375" style="3294" customWidth="1"/>
    <col min="769" max="769" width="9.140625" style="3294" customWidth="1"/>
    <col min="770" max="770" width="21.7109375" style="3294" customWidth="1"/>
    <col min="771" max="771" width="9.140625" style="3294" customWidth="1"/>
    <col min="772" max="772" width="28.140625" style="3294" customWidth="1"/>
    <col min="773" max="773" width="22" style="3294" customWidth="1"/>
    <col min="774" max="774" width="39.85546875" style="3294" customWidth="1"/>
    <col min="775" max="775" width="19" style="3294" customWidth="1"/>
    <col min="776" max="776" width="27.140625" style="3294" bestFit="1" customWidth="1"/>
    <col min="777" max="777" width="14.85546875" style="3294" customWidth="1"/>
    <col min="778" max="778" width="20.28515625" style="3294" customWidth="1"/>
    <col min="779" max="779" width="16.42578125" style="3294" customWidth="1"/>
    <col min="780" max="780" width="43.7109375" style="3294" customWidth="1"/>
    <col min="781" max="781" width="28.7109375" style="3294" customWidth="1"/>
    <col min="782" max="783" width="20.85546875" style="3294" customWidth="1"/>
    <col min="784" max="795" width="9.85546875" style="3294" customWidth="1"/>
    <col min="796" max="796" width="15.7109375" style="3294" customWidth="1"/>
    <col min="797" max="797" width="16.42578125" style="3294" customWidth="1"/>
    <col min="798" max="798" width="28.7109375" style="3294" customWidth="1"/>
    <col min="799" max="799" width="21.42578125" style="3294" customWidth="1"/>
    <col min="800" max="800" width="15.7109375" style="3294" bestFit="1" customWidth="1"/>
    <col min="801" max="1020" width="11.42578125" style="3294"/>
    <col min="1021" max="1021" width="9.140625" style="3294" customWidth="1"/>
    <col min="1022" max="1022" width="20.140625" style="3294" customWidth="1"/>
    <col min="1023" max="1023" width="9.140625" style="3294" customWidth="1"/>
    <col min="1024" max="1024" width="21.7109375" style="3294" customWidth="1"/>
    <col min="1025" max="1025" width="9.140625" style="3294" customWidth="1"/>
    <col min="1026" max="1026" width="21.7109375" style="3294" customWidth="1"/>
    <col min="1027" max="1027" width="9.140625" style="3294" customWidth="1"/>
    <col min="1028" max="1028" width="28.140625" style="3294" customWidth="1"/>
    <col min="1029" max="1029" width="22" style="3294" customWidth="1"/>
    <col min="1030" max="1030" width="39.85546875" style="3294" customWidth="1"/>
    <col min="1031" max="1031" width="19" style="3294" customWidth="1"/>
    <col min="1032" max="1032" width="27.140625" style="3294" bestFit="1" customWidth="1"/>
    <col min="1033" max="1033" width="14.85546875" style="3294" customWidth="1"/>
    <col min="1034" max="1034" width="20.28515625" style="3294" customWidth="1"/>
    <col min="1035" max="1035" width="16.42578125" style="3294" customWidth="1"/>
    <col min="1036" max="1036" width="43.7109375" style="3294" customWidth="1"/>
    <col min="1037" max="1037" width="28.7109375" style="3294" customWidth="1"/>
    <col min="1038" max="1039" width="20.85546875" style="3294" customWidth="1"/>
    <col min="1040" max="1051" width="9.85546875" style="3294" customWidth="1"/>
    <col min="1052" max="1052" width="15.7109375" style="3294" customWidth="1"/>
    <col min="1053" max="1053" width="16.42578125" style="3294" customWidth="1"/>
    <col min="1054" max="1054" width="28.7109375" style="3294" customWidth="1"/>
    <col min="1055" max="1055" width="21.42578125" style="3294" customWidth="1"/>
    <col min="1056" max="1056" width="15.7109375" style="3294" bestFit="1" customWidth="1"/>
    <col min="1057" max="1276" width="11.42578125" style="3294"/>
    <col min="1277" max="1277" width="9.140625" style="3294" customWidth="1"/>
    <col min="1278" max="1278" width="20.140625" style="3294" customWidth="1"/>
    <col min="1279" max="1279" width="9.140625" style="3294" customWidth="1"/>
    <col min="1280" max="1280" width="21.7109375" style="3294" customWidth="1"/>
    <col min="1281" max="1281" width="9.140625" style="3294" customWidth="1"/>
    <col min="1282" max="1282" width="21.7109375" style="3294" customWidth="1"/>
    <col min="1283" max="1283" width="9.140625" style="3294" customWidth="1"/>
    <col min="1284" max="1284" width="28.140625" style="3294" customWidth="1"/>
    <col min="1285" max="1285" width="22" style="3294" customWidth="1"/>
    <col min="1286" max="1286" width="39.85546875" style="3294" customWidth="1"/>
    <col min="1287" max="1287" width="19" style="3294" customWidth="1"/>
    <col min="1288" max="1288" width="27.140625" style="3294" bestFit="1" customWidth="1"/>
    <col min="1289" max="1289" width="14.85546875" style="3294" customWidth="1"/>
    <col min="1290" max="1290" width="20.28515625" style="3294" customWidth="1"/>
    <col min="1291" max="1291" width="16.42578125" style="3294" customWidth="1"/>
    <col min="1292" max="1292" width="43.7109375" style="3294" customWidth="1"/>
    <col min="1293" max="1293" width="28.7109375" style="3294" customWidth="1"/>
    <col min="1294" max="1295" width="20.85546875" style="3294" customWidth="1"/>
    <col min="1296" max="1307" width="9.85546875" style="3294" customWidth="1"/>
    <col min="1308" max="1308" width="15.7109375" style="3294" customWidth="1"/>
    <col min="1309" max="1309" width="16.42578125" style="3294" customWidth="1"/>
    <col min="1310" max="1310" width="28.7109375" style="3294" customWidth="1"/>
    <col min="1311" max="1311" width="21.42578125" style="3294" customWidth="1"/>
    <col min="1312" max="1312" width="15.7109375" style="3294" bestFit="1" customWidth="1"/>
    <col min="1313" max="1532" width="11.42578125" style="3294"/>
    <col min="1533" max="1533" width="9.140625" style="3294" customWidth="1"/>
    <col min="1534" max="1534" width="20.140625" style="3294" customWidth="1"/>
    <col min="1535" max="1535" width="9.140625" style="3294" customWidth="1"/>
    <col min="1536" max="1536" width="21.7109375" style="3294" customWidth="1"/>
    <col min="1537" max="1537" width="9.140625" style="3294" customWidth="1"/>
    <col min="1538" max="1538" width="21.7109375" style="3294" customWidth="1"/>
    <col min="1539" max="1539" width="9.140625" style="3294" customWidth="1"/>
    <col min="1540" max="1540" width="28.140625" style="3294" customWidth="1"/>
    <col min="1541" max="1541" width="22" style="3294" customWidth="1"/>
    <col min="1542" max="1542" width="39.85546875" style="3294" customWidth="1"/>
    <col min="1543" max="1543" width="19" style="3294" customWidth="1"/>
    <col min="1544" max="1544" width="27.140625" style="3294" bestFit="1" customWidth="1"/>
    <col min="1545" max="1545" width="14.85546875" style="3294" customWidth="1"/>
    <col min="1546" max="1546" width="20.28515625" style="3294" customWidth="1"/>
    <col min="1547" max="1547" width="16.42578125" style="3294" customWidth="1"/>
    <col min="1548" max="1548" width="43.7109375" style="3294" customWidth="1"/>
    <col min="1549" max="1549" width="28.7109375" style="3294" customWidth="1"/>
    <col min="1550" max="1551" width="20.85546875" style="3294" customWidth="1"/>
    <col min="1552" max="1563" width="9.85546875" style="3294" customWidth="1"/>
    <col min="1564" max="1564" width="15.7109375" style="3294" customWidth="1"/>
    <col min="1565" max="1565" width="16.42578125" style="3294" customWidth="1"/>
    <col min="1566" max="1566" width="28.7109375" style="3294" customWidth="1"/>
    <col min="1567" max="1567" width="21.42578125" style="3294" customWidth="1"/>
    <col min="1568" max="1568" width="15.7109375" style="3294" bestFit="1" customWidth="1"/>
    <col min="1569" max="1788" width="11.42578125" style="3294"/>
    <col min="1789" max="1789" width="9.140625" style="3294" customWidth="1"/>
    <col min="1790" max="1790" width="20.140625" style="3294" customWidth="1"/>
    <col min="1791" max="1791" width="9.140625" style="3294" customWidth="1"/>
    <col min="1792" max="1792" width="21.7109375" style="3294" customWidth="1"/>
    <col min="1793" max="1793" width="9.140625" style="3294" customWidth="1"/>
    <col min="1794" max="1794" width="21.7109375" style="3294" customWidth="1"/>
    <col min="1795" max="1795" width="9.140625" style="3294" customWidth="1"/>
    <col min="1796" max="1796" width="28.140625" style="3294" customWidth="1"/>
    <col min="1797" max="1797" width="22" style="3294" customWidth="1"/>
    <col min="1798" max="1798" width="39.85546875" style="3294" customWidth="1"/>
    <col min="1799" max="1799" width="19" style="3294" customWidth="1"/>
    <col min="1800" max="1800" width="27.140625" style="3294" bestFit="1" customWidth="1"/>
    <col min="1801" max="1801" width="14.85546875" style="3294" customWidth="1"/>
    <col min="1802" max="1802" width="20.28515625" style="3294" customWidth="1"/>
    <col min="1803" max="1803" width="16.42578125" style="3294" customWidth="1"/>
    <col min="1804" max="1804" width="43.7109375" style="3294" customWidth="1"/>
    <col min="1805" max="1805" width="28.7109375" style="3294" customWidth="1"/>
    <col min="1806" max="1807" width="20.85546875" style="3294" customWidth="1"/>
    <col min="1808" max="1819" width="9.85546875" style="3294" customWidth="1"/>
    <col min="1820" max="1820" width="15.7109375" style="3294" customWidth="1"/>
    <col min="1821" max="1821" width="16.42578125" style="3294" customWidth="1"/>
    <col min="1822" max="1822" width="28.7109375" style="3294" customWidth="1"/>
    <col min="1823" max="1823" width="21.42578125" style="3294" customWidth="1"/>
    <col min="1824" max="1824" width="15.7109375" style="3294" bestFit="1" customWidth="1"/>
    <col min="1825" max="2044" width="11.42578125" style="3294"/>
    <col min="2045" max="2045" width="9.140625" style="3294" customWidth="1"/>
    <col min="2046" max="2046" width="20.140625" style="3294" customWidth="1"/>
    <col min="2047" max="2047" width="9.140625" style="3294" customWidth="1"/>
    <col min="2048" max="2048" width="21.7109375" style="3294" customWidth="1"/>
    <col min="2049" max="2049" width="9.140625" style="3294" customWidth="1"/>
    <col min="2050" max="2050" width="21.7109375" style="3294" customWidth="1"/>
    <col min="2051" max="2051" width="9.140625" style="3294" customWidth="1"/>
    <col min="2052" max="2052" width="28.140625" style="3294" customWidth="1"/>
    <col min="2053" max="2053" width="22" style="3294" customWidth="1"/>
    <col min="2054" max="2054" width="39.85546875" style="3294" customWidth="1"/>
    <col min="2055" max="2055" width="19" style="3294" customWidth="1"/>
    <col min="2056" max="2056" width="27.140625" style="3294" bestFit="1" customWidth="1"/>
    <col min="2057" max="2057" width="14.85546875" style="3294" customWidth="1"/>
    <col min="2058" max="2058" width="20.28515625" style="3294" customWidth="1"/>
    <col min="2059" max="2059" width="16.42578125" style="3294" customWidth="1"/>
    <col min="2060" max="2060" width="43.7109375" style="3294" customWidth="1"/>
    <col min="2061" max="2061" width="28.7109375" style="3294" customWidth="1"/>
    <col min="2062" max="2063" width="20.85546875" style="3294" customWidth="1"/>
    <col min="2064" max="2075" width="9.85546875" style="3294" customWidth="1"/>
    <col min="2076" max="2076" width="15.7109375" style="3294" customWidth="1"/>
    <col min="2077" max="2077" width="16.42578125" style="3294" customWidth="1"/>
    <col min="2078" max="2078" width="28.7109375" style="3294" customWidth="1"/>
    <col min="2079" max="2079" width="21.42578125" style="3294" customWidth="1"/>
    <col min="2080" max="2080" width="15.7109375" style="3294" bestFit="1" customWidth="1"/>
    <col min="2081" max="2300" width="11.42578125" style="3294"/>
    <col min="2301" max="2301" width="9.140625" style="3294" customWidth="1"/>
    <col min="2302" max="2302" width="20.140625" style="3294" customWidth="1"/>
    <col min="2303" max="2303" width="9.140625" style="3294" customWidth="1"/>
    <col min="2304" max="2304" width="21.7109375" style="3294" customWidth="1"/>
    <col min="2305" max="2305" width="9.140625" style="3294" customWidth="1"/>
    <col min="2306" max="2306" width="21.7109375" style="3294" customWidth="1"/>
    <col min="2307" max="2307" width="9.140625" style="3294" customWidth="1"/>
    <col min="2308" max="2308" width="28.140625" style="3294" customWidth="1"/>
    <col min="2309" max="2309" width="22" style="3294" customWidth="1"/>
    <col min="2310" max="2310" width="39.85546875" style="3294" customWidth="1"/>
    <col min="2311" max="2311" width="19" style="3294" customWidth="1"/>
    <col min="2312" max="2312" width="27.140625" style="3294" bestFit="1" customWidth="1"/>
    <col min="2313" max="2313" width="14.85546875" style="3294" customWidth="1"/>
    <col min="2314" max="2314" width="20.28515625" style="3294" customWidth="1"/>
    <col min="2315" max="2315" width="16.42578125" style="3294" customWidth="1"/>
    <col min="2316" max="2316" width="43.7109375" style="3294" customWidth="1"/>
    <col min="2317" max="2317" width="28.7109375" style="3294" customWidth="1"/>
    <col min="2318" max="2319" width="20.85546875" style="3294" customWidth="1"/>
    <col min="2320" max="2331" width="9.85546875" style="3294" customWidth="1"/>
    <col min="2332" max="2332" width="15.7109375" style="3294" customWidth="1"/>
    <col min="2333" max="2333" width="16.42578125" style="3294" customWidth="1"/>
    <col min="2334" max="2334" width="28.7109375" style="3294" customWidth="1"/>
    <col min="2335" max="2335" width="21.42578125" style="3294" customWidth="1"/>
    <col min="2336" max="2336" width="15.7109375" style="3294" bestFit="1" customWidth="1"/>
    <col min="2337" max="2556" width="11.42578125" style="3294"/>
    <col min="2557" max="2557" width="9.140625" style="3294" customWidth="1"/>
    <col min="2558" max="2558" width="20.140625" style="3294" customWidth="1"/>
    <col min="2559" max="2559" width="9.140625" style="3294" customWidth="1"/>
    <col min="2560" max="2560" width="21.7109375" style="3294" customWidth="1"/>
    <col min="2561" max="2561" width="9.140625" style="3294" customWidth="1"/>
    <col min="2562" max="2562" width="21.7109375" style="3294" customWidth="1"/>
    <col min="2563" max="2563" width="9.140625" style="3294" customWidth="1"/>
    <col min="2564" max="2564" width="28.140625" style="3294" customWidth="1"/>
    <col min="2565" max="2565" width="22" style="3294" customWidth="1"/>
    <col min="2566" max="2566" width="39.85546875" style="3294" customWidth="1"/>
    <col min="2567" max="2567" width="19" style="3294" customWidth="1"/>
    <col min="2568" max="2568" width="27.140625" style="3294" bestFit="1" customWidth="1"/>
    <col min="2569" max="2569" width="14.85546875" style="3294" customWidth="1"/>
    <col min="2570" max="2570" width="20.28515625" style="3294" customWidth="1"/>
    <col min="2571" max="2571" width="16.42578125" style="3294" customWidth="1"/>
    <col min="2572" max="2572" width="43.7109375" style="3294" customWidth="1"/>
    <col min="2573" max="2573" width="28.7109375" style="3294" customWidth="1"/>
    <col min="2574" max="2575" width="20.85546875" style="3294" customWidth="1"/>
    <col min="2576" max="2587" width="9.85546875" style="3294" customWidth="1"/>
    <col min="2588" max="2588" width="15.7109375" style="3294" customWidth="1"/>
    <col min="2589" max="2589" width="16.42578125" style="3294" customWidth="1"/>
    <col min="2590" max="2590" width="28.7109375" style="3294" customWidth="1"/>
    <col min="2591" max="2591" width="21.42578125" style="3294" customWidth="1"/>
    <col min="2592" max="2592" width="15.7109375" style="3294" bestFit="1" customWidth="1"/>
    <col min="2593" max="2812" width="11.42578125" style="3294"/>
    <col min="2813" max="2813" width="9.140625" style="3294" customWidth="1"/>
    <col min="2814" max="2814" width="20.140625" style="3294" customWidth="1"/>
    <col min="2815" max="2815" width="9.140625" style="3294" customWidth="1"/>
    <col min="2816" max="2816" width="21.7109375" style="3294" customWidth="1"/>
    <col min="2817" max="2817" width="9.140625" style="3294" customWidth="1"/>
    <col min="2818" max="2818" width="21.7109375" style="3294" customWidth="1"/>
    <col min="2819" max="2819" width="9.140625" style="3294" customWidth="1"/>
    <col min="2820" max="2820" width="28.140625" style="3294" customWidth="1"/>
    <col min="2821" max="2821" width="22" style="3294" customWidth="1"/>
    <col min="2822" max="2822" width="39.85546875" style="3294" customWidth="1"/>
    <col min="2823" max="2823" width="19" style="3294" customWidth="1"/>
    <col min="2824" max="2824" width="27.140625" style="3294" bestFit="1" customWidth="1"/>
    <col min="2825" max="2825" width="14.85546875" style="3294" customWidth="1"/>
    <col min="2826" max="2826" width="20.28515625" style="3294" customWidth="1"/>
    <col min="2827" max="2827" width="16.42578125" style="3294" customWidth="1"/>
    <col min="2828" max="2828" width="43.7109375" style="3294" customWidth="1"/>
    <col min="2829" max="2829" width="28.7109375" style="3294" customWidth="1"/>
    <col min="2830" max="2831" width="20.85546875" style="3294" customWidth="1"/>
    <col min="2832" max="2843" width="9.85546875" style="3294" customWidth="1"/>
    <col min="2844" max="2844" width="15.7109375" style="3294" customWidth="1"/>
    <col min="2845" max="2845" width="16.42578125" style="3294" customWidth="1"/>
    <col min="2846" max="2846" width="28.7109375" style="3294" customWidth="1"/>
    <col min="2847" max="2847" width="21.42578125" style="3294" customWidth="1"/>
    <col min="2848" max="2848" width="15.7109375" style="3294" bestFit="1" customWidth="1"/>
    <col min="2849" max="3068" width="11.42578125" style="3294"/>
    <col min="3069" max="3069" width="9.140625" style="3294" customWidth="1"/>
    <col min="3070" max="3070" width="20.140625" style="3294" customWidth="1"/>
    <col min="3071" max="3071" width="9.140625" style="3294" customWidth="1"/>
    <col min="3072" max="3072" width="21.7109375" style="3294" customWidth="1"/>
    <col min="3073" max="3073" width="9.140625" style="3294" customWidth="1"/>
    <col min="3074" max="3074" width="21.7109375" style="3294" customWidth="1"/>
    <col min="3075" max="3075" width="9.140625" style="3294" customWidth="1"/>
    <col min="3076" max="3076" width="28.140625" style="3294" customWidth="1"/>
    <col min="3077" max="3077" width="22" style="3294" customWidth="1"/>
    <col min="3078" max="3078" width="39.85546875" style="3294" customWidth="1"/>
    <col min="3079" max="3079" width="19" style="3294" customWidth="1"/>
    <col min="3080" max="3080" width="27.140625" style="3294" bestFit="1" customWidth="1"/>
    <col min="3081" max="3081" width="14.85546875" style="3294" customWidth="1"/>
    <col min="3082" max="3082" width="20.28515625" style="3294" customWidth="1"/>
    <col min="3083" max="3083" width="16.42578125" style="3294" customWidth="1"/>
    <col min="3084" max="3084" width="43.7109375" style="3294" customWidth="1"/>
    <col min="3085" max="3085" width="28.7109375" style="3294" customWidth="1"/>
    <col min="3086" max="3087" width="20.85546875" style="3294" customWidth="1"/>
    <col min="3088" max="3099" width="9.85546875" style="3294" customWidth="1"/>
    <col min="3100" max="3100" width="15.7109375" style="3294" customWidth="1"/>
    <col min="3101" max="3101" width="16.42578125" style="3294" customWidth="1"/>
    <col min="3102" max="3102" width="28.7109375" style="3294" customWidth="1"/>
    <col min="3103" max="3103" width="21.42578125" style="3294" customWidth="1"/>
    <col min="3104" max="3104" width="15.7109375" style="3294" bestFit="1" customWidth="1"/>
    <col min="3105" max="3324" width="11.42578125" style="3294"/>
    <col min="3325" max="3325" width="9.140625" style="3294" customWidth="1"/>
    <col min="3326" max="3326" width="20.140625" style="3294" customWidth="1"/>
    <col min="3327" max="3327" width="9.140625" style="3294" customWidth="1"/>
    <col min="3328" max="3328" width="21.7109375" style="3294" customWidth="1"/>
    <col min="3329" max="3329" width="9.140625" style="3294" customWidth="1"/>
    <col min="3330" max="3330" width="21.7109375" style="3294" customWidth="1"/>
    <col min="3331" max="3331" width="9.140625" style="3294" customWidth="1"/>
    <col min="3332" max="3332" width="28.140625" style="3294" customWidth="1"/>
    <col min="3333" max="3333" width="22" style="3294" customWidth="1"/>
    <col min="3334" max="3334" width="39.85546875" style="3294" customWidth="1"/>
    <col min="3335" max="3335" width="19" style="3294" customWidth="1"/>
    <col min="3336" max="3336" width="27.140625" style="3294" bestFit="1" customWidth="1"/>
    <col min="3337" max="3337" width="14.85546875" style="3294" customWidth="1"/>
    <col min="3338" max="3338" width="20.28515625" style="3294" customWidth="1"/>
    <col min="3339" max="3339" width="16.42578125" style="3294" customWidth="1"/>
    <col min="3340" max="3340" width="43.7109375" style="3294" customWidth="1"/>
    <col min="3341" max="3341" width="28.7109375" style="3294" customWidth="1"/>
    <col min="3342" max="3343" width="20.85546875" style="3294" customWidth="1"/>
    <col min="3344" max="3355" width="9.85546875" style="3294" customWidth="1"/>
    <col min="3356" max="3356" width="15.7109375" style="3294" customWidth="1"/>
    <col min="3357" max="3357" width="16.42578125" style="3294" customWidth="1"/>
    <col min="3358" max="3358" width="28.7109375" style="3294" customWidth="1"/>
    <col min="3359" max="3359" width="21.42578125" style="3294" customWidth="1"/>
    <col min="3360" max="3360" width="15.7109375" style="3294" bestFit="1" customWidth="1"/>
    <col min="3361" max="3580" width="11.42578125" style="3294"/>
    <col min="3581" max="3581" width="9.140625" style="3294" customWidth="1"/>
    <col min="3582" max="3582" width="20.140625" style="3294" customWidth="1"/>
    <col min="3583" max="3583" width="9.140625" style="3294" customWidth="1"/>
    <col min="3584" max="3584" width="21.7109375" style="3294" customWidth="1"/>
    <col min="3585" max="3585" width="9.140625" style="3294" customWidth="1"/>
    <col min="3586" max="3586" width="21.7109375" style="3294" customWidth="1"/>
    <col min="3587" max="3587" width="9.140625" style="3294" customWidth="1"/>
    <col min="3588" max="3588" width="28.140625" style="3294" customWidth="1"/>
    <col min="3589" max="3589" width="22" style="3294" customWidth="1"/>
    <col min="3590" max="3590" width="39.85546875" style="3294" customWidth="1"/>
    <col min="3591" max="3591" width="19" style="3294" customWidth="1"/>
    <col min="3592" max="3592" width="27.140625" style="3294" bestFit="1" customWidth="1"/>
    <col min="3593" max="3593" width="14.85546875" style="3294" customWidth="1"/>
    <col min="3594" max="3594" width="20.28515625" style="3294" customWidth="1"/>
    <col min="3595" max="3595" width="16.42578125" style="3294" customWidth="1"/>
    <col min="3596" max="3596" width="43.7109375" style="3294" customWidth="1"/>
    <col min="3597" max="3597" width="28.7109375" style="3294" customWidth="1"/>
    <col min="3598" max="3599" width="20.85546875" style="3294" customWidth="1"/>
    <col min="3600" max="3611" width="9.85546875" style="3294" customWidth="1"/>
    <col min="3612" max="3612" width="15.7109375" style="3294" customWidth="1"/>
    <col min="3613" max="3613" width="16.42578125" style="3294" customWidth="1"/>
    <col min="3614" max="3614" width="28.7109375" style="3294" customWidth="1"/>
    <col min="3615" max="3615" width="21.42578125" style="3294" customWidth="1"/>
    <col min="3616" max="3616" width="15.7109375" style="3294" bestFit="1" customWidth="1"/>
    <col min="3617" max="3836" width="11.42578125" style="3294"/>
    <col min="3837" max="3837" width="9.140625" style="3294" customWidth="1"/>
    <col min="3838" max="3838" width="20.140625" style="3294" customWidth="1"/>
    <col min="3839" max="3839" width="9.140625" style="3294" customWidth="1"/>
    <col min="3840" max="3840" width="21.7109375" style="3294" customWidth="1"/>
    <col min="3841" max="3841" width="9.140625" style="3294" customWidth="1"/>
    <col min="3842" max="3842" width="21.7109375" style="3294" customWidth="1"/>
    <col min="3843" max="3843" width="9.140625" style="3294" customWidth="1"/>
    <col min="3844" max="3844" width="28.140625" style="3294" customWidth="1"/>
    <col min="3845" max="3845" width="22" style="3294" customWidth="1"/>
    <col min="3846" max="3846" width="39.85546875" style="3294" customWidth="1"/>
    <col min="3847" max="3847" width="19" style="3294" customWidth="1"/>
    <col min="3848" max="3848" width="27.140625" style="3294" bestFit="1" customWidth="1"/>
    <col min="3849" max="3849" width="14.85546875" style="3294" customWidth="1"/>
    <col min="3850" max="3850" width="20.28515625" style="3294" customWidth="1"/>
    <col min="3851" max="3851" width="16.42578125" style="3294" customWidth="1"/>
    <col min="3852" max="3852" width="43.7109375" style="3294" customWidth="1"/>
    <col min="3853" max="3853" width="28.7109375" style="3294" customWidth="1"/>
    <col min="3854" max="3855" width="20.85546875" style="3294" customWidth="1"/>
    <col min="3856" max="3867" width="9.85546875" style="3294" customWidth="1"/>
    <col min="3868" max="3868" width="15.7109375" style="3294" customWidth="1"/>
    <col min="3869" max="3869" width="16.42578125" style="3294" customWidth="1"/>
    <col min="3870" max="3870" width="28.7109375" style="3294" customWidth="1"/>
    <col min="3871" max="3871" width="21.42578125" style="3294" customWidth="1"/>
    <col min="3872" max="3872" width="15.7109375" style="3294" bestFit="1" customWidth="1"/>
    <col min="3873" max="4092" width="11.42578125" style="3294"/>
    <col min="4093" max="4093" width="9.140625" style="3294" customWidth="1"/>
    <col min="4094" max="4094" width="20.140625" style="3294" customWidth="1"/>
    <col min="4095" max="4095" width="9.140625" style="3294" customWidth="1"/>
    <col min="4096" max="4096" width="21.7109375" style="3294" customWidth="1"/>
    <col min="4097" max="4097" width="9.140625" style="3294" customWidth="1"/>
    <col min="4098" max="4098" width="21.7109375" style="3294" customWidth="1"/>
    <col min="4099" max="4099" width="9.140625" style="3294" customWidth="1"/>
    <col min="4100" max="4100" width="28.140625" style="3294" customWidth="1"/>
    <col min="4101" max="4101" width="22" style="3294" customWidth="1"/>
    <col min="4102" max="4102" width="39.85546875" style="3294" customWidth="1"/>
    <col min="4103" max="4103" width="19" style="3294" customWidth="1"/>
    <col min="4104" max="4104" width="27.140625" style="3294" bestFit="1" customWidth="1"/>
    <col min="4105" max="4105" width="14.85546875" style="3294" customWidth="1"/>
    <col min="4106" max="4106" width="20.28515625" style="3294" customWidth="1"/>
    <col min="4107" max="4107" width="16.42578125" style="3294" customWidth="1"/>
    <col min="4108" max="4108" width="43.7109375" style="3294" customWidth="1"/>
    <col min="4109" max="4109" width="28.7109375" style="3294" customWidth="1"/>
    <col min="4110" max="4111" width="20.85546875" style="3294" customWidth="1"/>
    <col min="4112" max="4123" width="9.85546875" style="3294" customWidth="1"/>
    <col min="4124" max="4124" width="15.7109375" style="3294" customWidth="1"/>
    <col min="4125" max="4125" width="16.42578125" style="3294" customWidth="1"/>
    <col min="4126" max="4126" width="28.7109375" style="3294" customWidth="1"/>
    <col min="4127" max="4127" width="21.42578125" style="3294" customWidth="1"/>
    <col min="4128" max="4128" width="15.7109375" style="3294" bestFit="1" customWidth="1"/>
    <col min="4129" max="4348" width="11.42578125" style="3294"/>
    <col min="4349" max="4349" width="9.140625" style="3294" customWidth="1"/>
    <col min="4350" max="4350" width="20.140625" style="3294" customWidth="1"/>
    <col min="4351" max="4351" width="9.140625" style="3294" customWidth="1"/>
    <col min="4352" max="4352" width="21.7109375" style="3294" customWidth="1"/>
    <col min="4353" max="4353" width="9.140625" style="3294" customWidth="1"/>
    <col min="4354" max="4354" width="21.7109375" style="3294" customWidth="1"/>
    <col min="4355" max="4355" width="9.140625" style="3294" customWidth="1"/>
    <col min="4356" max="4356" width="28.140625" style="3294" customWidth="1"/>
    <col min="4357" max="4357" width="22" style="3294" customWidth="1"/>
    <col min="4358" max="4358" width="39.85546875" style="3294" customWidth="1"/>
    <col min="4359" max="4359" width="19" style="3294" customWidth="1"/>
    <col min="4360" max="4360" width="27.140625" style="3294" bestFit="1" customWidth="1"/>
    <col min="4361" max="4361" width="14.85546875" style="3294" customWidth="1"/>
    <col min="4362" max="4362" width="20.28515625" style="3294" customWidth="1"/>
    <col min="4363" max="4363" width="16.42578125" style="3294" customWidth="1"/>
    <col min="4364" max="4364" width="43.7109375" style="3294" customWidth="1"/>
    <col min="4365" max="4365" width="28.7109375" style="3294" customWidth="1"/>
    <col min="4366" max="4367" width="20.85546875" style="3294" customWidth="1"/>
    <col min="4368" max="4379" width="9.85546875" style="3294" customWidth="1"/>
    <col min="4380" max="4380" width="15.7109375" style="3294" customWidth="1"/>
    <col min="4381" max="4381" width="16.42578125" style="3294" customWidth="1"/>
    <col min="4382" max="4382" width="28.7109375" style="3294" customWidth="1"/>
    <col min="4383" max="4383" width="21.42578125" style="3294" customWidth="1"/>
    <col min="4384" max="4384" width="15.7109375" style="3294" bestFit="1" customWidth="1"/>
    <col min="4385" max="4604" width="11.42578125" style="3294"/>
    <col min="4605" max="4605" width="9.140625" style="3294" customWidth="1"/>
    <col min="4606" max="4606" width="20.140625" style="3294" customWidth="1"/>
    <col min="4607" max="4607" width="9.140625" style="3294" customWidth="1"/>
    <col min="4608" max="4608" width="21.7109375" style="3294" customWidth="1"/>
    <col min="4609" max="4609" width="9.140625" style="3294" customWidth="1"/>
    <col min="4610" max="4610" width="21.7109375" style="3294" customWidth="1"/>
    <col min="4611" max="4611" width="9.140625" style="3294" customWidth="1"/>
    <col min="4612" max="4612" width="28.140625" style="3294" customWidth="1"/>
    <col min="4613" max="4613" width="22" style="3294" customWidth="1"/>
    <col min="4614" max="4614" width="39.85546875" style="3294" customWidth="1"/>
    <col min="4615" max="4615" width="19" style="3294" customWidth="1"/>
    <col min="4616" max="4616" width="27.140625" style="3294" bestFit="1" customWidth="1"/>
    <col min="4617" max="4617" width="14.85546875" style="3294" customWidth="1"/>
    <col min="4618" max="4618" width="20.28515625" style="3294" customWidth="1"/>
    <col min="4619" max="4619" width="16.42578125" style="3294" customWidth="1"/>
    <col min="4620" max="4620" width="43.7109375" style="3294" customWidth="1"/>
    <col min="4621" max="4621" width="28.7109375" style="3294" customWidth="1"/>
    <col min="4622" max="4623" width="20.85546875" style="3294" customWidth="1"/>
    <col min="4624" max="4635" width="9.85546875" style="3294" customWidth="1"/>
    <col min="4636" max="4636" width="15.7109375" style="3294" customWidth="1"/>
    <col min="4637" max="4637" width="16.42578125" style="3294" customWidth="1"/>
    <col min="4638" max="4638" width="28.7109375" style="3294" customWidth="1"/>
    <col min="4639" max="4639" width="21.42578125" style="3294" customWidth="1"/>
    <col min="4640" max="4640" width="15.7109375" style="3294" bestFit="1" customWidth="1"/>
    <col min="4641" max="4860" width="11.42578125" style="3294"/>
    <col min="4861" max="4861" width="9.140625" style="3294" customWidth="1"/>
    <col min="4862" max="4862" width="20.140625" style="3294" customWidth="1"/>
    <col min="4863" max="4863" width="9.140625" style="3294" customWidth="1"/>
    <col min="4864" max="4864" width="21.7109375" style="3294" customWidth="1"/>
    <col min="4865" max="4865" width="9.140625" style="3294" customWidth="1"/>
    <col min="4866" max="4866" width="21.7109375" style="3294" customWidth="1"/>
    <col min="4867" max="4867" width="9.140625" style="3294" customWidth="1"/>
    <col min="4868" max="4868" width="28.140625" style="3294" customWidth="1"/>
    <col min="4869" max="4869" width="22" style="3294" customWidth="1"/>
    <col min="4870" max="4870" width="39.85546875" style="3294" customWidth="1"/>
    <col min="4871" max="4871" width="19" style="3294" customWidth="1"/>
    <col min="4872" max="4872" width="27.140625" style="3294" bestFit="1" customWidth="1"/>
    <col min="4873" max="4873" width="14.85546875" style="3294" customWidth="1"/>
    <col min="4874" max="4874" width="20.28515625" style="3294" customWidth="1"/>
    <col min="4875" max="4875" width="16.42578125" style="3294" customWidth="1"/>
    <col min="4876" max="4876" width="43.7109375" style="3294" customWidth="1"/>
    <col min="4877" max="4877" width="28.7109375" style="3294" customWidth="1"/>
    <col min="4878" max="4879" width="20.85546875" style="3294" customWidth="1"/>
    <col min="4880" max="4891" width="9.85546875" style="3294" customWidth="1"/>
    <col min="4892" max="4892" width="15.7109375" style="3294" customWidth="1"/>
    <col min="4893" max="4893" width="16.42578125" style="3294" customWidth="1"/>
    <col min="4894" max="4894" width="28.7109375" style="3294" customWidth="1"/>
    <col min="4895" max="4895" width="21.42578125" style="3294" customWidth="1"/>
    <col min="4896" max="4896" width="15.7109375" style="3294" bestFit="1" customWidth="1"/>
    <col min="4897" max="5116" width="11.42578125" style="3294"/>
    <col min="5117" max="5117" width="9.140625" style="3294" customWidth="1"/>
    <col min="5118" max="5118" width="20.140625" style="3294" customWidth="1"/>
    <col min="5119" max="5119" width="9.140625" style="3294" customWidth="1"/>
    <col min="5120" max="5120" width="21.7109375" style="3294" customWidth="1"/>
    <col min="5121" max="5121" width="9.140625" style="3294" customWidth="1"/>
    <col min="5122" max="5122" width="21.7109375" style="3294" customWidth="1"/>
    <col min="5123" max="5123" width="9.140625" style="3294" customWidth="1"/>
    <col min="5124" max="5124" width="28.140625" style="3294" customWidth="1"/>
    <col min="5125" max="5125" width="22" style="3294" customWidth="1"/>
    <col min="5126" max="5126" width="39.85546875" style="3294" customWidth="1"/>
    <col min="5127" max="5127" width="19" style="3294" customWidth="1"/>
    <col min="5128" max="5128" width="27.140625" style="3294" bestFit="1" customWidth="1"/>
    <col min="5129" max="5129" width="14.85546875" style="3294" customWidth="1"/>
    <col min="5130" max="5130" width="20.28515625" style="3294" customWidth="1"/>
    <col min="5131" max="5131" width="16.42578125" style="3294" customWidth="1"/>
    <col min="5132" max="5132" width="43.7109375" style="3294" customWidth="1"/>
    <col min="5133" max="5133" width="28.7109375" style="3294" customWidth="1"/>
    <col min="5134" max="5135" width="20.85546875" style="3294" customWidth="1"/>
    <col min="5136" max="5147" width="9.85546875" style="3294" customWidth="1"/>
    <col min="5148" max="5148" width="15.7109375" style="3294" customWidth="1"/>
    <col min="5149" max="5149" width="16.42578125" style="3294" customWidth="1"/>
    <col min="5150" max="5150" width="28.7109375" style="3294" customWidth="1"/>
    <col min="5151" max="5151" width="21.42578125" style="3294" customWidth="1"/>
    <col min="5152" max="5152" width="15.7109375" style="3294" bestFit="1" customWidth="1"/>
    <col min="5153" max="5372" width="11.42578125" style="3294"/>
    <col min="5373" max="5373" width="9.140625" style="3294" customWidth="1"/>
    <col min="5374" max="5374" width="20.140625" style="3294" customWidth="1"/>
    <col min="5375" max="5375" width="9.140625" style="3294" customWidth="1"/>
    <col min="5376" max="5376" width="21.7109375" style="3294" customWidth="1"/>
    <col min="5377" max="5377" width="9.140625" style="3294" customWidth="1"/>
    <col min="5378" max="5378" width="21.7109375" style="3294" customWidth="1"/>
    <col min="5379" max="5379" width="9.140625" style="3294" customWidth="1"/>
    <col min="5380" max="5380" width="28.140625" style="3294" customWidth="1"/>
    <col min="5381" max="5381" width="22" style="3294" customWidth="1"/>
    <col min="5382" max="5382" width="39.85546875" style="3294" customWidth="1"/>
    <col min="5383" max="5383" width="19" style="3294" customWidth="1"/>
    <col min="5384" max="5384" width="27.140625" style="3294" bestFit="1" customWidth="1"/>
    <col min="5385" max="5385" width="14.85546875" style="3294" customWidth="1"/>
    <col min="5386" max="5386" width="20.28515625" style="3294" customWidth="1"/>
    <col min="5387" max="5387" width="16.42578125" style="3294" customWidth="1"/>
    <col min="5388" max="5388" width="43.7109375" style="3294" customWidth="1"/>
    <col min="5389" max="5389" width="28.7109375" style="3294" customWidth="1"/>
    <col min="5390" max="5391" width="20.85546875" style="3294" customWidth="1"/>
    <col min="5392" max="5403" width="9.85546875" style="3294" customWidth="1"/>
    <col min="5404" max="5404" width="15.7109375" style="3294" customWidth="1"/>
    <col min="5405" max="5405" width="16.42578125" style="3294" customWidth="1"/>
    <col min="5406" max="5406" width="28.7109375" style="3294" customWidth="1"/>
    <col min="5407" max="5407" width="21.42578125" style="3294" customWidth="1"/>
    <col min="5408" max="5408" width="15.7109375" style="3294" bestFit="1" customWidth="1"/>
    <col min="5409" max="5628" width="11.42578125" style="3294"/>
    <col min="5629" max="5629" width="9.140625" style="3294" customWidth="1"/>
    <col min="5630" max="5630" width="20.140625" style="3294" customWidth="1"/>
    <col min="5631" max="5631" width="9.140625" style="3294" customWidth="1"/>
    <col min="5632" max="5632" width="21.7109375" style="3294" customWidth="1"/>
    <col min="5633" max="5633" width="9.140625" style="3294" customWidth="1"/>
    <col min="5634" max="5634" width="21.7109375" style="3294" customWidth="1"/>
    <col min="5635" max="5635" width="9.140625" style="3294" customWidth="1"/>
    <col min="5636" max="5636" width="28.140625" style="3294" customWidth="1"/>
    <col min="5637" max="5637" width="22" style="3294" customWidth="1"/>
    <col min="5638" max="5638" width="39.85546875" style="3294" customWidth="1"/>
    <col min="5639" max="5639" width="19" style="3294" customWidth="1"/>
    <col min="5640" max="5640" width="27.140625" style="3294" bestFit="1" customWidth="1"/>
    <col min="5641" max="5641" width="14.85546875" style="3294" customWidth="1"/>
    <col min="5642" max="5642" width="20.28515625" style="3294" customWidth="1"/>
    <col min="5643" max="5643" width="16.42578125" style="3294" customWidth="1"/>
    <col min="5644" max="5644" width="43.7109375" style="3294" customWidth="1"/>
    <col min="5645" max="5645" width="28.7109375" style="3294" customWidth="1"/>
    <col min="5646" max="5647" width="20.85546875" style="3294" customWidth="1"/>
    <col min="5648" max="5659" width="9.85546875" style="3294" customWidth="1"/>
    <col min="5660" max="5660" width="15.7109375" style="3294" customWidth="1"/>
    <col min="5661" max="5661" width="16.42578125" style="3294" customWidth="1"/>
    <col min="5662" max="5662" width="28.7109375" style="3294" customWidth="1"/>
    <col min="5663" max="5663" width="21.42578125" style="3294" customWidth="1"/>
    <col min="5664" max="5664" width="15.7109375" style="3294" bestFit="1" customWidth="1"/>
    <col min="5665" max="5884" width="11.42578125" style="3294"/>
    <col min="5885" max="5885" width="9.140625" style="3294" customWidth="1"/>
    <col min="5886" max="5886" width="20.140625" style="3294" customWidth="1"/>
    <col min="5887" max="5887" width="9.140625" style="3294" customWidth="1"/>
    <col min="5888" max="5888" width="21.7109375" style="3294" customWidth="1"/>
    <col min="5889" max="5889" width="9.140625" style="3294" customWidth="1"/>
    <col min="5890" max="5890" width="21.7109375" style="3294" customWidth="1"/>
    <col min="5891" max="5891" width="9.140625" style="3294" customWidth="1"/>
    <col min="5892" max="5892" width="28.140625" style="3294" customWidth="1"/>
    <col min="5893" max="5893" width="22" style="3294" customWidth="1"/>
    <col min="5894" max="5894" width="39.85546875" style="3294" customWidth="1"/>
    <col min="5895" max="5895" width="19" style="3294" customWidth="1"/>
    <col min="5896" max="5896" width="27.140625" style="3294" bestFit="1" customWidth="1"/>
    <col min="5897" max="5897" width="14.85546875" style="3294" customWidth="1"/>
    <col min="5898" max="5898" width="20.28515625" style="3294" customWidth="1"/>
    <col min="5899" max="5899" width="16.42578125" style="3294" customWidth="1"/>
    <col min="5900" max="5900" width="43.7109375" style="3294" customWidth="1"/>
    <col min="5901" max="5901" width="28.7109375" style="3294" customWidth="1"/>
    <col min="5902" max="5903" width="20.85546875" style="3294" customWidth="1"/>
    <col min="5904" max="5915" width="9.85546875" style="3294" customWidth="1"/>
    <col min="5916" max="5916" width="15.7109375" style="3294" customWidth="1"/>
    <col min="5917" max="5917" width="16.42578125" style="3294" customWidth="1"/>
    <col min="5918" max="5918" width="28.7109375" style="3294" customWidth="1"/>
    <col min="5919" max="5919" width="21.42578125" style="3294" customWidth="1"/>
    <col min="5920" max="5920" width="15.7109375" style="3294" bestFit="1" customWidth="1"/>
    <col min="5921" max="6140" width="11.42578125" style="3294"/>
    <col min="6141" max="6141" width="9.140625" style="3294" customWidth="1"/>
    <col min="6142" max="6142" width="20.140625" style="3294" customWidth="1"/>
    <col min="6143" max="6143" width="9.140625" style="3294" customWidth="1"/>
    <col min="6144" max="6144" width="21.7109375" style="3294" customWidth="1"/>
    <col min="6145" max="6145" width="9.140625" style="3294" customWidth="1"/>
    <col min="6146" max="6146" width="21.7109375" style="3294" customWidth="1"/>
    <col min="6147" max="6147" width="9.140625" style="3294" customWidth="1"/>
    <col min="6148" max="6148" width="28.140625" style="3294" customWidth="1"/>
    <col min="6149" max="6149" width="22" style="3294" customWidth="1"/>
    <col min="6150" max="6150" width="39.85546875" style="3294" customWidth="1"/>
    <col min="6151" max="6151" width="19" style="3294" customWidth="1"/>
    <col min="6152" max="6152" width="27.140625" style="3294" bestFit="1" customWidth="1"/>
    <col min="6153" max="6153" width="14.85546875" style="3294" customWidth="1"/>
    <col min="6154" max="6154" width="20.28515625" style="3294" customWidth="1"/>
    <col min="6155" max="6155" width="16.42578125" style="3294" customWidth="1"/>
    <col min="6156" max="6156" width="43.7109375" style="3294" customWidth="1"/>
    <col min="6157" max="6157" width="28.7109375" style="3294" customWidth="1"/>
    <col min="6158" max="6159" width="20.85546875" style="3294" customWidth="1"/>
    <col min="6160" max="6171" width="9.85546875" style="3294" customWidth="1"/>
    <col min="6172" max="6172" width="15.7109375" style="3294" customWidth="1"/>
    <col min="6173" max="6173" width="16.42578125" style="3294" customWidth="1"/>
    <col min="6174" max="6174" width="28.7109375" style="3294" customWidth="1"/>
    <col min="6175" max="6175" width="21.42578125" style="3294" customWidth="1"/>
    <col min="6176" max="6176" width="15.7109375" style="3294" bestFit="1" customWidth="1"/>
    <col min="6177" max="6396" width="11.42578125" style="3294"/>
    <col min="6397" max="6397" width="9.140625" style="3294" customWidth="1"/>
    <col min="6398" max="6398" width="20.140625" style="3294" customWidth="1"/>
    <col min="6399" max="6399" width="9.140625" style="3294" customWidth="1"/>
    <col min="6400" max="6400" width="21.7109375" style="3294" customWidth="1"/>
    <col min="6401" max="6401" width="9.140625" style="3294" customWidth="1"/>
    <col min="6402" max="6402" width="21.7109375" style="3294" customWidth="1"/>
    <col min="6403" max="6403" width="9.140625" style="3294" customWidth="1"/>
    <col min="6404" max="6404" width="28.140625" style="3294" customWidth="1"/>
    <col min="6405" max="6405" width="22" style="3294" customWidth="1"/>
    <col min="6406" max="6406" width="39.85546875" style="3294" customWidth="1"/>
    <col min="6407" max="6407" width="19" style="3294" customWidth="1"/>
    <col min="6408" max="6408" width="27.140625" style="3294" bestFit="1" customWidth="1"/>
    <col min="6409" max="6409" width="14.85546875" style="3294" customWidth="1"/>
    <col min="6410" max="6410" width="20.28515625" style="3294" customWidth="1"/>
    <col min="6411" max="6411" width="16.42578125" style="3294" customWidth="1"/>
    <col min="6412" max="6412" width="43.7109375" style="3294" customWidth="1"/>
    <col min="6413" max="6413" width="28.7109375" style="3294" customWidth="1"/>
    <col min="6414" max="6415" width="20.85546875" style="3294" customWidth="1"/>
    <col min="6416" max="6427" width="9.85546875" style="3294" customWidth="1"/>
    <col min="6428" max="6428" width="15.7109375" style="3294" customWidth="1"/>
    <col min="6429" max="6429" width="16.42578125" style="3294" customWidth="1"/>
    <col min="6430" max="6430" width="28.7109375" style="3294" customWidth="1"/>
    <col min="6431" max="6431" width="21.42578125" style="3294" customWidth="1"/>
    <col min="6432" max="6432" width="15.7109375" style="3294" bestFit="1" customWidth="1"/>
    <col min="6433" max="6652" width="11.42578125" style="3294"/>
    <col min="6653" max="6653" width="9.140625" style="3294" customWidth="1"/>
    <col min="6654" max="6654" width="20.140625" style="3294" customWidth="1"/>
    <col min="6655" max="6655" width="9.140625" style="3294" customWidth="1"/>
    <col min="6656" max="6656" width="21.7109375" style="3294" customWidth="1"/>
    <col min="6657" max="6657" width="9.140625" style="3294" customWidth="1"/>
    <col min="6658" max="6658" width="21.7109375" style="3294" customWidth="1"/>
    <col min="6659" max="6659" width="9.140625" style="3294" customWidth="1"/>
    <col min="6660" max="6660" width="28.140625" style="3294" customWidth="1"/>
    <col min="6661" max="6661" width="22" style="3294" customWidth="1"/>
    <col min="6662" max="6662" width="39.85546875" style="3294" customWidth="1"/>
    <col min="6663" max="6663" width="19" style="3294" customWidth="1"/>
    <col min="6664" max="6664" width="27.140625" style="3294" bestFit="1" customWidth="1"/>
    <col min="6665" max="6665" width="14.85546875" style="3294" customWidth="1"/>
    <col min="6666" max="6666" width="20.28515625" style="3294" customWidth="1"/>
    <col min="6667" max="6667" width="16.42578125" style="3294" customWidth="1"/>
    <col min="6668" max="6668" width="43.7109375" style="3294" customWidth="1"/>
    <col min="6669" max="6669" width="28.7109375" style="3294" customWidth="1"/>
    <col min="6670" max="6671" width="20.85546875" style="3294" customWidth="1"/>
    <col min="6672" max="6683" width="9.85546875" style="3294" customWidth="1"/>
    <col min="6684" max="6684" width="15.7109375" style="3294" customWidth="1"/>
    <col min="6685" max="6685" width="16.42578125" style="3294" customWidth="1"/>
    <col min="6686" max="6686" width="28.7109375" style="3294" customWidth="1"/>
    <col min="6687" max="6687" width="21.42578125" style="3294" customWidth="1"/>
    <col min="6688" max="6688" width="15.7109375" style="3294" bestFit="1" customWidth="1"/>
    <col min="6689" max="6908" width="11.42578125" style="3294"/>
    <col min="6909" max="6909" width="9.140625" style="3294" customWidth="1"/>
    <col min="6910" max="6910" width="20.140625" style="3294" customWidth="1"/>
    <col min="6911" max="6911" width="9.140625" style="3294" customWidth="1"/>
    <col min="6912" max="6912" width="21.7109375" style="3294" customWidth="1"/>
    <col min="6913" max="6913" width="9.140625" style="3294" customWidth="1"/>
    <col min="6914" max="6914" width="21.7109375" style="3294" customWidth="1"/>
    <col min="6915" max="6915" width="9.140625" style="3294" customWidth="1"/>
    <col min="6916" max="6916" width="28.140625" style="3294" customWidth="1"/>
    <col min="6917" max="6917" width="22" style="3294" customWidth="1"/>
    <col min="6918" max="6918" width="39.85546875" style="3294" customWidth="1"/>
    <col min="6919" max="6919" width="19" style="3294" customWidth="1"/>
    <col min="6920" max="6920" width="27.140625" style="3294" bestFit="1" customWidth="1"/>
    <col min="6921" max="6921" width="14.85546875" style="3294" customWidth="1"/>
    <col min="6922" max="6922" width="20.28515625" style="3294" customWidth="1"/>
    <col min="6923" max="6923" width="16.42578125" style="3294" customWidth="1"/>
    <col min="6924" max="6924" width="43.7109375" style="3294" customWidth="1"/>
    <col min="6925" max="6925" width="28.7109375" style="3294" customWidth="1"/>
    <col min="6926" max="6927" width="20.85546875" style="3294" customWidth="1"/>
    <col min="6928" max="6939" width="9.85546875" style="3294" customWidth="1"/>
    <col min="6940" max="6940" width="15.7109375" style="3294" customWidth="1"/>
    <col min="6941" max="6941" width="16.42578125" style="3294" customWidth="1"/>
    <col min="6942" max="6942" width="28.7109375" style="3294" customWidth="1"/>
    <col min="6943" max="6943" width="21.42578125" style="3294" customWidth="1"/>
    <col min="6944" max="6944" width="15.7109375" style="3294" bestFit="1" customWidth="1"/>
    <col min="6945" max="7164" width="11.42578125" style="3294"/>
    <col min="7165" max="7165" width="9.140625" style="3294" customWidth="1"/>
    <col min="7166" max="7166" width="20.140625" style="3294" customWidth="1"/>
    <col min="7167" max="7167" width="9.140625" style="3294" customWidth="1"/>
    <col min="7168" max="7168" width="21.7109375" style="3294" customWidth="1"/>
    <col min="7169" max="7169" width="9.140625" style="3294" customWidth="1"/>
    <col min="7170" max="7170" width="21.7109375" style="3294" customWidth="1"/>
    <col min="7171" max="7171" width="9.140625" style="3294" customWidth="1"/>
    <col min="7172" max="7172" width="28.140625" style="3294" customWidth="1"/>
    <col min="7173" max="7173" width="22" style="3294" customWidth="1"/>
    <col min="7174" max="7174" width="39.85546875" style="3294" customWidth="1"/>
    <col min="7175" max="7175" width="19" style="3294" customWidth="1"/>
    <col min="7176" max="7176" width="27.140625" style="3294" bestFit="1" customWidth="1"/>
    <col min="7177" max="7177" width="14.85546875" style="3294" customWidth="1"/>
    <col min="7178" max="7178" width="20.28515625" style="3294" customWidth="1"/>
    <col min="7179" max="7179" width="16.42578125" style="3294" customWidth="1"/>
    <col min="7180" max="7180" width="43.7109375" style="3294" customWidth="1"/>
    <col min="7181" max="7181" width="28.7109375" style="3294" customWidth="1"/>
    <col min="7182" max="7183" width="20.85546875" style="3294" customWidth="1"/>
    <col min="7184" max="7195" width="9.85546875" style="3294" customWidth="1"/>
    <col min="7196" max="7196" width="15.7109375" style="3294" customWidth="1"/>
    <col min="7197" max="7197" width="16.42578125" style="3294" customWidth="1"/>
    <col min="7198" max="7198" width="28.7109375" style="3294" customWidth="1"/>
    <col min="7199" max="7199" width="21.42578125" style="3294" customWidth="1"/>
    <col min="7200" max="7200" width="15.7109375" style="3294" bestFit="1" customWidth="1"/>
    <col min="7201" max="7420" width="11.42578125" style="3294"/>
    <col min="7421" max="7421" width="9.140625" style="3294" customWidth="1"/>
    <col min="7422" max="7422" width="20.140625" style="3294" customWidth="1"/>
    <col min="7423" max="7423" width="9.140625" style="3294" customWidth="1"/>
    <col min="7424" max="7424" width="21.7109375" style="3294" customWidth="1"/>
    <col min="7425" max="7425" width="9.140625" style="3294" customWidth="1"/>
    <col min="7426" max="7426" width="21.7109375" style="3294" customWidth="1"/>
    <col min="7427" max="7427" width="9.140625" style="3294" customWidth="1"/>
    <col min="7428" max="7428" width="28.140625" style="3294" customWidth="1"/>
    <col min="7429" max="7429" width="22" style="3294" customWidth="1"/>
    <col min="7430" max="7430" width="39.85546875" style="3294" customWidth="1"/>
    <col min="7431" max="7431" width="19" style="3294" customWidth="1"/>
    <col min="7432" max="7432" width="27.140625" style="3294" bestFit="1" customWidth="1"/>
    <col min="7433" max="7433" width="14.85546875" style="3294" customWidth="1"/>
    <col min="7434" max="7434" width="20.28515625" style="3294" customWidth="1"/>
    <col min="7435" max="7435" width="16.42578125" style="3294" customWidth="1"/>
    <col min="7436" max="7436" width="43.7109375" style="3294" customWidth="1"/>
    <col min="7437" max="7437" width="28.7109375" style="3294" customWidth="1"/>
    <col min="7438" max="7439" width="20.85546875" style="3294" customWidth="1"/>
    <col min="7440" max="7451" width="9.85546875" style="3294" customWidth="1"/>
    <col min="7452" max="7452" width="15.7109375" style="3294" customWidth="1"/>
    <col min="7453" max="7453" width="16.42578125" style="3294" customWidth="1"/>
    <col min="7454" max="7454" width="28.7109375" style="3294" customWidth="1"/>
    <col min="7455" max="7455" width="21.42578125" style="3294" customWidth="1"/>
    <col min="7456" max="7456" width="15.7109375" style="3294" bestFit="1" customWidth="1"/>
    <col min="7457" max="7676" width="11.42578125" style="3294"/>
    <col min="7677" max="7677" width="9.140625" style="3294" customWidth="1"/>
    <col min="7678" max="7678" width="20.140625" style="3294" customWidth="1"/>
    <col min="7679" max="7679" width="9.140625" style="3294" customWidth="1"/>
    <col min="7680" max="7680" width="21.7109375" style="3294" customWidth="1"/>
    <col min="7681" max="7681" width="9.140625" style="3294" customWidth="1"/>
    <col min="7682" max="7682" width="21.7109375" style="3294" customWidth="1"/>
    <col min="7683" max="7683" width="9.140625" style="3294" customWidth="1"/>
    <col min="7684" max="7684" width="28.140625" style="3294" customWidth="1"/>
    <col min="7685" max="7685" width="22" style="3294" customWidth="1"/>
    <col min="7686" max="7686" width="39.85546875" style="3294" customWidth="1"/>
    <col min="7687" max="7687" width="19" style="3294" customWidth="1"/>
    <col min="7688" max="7688" width="27.140625" style="3294" bestFit="1" customWidth="1"/>
    <col min="7689" max="7689" width="14.85546875" style="3294" customWidth="1"/>
    <col min="7690" max="7690" width="20.28515625" style="3294" customWidth="1"/>
    <col min="7691" max="7691" width="16.42578125" style="3294" customWidth="1"/>
    <col min="7692" max="7692" width="43.7109375" style="3294" customWidth="1"/>
    <col min="7693" max="7693" width="28.7109375" style="3294" customWidth="1"/>
    <col min="7694" max="7695" width="20.85546875" style="3294" customWidth="1"/>
    <col min="7696" max="7707" width="9.85546875" style="3294" customWidth="1"/>
    <col min="7708" max="7708" width="15.7109375" style="3294" customWidth="1"/>
    <col min="7709" max="7709" width="16.42578125" style="3294" customWidth="1"/>
    <col min="7710" max="7710" width="28.7109375" style="3294" customWidth="1"/>
    <col min="7711" max="7711" width="21.42578125" style="3294" customWidth="1"/>
    <col min="7712" max="7712" width="15.7109375" style="3294" bestFit="1" customWidth="1"/>
    <col min="7713" max="7932" width="11.42578125" style="3294"/>
    <col min="7933" max="7933" width="9.140625" style="3294" customWidth="1"/>
    <col min="7934" max="7934" width="20.140625" style="3294" customWidth="1"/>
    <col min="7935" max="7935" width="9.140625" style="3294" customWidth="1"/>
    <col min="7936" max="7936" width="21.7109375" style="3294" customWidth="1"/>
    <col min="7937" max="7937" width="9.140625" style="3294" customWidth="1"/>
    <col min="7938" max="7938" width="21.7109375" style="3294" customWidth="1"/>
    <col min="7939" max="7939" width="9.140625" style="3294" customWidth="1"/>
    <col min="7940" max="7940" width="28.140625" style="3294" customWidth="1"/>
    <col min="7941" max="7941" width="22" style="3294" customWidth="1"/>
    <col min="7942" max="7942" width="39.85546875" style="3294" customWidth="1"/>
    <col min="7943" max="7943" width="19" style="3294" customWidth="1"/>
    <col min="7944" max="7944" width="27.140625" style="3294" bestFit="1" customWidth="1"/>
    <col min="7945" max="7945" width="14.85546875" style="3294" customWidth="1"/>
    <col min="7946" max="7946" width="20.28515625" style="3294" customWidth="1"/>
    <col min="7947" max="7947" width="16.42578125" style="3294" customWidth="1"/>
    <col min="7948" max="7948" width="43.7109375" style="3294" customWidth="1"/>
    <col min="7949" max="7949" width="28.7109375" style="3294" customWidth="1"/>
    <col min="7950" max="7951" width="20.85546875" style="3294" customWidth="1"/>
    <col min="7952" max="7963" width="9.85546875" style="3294" customWidth="1"/>
    <col min="7964" max="7964" width="15.7109375" style="3294" customWidth="1"/>
    <col min="7965" max="7965" width="16.42578125" style="3294" customWidth="1"/>
    <col min="7966" max="7966" width="28.7109375" style="3294" customWidth="1"/>
    <col min="7967" max="7967" width="21.42578125" style="3294" customWidth="1"/>
    <col min="7968" max="7968" width="15.7109375" style="3294" bestFit="1" customWidth="1"/>
    <col min="7969" max="8188" width="11.42578125" style="3294"/>
    <col min="8189" max="8189" width="9.140625" style="3294" customWidth="1"/>
    <col min="8190" max="8190" width="20.140625" style="3294" customWidth="1"/>
    <col min="8191" max="8191" width="9.140625" style="3294" customWidth="1"/>
    <col min="8192" max="8192" width="21.7109375" style="3294" customWidth="1"/>
    <col min="8193" max="8193" width="9.140625" style="3294" customWidth="1"/>
    <col min="8194" max="8194" width="21.7109375" style="3294" customWidth="1"/>
    <col min="8195" max="8195" width="9.140625" style="3294" customWidth="1"/>
    <col min="8196" max="8196" width="28.140625" style="3294" customWidth="1"/>
    <col min="8197" max="8197" width="22" style="3294" customWidth="1"/>
    <col min="8198" max="8198" width="39.85546875" style="3294" customWidth="1"/>
    <col min="8199" max="8199" width="19" style="3294" customWidth="1"/>
    <col min="8200" max="8200" width="27.140625" style="3294" bestFit="1" customWidth="1"/>
    <col min="8201" max="8201" width="14.85546875" style="3294" customWidth="1"/>
    <col min="8202" max="8202" width="20.28515625" style="3294" customWidth="1"/>
    <col min="8203" max="8203" width="16.42578125" style="3294" customWidth="1"/>
    <col min="8204" max="8204" width="43.7109375" style="3294" customWidth="1"/>
    <col min="8205" max="8205" width="28.7109375" style="3294" customWidth="1"/>
    <col min="8206" max="8207" width="20.85546875" style="3294" customWidth="1"/>
    <col min="8208" max="8219" width="9.85546875" style="3294" customWidth="1"/>
    <col min="8220" max="8220" width="15.7109375" style="3294" customWidth="1"/>
    <col min="8221" max="8221" width="16.42578125" style="3294" customWidth="1"/>
    <col min="8222" max="8222" width="28.7109375" style="3294" customWidth="1"/>
    <col min="8223" max="8223" width="21.42578125" style="3294" customWidth="1"/>
    <col min="8224" max="8224" width="15.7109375" style="3294" bestFit="1" customWidth="1"/>
    <col min="8225" max="8444" width="11.42578125" style="3294"/>
    <col min="8445" max="8445" width="9.140625" style="3294" customWidth="1"/>
    <col min="8446" max="8446" width="20.140625" style="3294" customWidth="1"/>
    <col min="8447" max="8447" width="9.140625" style="3294" customWidth="1"/>
    <col min="8448" max="8448" width="21.7109375" style="3294" customWidth="1"/>
    <col min="8449" max="8449" width="9.140625" style="3294" customWidth="1"/>
    <col min="8450" max="8450" width="21.7109375" style="3294" customWidth="1"/>
    <col min="8451" max="8451" width="9.140625" style="3294" customWidth="1"/>
    <col min="8452" max="8452" width="28.140625" style="3294" customWidth="1"/>
    <col min="8453" max="8453" width="22" style="3294" customWidth="1"/>
    <col min="8454" max="8454" width="39.85546875" style="3294" customWidth="1"/>
    <col min="8455" max="8455" width="19" style="3294" customWidth="1"/>
    <col min="8456" max="8456" width="27.140625" style="3294" bestFit="1" customWidth="1"/>
    <col min="8457" max="8457" width="14.85546875" style="3294" customWidth="1"/>
    <col min="8458" max="8458" width="20.28515625" style="3294" customWidth="1"/>
    <col min="8459" max="8459" width="16.42578125" style="3294" customWidth="1"/>
    <col min="8460" max="8460" width="43.7109375" style="3294" customWidth="1"/>
    <col min="8461" max="8461" width="28.7109375" style="3294" customWidth="1"/>
    <col min="8462" max="8463" width="20.85546875" style="3294" customWidth="1"/>
    <col min="8464" max="8475" width="9.85546875" style="3294" customWidth="1"/>
    <col min="8476" max="8476" width="15.7109375" style="3294" customWidth="1"/>
    <col min="8477" max="8477" width="16.42578125" style="3294" customWidth="1"/>
    <col min="8478" max="8478" width="28.7109375" style="3294" customWidth="1"/>
    <col min="8479" max="8479" width="21.42578125" style="3294" customWidth="1"/>
    <col min="8480" max="8480" width="15.7109375" style="3294" bestFit="1" customWidth="1"/>
    <col min="8481" max="8700" width="11.42578125" style="3294"/>
    <col min="8701" max="8701" width="9.140625" style="3294" customWidth="1"/>
    <col min="8702" max="8702" width="20.140625" style="3294" customWidth="1"/>
    <col min="8703" max="8703" width="9.140625" style="3294" customWidth="1"/>
    <col min="8704" max="8704" width="21.7109375" style="3294" customWidth="1"/>
    <col min="8705" max="8705" width="9.140625" style="3294" customWidth="1"/>
    <col min="8706" max="8706" width="21.7109375" style="3294" customWidth="1"/>
    <col min="8707" max="8707" width="9.140625" style="3294" customWidth="1"/>
    <col min="8708" max="8708" width="28.140625" style="3294" customWidth="1"/>
    <col min="8709" max="8709" width="22" style="3294" customWidth="1"/>
    <col min="8710" max="8710" width="39.85546875" style="3294" customWidth="1"/>
    <col min="8711" max="8711" width="19" style="3294" customWidth="1"/>
    <col min="8712" max="8712" width="27.140625" style="3294" bestFit="1" customWidth="1"/>
    <col min="8713" max="8713" width="14.85546875" style="3294" customWidth="1"/>
    <col min="8714" max="8714" width="20.28515625" style="3294" customWidth="1"/>
    <col min="8715" max="8715" width="16.42578125" style="3294" customWidth="1"/>
    <col min="8716" max="8716" width="43.7109375" style="3294" customWidth="1"/>
    <col min="8717" max="8717" width="28.7109375" style="3294" customWidth="1"/>
    <col min="8718" max="8719" width="20.85546875" style="3294" customWidth="1"/>
    <col min="8720" max="8731" width="9.85546875" style="3294" customWidth="1"/>
    <col min="8732" max="8732" width="15.7109375" style="3294" customWidth="1"/>
    <col min="8733" max="8733" width="16.42578125" style="3294" customWidth="1"/>
    <col min="8734" max="8734" width="28.7109375" style="3294" customWidth="1"/>
    <col min="8735" max="8735" width="21.42578125" style="3294" customWidth="1"/>
    <col min="8736" max="8736" width="15.7109375" style="3294" bestFit="1" customWidth="1"/>
    <col min="8737" max="8956" width="11.42578125" style="3294"/>
    <col min="8957" max="8957" width="9.140625" style="3294" customWidth="1"/>
    <col min="8958" max="8958" width="20.140625" style="3294" customWidth="1"/>
    <col min="8959" max="8959" width="9.140625" style="3294" customWidth="1"/>
    <col min="8960" max="8960" width="21.7109375" style="3294" customWidth="1"/>
    <col min="8961" max="8961" width="9.140625" style="3294" customWidth="1"/>
    <col min="8962" max="8962" width="21.7109375" style="3294" customWidth="1"/>
    <col min="8963" max="8963" width="9.140625" style="3294" customWidth="1"/>
    <col min="8964" max="8964" width="28.140625" style="3294" customWidth="1"/>
    <col min="8965" max="8965" width="22" style="3294" customWidth="1"/>
    <col min="8966" max="8966" width="39.85546875" style="3294" customWidth="1"/>
    <col min="8967" max="8967" width="19" style="3294" customWidth="1"/>
    <col min="8968" max="8968" width="27.140625" style="3294" bestFit="1" customWidth="1"/>
    <col min="8969" max="8969" width="14.85546875" style="3294" customWidth="1"/>
    <col min="8970" max="8970" width="20.28515625" style="3294" customWidth="1"/>
    <col min="8971" max="8971" width="16.42578125" style="3294" customWidth="1"/>
    <col min="8972" max="8972" width="43.7109375" style="3294" customWidth="1"/>
    <col min="8973" max="8973" width="28.7109375" style="3294" customWidth="1"/>
    <col min="8974" max="8975" width="20.85546875" style="3294" customWidth="1"/>
    <col min="8976" max="8987" width="9.85546875" style="3294" customWidth="1"/>
    <col min="8988" max="8988" width="15.7109375" style="3294" customWidth="1"/>
    <col min="8989" max="8989" width="16.42578125" style="3294" customWidth="1"/>
    <col min="8990" max="8990" width="28.7109375" style="3294" customWidth="1"/>
    <col min="8991" max="8991" width="21.42578125" style="3294" customWidth="1"/>
    <col min="8992" max="8992" width="15.7109375" style="3294" bestFit="1" customWidth="1"/>
    <col min="8993" max="9212" width="11.42578125" style="3294"/>
    <col min="9213" max="9213" width="9.140625" style="3294" customWidth="1"/>
    <col min="9214" max="9214" width="20.140625" style="3294" customWidth="1"/>
    <col min="9215" max="9215" width="9.140625" style="3294" customWidth="1"/>
    <col min="9216" max="9216" width="21.7109375" style="3294" customWidth="1"/>
    <col min="9217" max="9217" width="9.140625" style="3294" customWidth="1"/>
    <col min="9218" max="9218" width="21.7109375" style="3294" customWidth="1"/>
    <col min="9219" max="9219" width="9.140625" style="3294" customWidth="1"/>
    <col min="9220" max="9220" width="28.140625" style="3294" customWidth="1"/>
    <col min="9221" max="9221" width="22" style="3294" customWidth="1"/>
    <col min="9222" max="9222" width="39.85546875" style="3294" customWidth="1"/>
    <col min="9223" max="9223" width="19" style="3294" customWidth="1"/>
    <col min="9224" max="9224" width="27.140625" style="3294" bestFit="1" customWidth="1"/>
    <col min="9225" max="9225" width="14.85546875" style="3294" customWidth="1"/>
    <col min="9226" max="9226" width="20.28515625" style="3294" customWidth="1"/>
    <col min="9227" max="9227" width="16.42578125" style="3294" customWidth="1"/>
    <col min="9228" max="9228" width="43.7109375" style="3294" customWidth="1"/>
    <col min="9229" max="9229" width="28.7109375" style="3294" customWidth="1"/>
    <col min="9230" max="9231" width="20.85546875" style="3294" customWidth="1"/>
    <col min="9232" max="9243" width="9.85546875" style="3294" customWidth="1"/>
    <col min="9244" max="9244" width="15.7109375" style="3294" customWidth="1"/>
    <col min="9245" max="9245" width="16.42578125" style="3294" customWidth="1"/>
    <col min="9246" max="9246" width="28.7109375" style="3294" customWidth="1"/>
    <col min="9247" max="9247" width="21.42578125" style="3294" customWidth="1"/>
    <col min="9248" max="9248" width="15.7109375" style="3294" bestFit="1" customWidth="1"/>
    <col min="9249" max="9468" width="11.42578125" style="3294"/>
    <col min="9469" max="9469" width="9.140625" style="3294" customWidth="1"/>
    <col min="9470" max="9470" width="20.140625" style="3294" customWidth="1"/>
    <col min="9471" max="9471" width="9.140625" style="3294" customWidth="1"/>
    <col min="9472" max="9472" width="21.7109375" style="3294" customWidth="1"/>
    <col min="9473" max="9473" width="9.140625" style="3294" customWidth="1"/>
    <col min="9474" max="9474" width="21.7109375" style="3294" customWidth="1"/>
    <col min="9475" max="9475" width="9.140625" style="3294" customWidth="1"/>
    <col min="9476" max="9476" width="28.140625" style="3294" customWidth="1"/>
    <col min="9477" max="9477" width="22" style="3294" customWidth="1"/>
    <col min="9478" max="9478" width="39.85546875" style="3294" customWidth="1"/>
    <col min="9479" max="9479" width="19" style="3294" customWidth="1"/>
    <col min="9480" max="9480" width="27.140625" style="3294" bestFit="1" customWidth="1"/>
    <col min="9481" max="9481" width="14.85546875" style="3294" customWidth="1"/>
    <col min="9482" max="9482" width="20.28515625" style="3294" customWidth="1"/>
    <col min="9483" max="9483" width="16.42578125" style="3294" customWidth="1"/>
    <col min="9484" max="9484" width="43.7109375" style="3294" customWidth="1"/>
    <col min="9485" max="9485" width="28.7109375" style="3294" customWidth="1"/>
    <col min="9486" max="9487" width="20.85546875" style="3294" customWidth="1"/>
    <col min="9488" max="9499" width="9.85546875" style="3294" customWidth="1"/>
    <col min="9500" max="9500" width="15.7109375" style="3294" customWidth="1"/>
    <col min="9501" max="9501" width="16.42578125" style="3294" customWidth="1"/>
    <col min="9502" max="9502" width="28.7109375" style="3294" customWidth="1"/>
    <col min="9503" max="9503" width="21.42578125" style="3294" customWidth="1"/>
    <col min="9504" max="9504" width="15.7109375" style="3294" bestFit="1" customWidth="1"/>
    <col min="9505" max="9724" width="11.42578125" style="3294"/>
    <col min="9725" max="9725" width="9.140625" style="3294" customWidth="1"/>
    <col min="9726" max="9726" width="20.140625" style="3294" customWidth="1"/>
    <col min="9727" max="9727" width="9.140625" style="3294" customWidth="1"/>
    <col min="9728" max="9728" width="21.7109375" style="3294" customWidth="1"/>
    <col min="9729" max="9729" width="9.140625" style="3294" customWidth="1"/>
    <col min="9730" max="9730" width="21.7109375" style="3294" customWidth="1"/>
    <col min="9731" max="9731" width="9.140625" style="3294" customWidth="1"/>
    <col min="9732" max="9732" width="28.140625" style="3294" customWidth="1"/>
    <col min="9733" max="9733" width="22" style="3294" customWidth="1"/>
    <col min="9734" max="9734" width="39.85546875" style="3294" customWidth="1"/>
    <col min="9735" max="9735" width="19" style="3294" customWidth="1"/>
    <col min="9736" max="9736" width="27.140625" style="3294" bestFit="1" customWidth="1"/>
    <col min="9737" max="9737" width="14.85546875" style="3294" customWidth="1"/>
    <col min="9738" max="9738" width="20.28515625" style="3294" customWidth="1"/>
    <col min="9739" max="9739" width="16.42578125" style="3294" customWidth="1"/>
    <col min="9740" max="9740" width="43.7109375" style="3294" customWidth="1"/>
    <col min="9741" max="9741" width="28.7109375" style="3294" customWidth="1"/>
    <col min="9742" max="9743" width="20.85546875" style="3294" customWidth="1"/>
    <col min="9744" max="9755" width="9.85546875" style="3294" customWidth="1"/>
    <col min="9756" max="9756" width="15.7109375" style="3294" customWidth="1"/>
    <col min="9757" max="9757" width="16.42578125" style="3294" customWidth="1"/>
    <col min="9758" max="9758" width="28.7109375" style="3294" customWidth="1"/>
    <col min="9759" max="9759" width="21.42578125" style="3294" customWidth="1"/>
    <col min="9760" max="9760" width="15.7109375" style="3294" bestFit="1" customWidth="1"/>
    <col min="9761" max="9980" width="11.42578125" style="3294"/>
    <col min="9981" max="9981" width="9.140625" style="3294" customWidth="1"/>
    <col min="9982" max="9982" width="20.140625" style="3294" customWidth="1"/>
    <col min="9983" max="9983" width="9.140625" style="3294" customWidth="1"/>
    <col min="9984" max="9984" width="21.7109375" style="3294" customWidth="1"/>
    <col min="9985" max="9985" width="9.140625" style="3294" customWidth="1"/>
    <col min="9986" max="9986" width="21.7109375" style="3294" customWidth="1"/>
    <col min="9987" max="9987" width="9.140625" style="3294" customWidth="1"/>
    <col min="9988" max="9988" width="28.140625" style="3294" customWidth="1"/>
    <col min="9989" max="9989" width="22" style="3294" customWidth="1"/>
    <col min="9990" max="9990" width="39.85546875" style="3294" customWidth="1"/>
    <col min="9991" max="9991" width="19" style="3294" customWidth="1"/>
    <col min="9992" max="9992" width="27.140625" style="3294" bestFit="1" customWidth="1"/>
    <col min="9993" max="9993" width="14.85546875" style="3294" customWidth="1"/>
    <col min="9994" max="9994" width="20.28515625" style="3294" customWidth="1"/>
    <col min="9995" max="9995" width="16.42578125" style="3294" customWidth="1"/>
    <col min="9996" max="9996" width="43.7109375" style="3294" customWidth="1"/>
    <col min="9997" max="9997" width="28.7109375" style="3294" customWidth="1"/>
    <col min="9998" max="9999" width="20.85546875" style="3294" customWidth="1"/>
    <col min="10000" max="10011" width="9.85546875" style="3294" customWidth="1"/>
    <col min="10012" max="10012" width="15.7109375" style="3294" customWidth="1"/>
    <col min="10013" max="10013" width="16.42578125" style="3294" customWidth="1"/>
    <col min="10014" max="10014" width="28.7109375" style="3294" customWidth="1"/>
    <col min="10015" max="10015" width="21.42578125" style="3294" customWidth="1"/>
    <col min="10016" max="10016" width="15.7109375" style="3294" bestFit="1" customWidth="1"/>
    <col min="10017" max="10236" width="11.42578125" style="3294"/>
    <col min="10237" max="10237" width="9.140625" style="3294" customWidth="1"/>
    <col min="10238" max="10238" width="20.140625" style="3294" customWidth="1"/>
    <col min="10239" max="10239" width="9.140625" style="3294" customWidth="1"/>
    <col min="10240" max="10240" width="21.7109375" style="3294" customWidth="1"/>
    <col min="10241" max="10241" width="9.140625" style="3294" customWidth="1"/>
    <col min="10242" max="10242" width="21.7109375" style="3294" customWidth="1"/>
    <col min="10243" max="10243" width="9.140625" style="3294" customWidth="1"/>
    <col min="10244" max="10244" width="28.140625" style="3294" customWidth="1"/>
    <col min="10245" max="10245" width="22" style="3294" customWidth="1"/>
    <col min="10246" max="10246" width="39.85546875" style="3294" customWidth="1"/>
    <col min="10247" max="10247" width="19" style="3294" customWidth="1"/>
    <col min="10248" max="10248" width="27.140625" style="3294" bestFit="1" customWidth="1"/>
    <col min="10249" max="10249" width="14.85546875" style="3294" customWidth="1"/>
    <col min="10250" max="10250" width="20.28515625" style="3294" customWidth="1"/>
    <col min="10251" max="10251" width="16.42578125" style="3294" customWidth="1"/>
    <col min="10252" max="10252" width="43.7109375" style="3294" customWidth="1"/>
    <col min="10253" max="10253" width="28.7109375" style="3294" customWidth="1"/>
    <col min="10254" max="10255" width="20.85546875" style="3294" customWidth="1"/>
    <col min="10256" max="10267" width="9.85546875" style="3294" customWidth="1"/>
    <col min="10268" max="10268" width="15.7109375" style="3294" customWidth="1"/>
    <col min="10269" max="10269" width="16.42578125" style="3294" customWidth="1"/>
    <col min="10270" max="10270" width="28.7109375" style="3294" customWidth="1"/>
    <col min="10271" max="10271" width="21.42578125" style="3294" customWidth="1"/>
    <col min="10272" max="10272" width="15.7109375" style="3294" bestFit="1" customWidth="1"/>
    <col min="10273" max="10492" width="11.42578125" style="3294"/>
    <col min="10493" max="10493" width="9.140625" style="3294" customWidth="1"/>
    <col min="10494" max="10494" width="20.140625" style="3294" customWidth="1"/>
    <col min="10495" max="10495" width="9.140625" style="3294" customWidth="1"/>
    <col min="10496" max="10496" width="21.7109375" style="3294" customWidth="1"/>
    <col min="10497" max="10497" width="9.140625" style="3294" customWidth="1"/>
    <col min="10498" max="10498" width="21.7109375" style="3294" customWidth="1"/>
    <col min="10499" max="10499" width="9.140625" style="3294" customWidth="1"/>
    <col min="10500" max="10500" width="28.140625" style="3294" customWidth="1"/>
    <col min="10501" max="10501" width="22" style="3294" customWidth="1"/>
    <col min="10502" max="10502" width="39.85546875" style="3294" customWidth="1"/>
    <col min="10503" max="10503" width="19" style="3294" customWidth="1"/>
    <col min="10504" max="10504" width="27.140625" style="3294" bestFit="1" customWidth="1"/>
    <col min="10505" max="10505" width="14.85546875" style="3294" customWidth="1"/>
    <col min="10506" max="10506" width="20.28515625" style="3294" customWidth="1"/>
    <col min="10507" max="10507" width="16.42578125" style="3294" customWidth="1"/>
    <col min="10508" max="10508" width="43.7109375" style="3294" customWidth="1"/>
    <col min="10509" max="10509" width="28.7109375" style="3294" customWidth="1"/>
    <col min="10510" max="10511" width="20.85546875" style="3294" customWidth="1"/>
    <col min="10512" max="10523" width="9.85546875" style="3294" customWidth="1"/>
    <col min="10524" max="10524" width="15.7109375" style="3294" customWidth="1"/>
    <col min="10525" max="10525" width="16.42578125" style="3294" customWidth="1"/>
    <col min="10526" max="10526" width="28.7109375" style="3294" customWidth="1"/>
    <col min="10527" max="10527" width="21.42578125" style="3294" customWidth="1"/>
    <col min="10528" max="10528" width="15.7109375" style="3294" bestFit="1" customWidth="1"/>
    <col min="10529" max="10748" width="11.42578125" style="3294"/>
    <col min="10749" max="10749" width="9.140625" style="3294" customWidth="1"/>
    <col min="10750" max="10750" width="20.140625" style="3294" customWidth="1"/>
    <col min="10751" max="10751" width="9.140625" style="3294" customWidth="1"/>
    <col min="10752" max="10752" width="21.7109375" style="3294" customWidth="1"/>
    <col min="10753" max="10753" width="9.140625" style="3294" customWidth="1"/>
    <col min="10754" max="10754" width="21.7109375" style="3294" customWidth="1"/>
    <col min="10755" max="10755" width="9.140625" style="3294" customWidth="1"/>
    <col min="10756" max="10756" width="28.140625" style="3294" customWidth="1"/>
    <col min="10757" max="10757" width="22" style="3294" customWidth="1"/>
    <col min="10758" max="10758" width="39.85546875" style="3294" customWidth="1"/>
    <col min="10759" max="10759" width="19" style="3294" customWidth="1"/>
    <col min="10760" max="10760" width="27.140625" style="3294" bestFit="1" customWidth="1"/>
    <col min="10761" max="10761" width="14.85546875" style="3294" customWidth="1"/>
    <col min="10762" max="10762" width="20.28515625" style="3294" customWidth="1"/>
    <col min="10763" max="10763" width="16.42578125" style="3294" customWidth="1"/>
    <col min="10764" max="10764" width="43.7109375" style="3294" customWidth="1"/>
    <col min="10765" max="10765" width="28.7109375" style="3294" customWidth="1"/>
    <col min="10766" max="10767" width="20.85546875" style="3294" customWidth="1"/>
    <col min="10768" max="10779" width="9.85546875" style="3294" customWidth="1"/>
    <col min="10780" max="10780" width="15.7109375" style="3294" customWidth="1"/>
    <col min="10781" max="10781" width="16.42578125" style="3294" customWidth="1"/>
    <col min="10782" max="10782" width="28.7109375" style="3294" customWidth="1"/>
    <col min="10783" max="10783" width="21.42578125" style="3294" customWidth="1"/>
    <col min="10784" max="10784" width="15.7109375" style="3294" bestFit="1" customWidth="1"/>
    <col min="10785" max="11004" width="11.42578125" style="3294"/>
    <col min="11005" max="11005" width="9.140625" style="3294" customWidth="1"/>
    <col min="11006" max="11006" width="20.140625" style="3294" customWidth="1"/>
    <col min="11007" max="11007" width="9.140625" style="3294" customWidth="1"/>
    <col min="11008" max="11008" width="21.7109375" style="3294" customWidth="1"/>
    <col min="11009" max="11009" width="9.140625" style="3294" customWidth="1"/>
    <col min="11010" max="11010" width="21.7109375" style="3294" customWidth="1"/>
    <col min="11011" max="11011" width="9.140625" style="3294" customWidth="1"/>
    <col min="11012" max="11012" width="28.140625" style="3294" customWidth="1"/>
    <col min="11013" max="11013" width="22" style="3294" customWidth="1"/>
    <col min="11014" max="11014" width="39.85546875" style="3294" customWidth="1"/>
    <col min="11015" max="11015" width="19" style="3294" customWidth="1"/>
    <col min="11016" max="11016" width="27.140625" style="3294" bestFit="1" customWidth="1"/>
    <col min="11017" max="11017" width="14.85546875" style="3294" customWidth="1"/>
    <col min="11018" max="11018" width="20.28515625" style="3294" customWidth="1"/>
    <col min="11019" max="11019" width="16.42578125" style="3294" customWidth="1"/>
    <col min="11020" max="11020" width="43.7109375" style="3294" customWidth="1"/>
    <col min="11021" max="11021" width="28.7109375" style="3294" customWidth="1"/>
    <col min="11022" max="11023" width="20.85546875" style="3294" customWidth="1"/>
    <col min="11024" max="11035" width="9.85546875" style="3294" customWidth="1"/>
    <col min="11036" max="11036" width="15.7109375" style="3294" customWidth="1"/>
    <col min="11037" max="11037" width="16.42578125" style="3294" customWidth="1"/>
    <col min="11038" max="11038" width="28.7109375" style="3294" customWidth="1"/>
    <col min="11039" max="11039" width="21.42578125" style="3294" customWidth="1"/>
    <col min="11040" max="11040" width="15.7109375" style="3294" bestFit="1" customWidth="1"/>
    <col min="11041" max="11260" width="11.42578125" style="3294"/>
    <col min="11261" max="11261" width="9.140625" style="3294" customWidth="1"/>
    <col min="11262" max="11262" width="20.140625" style="3294" customWidth="1"/>
    <col min="11263" max="11263" width="9.140625" style="3294" customWidth="1"/>
    <col min="11264" max="11264" width="21.7109375" style="3294" customWidth="1"/>
    <col min="11265" max="11265" width="9.140625" style="3294" customWidth="1"/>
    <col min="11266" max="11266" width="21.7109375" style="3294" customWidth="1"/>
    <col min="11267" max="11267" width="9.140625" style="3294" customWidth="1"/>
    <col min="11268" max="11268" width="28.140625" style="3294" customWidth="1"/>
    <col min="11269" max="11269" width="22" style="3294" customWidth="1"/>
    <col min="11270" max="11270" width="39.85546875" style="3294" customWidth="1"/>
    <col min="11271" max="11271" width="19" style="3294" customWidth="1"/>
    <col min="11272" max="11272" width="27.140625" style="3294" bestFit="1" customWidth="1"/>
    <col min="11273" max="11273" width="14.85546875" style="3294" customWidth="1"/>
    <col min="11274" max="11274" width="20.28515625" style="3294" customWidth="1"/>
    <col min="11275" max="11275" width="16.42578125" style="3294" customWidth="1"/>
    <col min="11276" max="11276" width="43.7109375" style="3294" customWidth="1"/>
    <col min="11277" max="11277" width="28.7109375" style="3294" customWidth="1"/>
    <col min="11278" max="11279" width="20.85546875" style="3294" customWidth="1"/>
    <col min="11280" max="11291" width="9.85546875" style="3294" customWidth="1"/>
    <col min="11292" max="11292" width="15.7109375" style="3294" customWidth="1"/>
    <col min="11293" max="11293" width="16.42578125" style="3294" customWidth="1"/>
    <col min="11294" max="11294" width="28.7109375" style="3294" customWidth="1"/>
    <col min="11295" max="11295" width="21.42578125" style="3294" customWidth="1"/>
    <col min="11296" max="11296" width="15.7109375" style="3294" bestFit="1" customWidth="1"/>
    <col min="11297" max="11516" width="11.42578125" style="3294"/>
    <col min="11517" max="11517" width="9.140625" style="3294" customWidth="1"/>
    <col min="11518" max="11518" width="20.140625" style="3294" customWidth="1"/>
    <col min="11519" max="11519" width="9.140625" style="3294" customWidth="1"/>
    <col min="11520" max="11520" width="21.7109375" style="3294" customWidth="1"/>
    <col min="11521" max="11521" width="9.140625" style="3294" customWidth="1"/>
    <col min="11522" max="11522" width="21.7109375" style="3294" customWidth="1"/>
    <col min="11523" max="11523" width="9.140625" style="3294" customWidth="1"/>
    <col min="11524" max="11524" width="28.140625" style="3294" customWidth="1"/>
    <col min="11525" max="11525" width="22" style="3294" customWidth="1"/>
    <col min="11526" max="11526" width="39.85546875" style="3294" customWidth="1"/>
    <col min="11527" max="11527" width="19" style="3294" customWidth="1"/>
    <col min="11528" max="11528" width="27.140625" style="3294" bestFit="1" customWidth="1"/>
    <col min="11529" max="11529" width="14.85546875" style="3294" customWidth="1"/>
    <col min="11530" max="11530" width="20.28515625" style="3294" customWidth="1"/>
    <col min="11531" max="11531" width="16.42578125" style="3294" customWidth="1"/>
    <col min="11532" max="11532" width="43.7109375" style="3294" customWidth="1"/>
    <col min="11533" max="11533" width="28.7109375" style="3294" customWidth="1"/>
    <col min="11534" max="11535" width="20.85546875" style="3294" customWidth="1"/>
    <col min="11536" max="11547" width="9.85546875" style="3294" customWidth="1"/>
    <col min="11548" max="11548" width="15.7109375" style="3294" customWidth="1"/>
    <col min="11549" max="11549" width="16.42578125" style="3294" customWidth="1"/>
    <col min="11550" max="11550" width="28.7109375" style="3294" customWidth="1"/>
    <col min="11551" max="11551" width="21.42578125" style="3294" customWidth="1"/>
    <col min="11552" max="11552" width="15.7109375" style="3294" bestFit="1" customWidth="1"/>
    <col min="11553" max="11772" width="11.42578125" style="3294"/>
    <col min="11773" max="11773" width="9.140625" style="3294" customWidth="1"/>
    <col min="11774" max="11774" width="20.140625" style="3294" customWidth="1"/>
    <col min="11775" max="11775" width="9.140625" style="3294" customWidth="1"/>
    <col min="11776" max="11776" width="21.7109375" style="3294" customWidth="1"/>
    <col min="11777" max="11777" width="9.140625" style="3294" customWidth="1"/>
    <col min="11778" max="11778" width="21.7109375" style="3294" customWidth="1"/>
    <col min="11779" max="11779" width="9.140625" style="3294" customWidth="1"/>
    <col min="11780" max="11780" width="28.140625" style="3294" customWidth="1"/>
    <col min="11781" max="11781" width="22" style="3294" customWidth="1"/>
    <col min="11782" max="11782" width="39.85546875" style="3294" customWidth="1"/>
    <col min="11783" max="11783" width="19" style="3294" customWidth="1"/>
    <col min="11784" max="11784" width="27.140625" style="3294" bestFit="1" customWidth="1"/>
    <col min="11785" max="11785" width="14.85546875" style="3294" customWidth="1"/>
    <col min="11786" max="11786" width="20.28515625" style="3294" customWidth="1"/>
    <col min="11787" max="11787" width="16.42578125" style="3294" customWidth="1"/>
    <col min="11788" max="11788" width="43.7109375" style="3294" customWidth="1"/>
    <col min="11789" max="11789" width="28.7109375" style="3294" customWidth="1"/>
    <col min="11790" max="11791" width="20.85546875" style="3294" customWidth="1"/>
    <col min="11792" max="11803" width="9.85546875" style="3294" customWidth="1"/>
    <col min="11804" max="11804" width="15.7109375" style="3294" customWidth="1"/>
    <col min="11805" max="11805" width="16.42578125" style="3294" customWidth="1"/>
    <col min="11806" max="11806" width="28.7109375" style="3294" customWidth="1"/>
    <col min="11807" max="11807" width="21.42578125" style="3294" customWidth="1"/>
    <col min="11808" max="11808" width="15.7109375" style="3294" bestFit="1" customWidth="1"/>
    <col min="11809" max="12028" width="11.42578125" style="3294"/>
    <col min="12029" max="12029" width="9.140625" style="3294" customWidth="1"/>
    <col min="12030" max="12030" width="20.140625" style="3294" customWidth="1"/>
    <col min="12031" max="12031" width="9.140625" style="3294" customWidth="1"/>
    <col min="12032" max="12032" width="21.7109375" style="3294" customWidth="1"/>
    <col min="12033" max="12033" width="9.140625" style="3294" customWidth="1"/>
    <col min="12034" max="12034" width="21.7109375" style="3294" customWidth="1"/>
    <col min="12035" max="12035" width="9.140625" style="3294" customWidth="1"/>
    <col min="12036" max="12036" width="28.140625" style="3294" customWidth="1"/>
    <col min="12037" max="12037" width="22" style="3294" customWidth="1"/>
    <col min="12038" max="12038" width="39.85546875" style="3294" customWidth="1"/>
    <col min="12039" max="12039" width="19" style="3294" customWidth="1"/>
    <col min="12040" max="12040" width="27.140625" style="3294" bestFit="1" customWidth="1"/>
    <col min="12041" max="12041" width="14.85546875" style="3294" customWidth="1"/>
    <col min="12042" max="12042" width="20.28515625" style="3294" customWidth="1"/>
    <col min="12043" max="12043" width="16.42578125" style="3294" customWidth="1"/>
    <col min="12044" max="12044" width="43.7109375" style="3294" customWidth="1"/>
    <col min="12045" max="12045" width="28.7109375" style="3294" customWidth="1"/>
    <col min="12046" max="12047" width="20.85546875" style="3294" customWidth="1"/>
    <col min="12048" max="12059" width="9.85546875" style="3294" customWidth="1"/>
    <col min="12060" max="12060" width="15.7109375" style="3294" customWidth="1"/>
    <col min="12061" max="12061" width="16.42578125" style="3294" customWidth="1"/>
    <col min="12062" max="12062" width="28.7109375" style="3294" customWidth="1"/>
    <col min="12063" max="12063" width="21.42578125" style="3294" customWidth="1"/>
    <col min="12064" max="12064" width="15.7109375" style="3294" bestFit="1" customWidth="1"/>
    <col min="12065" max="12284" width="11.42578125" style="3294"/>
    <col min="12285" max="12285" width="9.140625" style="3294" customWidth="1"/>
    <col min="12286" max="12286" width="20.140625" style="3294" customWidth="1"/>
    <col min="12287" max="12287" width="9.140625" style="3294" customWidth="1"/>
    <col min="12288" max="12288" width="21.7109375" style="3294" customWidth="1"/>
    <col min="12289" max="12289" width="9.140625" style="3294" customWidth="1"/>
    <col min="12290" max="12290" width="21.7109375" style="3294" customWidth="1"/>
    <col min="12291" max="12291" width="9.140625" style="3294" customWidth="1"/>
    <col min="12292" max="12292" width="28.140625" style="3294" customWidth="1"/>
    <col min="12293" max="12293" width="22" style="3294" customWidth="1"/>
    <col min="12294" max="12294" width="39.85546875" style="3294" customWidth="1"/>
    <col min="12295" max="12295" width="19" style="3294" customWidth="1"/>
    <col min="12296" max="12296" width="27.140625" style="3294" bestFit="1" customWidth="1"/>
    <col min="12297" max="12297" width="14.85546875" style="3294" customWidth="1"/>
    <col min="12298" max="12298" width="20.28515625" style="3294" customWidth="1"/>
    <col min="12299" max="12299" width="16.42578125" style="3294" customWidth="1"/>
    <col min="12300" max="12300" width="43.7109375" style="3294" customWidth="1"/>
    <col min="12301" max="12301" width="28.7109375" style="3294" customWidth="1"/>
    <col min="12302" max="12303" width="20.85546875" style="3294" customWidth="1"/>
    <col min="12304" max="12315" width="9.85546875" style="3294" customWidth="1"/>
    <col min="12316" max="12316" width="15.7109375" style="3294" customWidth="1"/>
    <col min="12317" max="12317" width="16.42578125" style="3294" customWidth="1"/>
    <col min="12318" max="12318" width="28.7109375" style="3294" customWidth="1"/>
    <col min="12319" max="12319" width="21.42578125" style="3294" customWidth="1"/>
    <col min="12320" max="12320" width="15.7109375" style="3294" bestFit="1" customWidth="1"/>
    <col min="12321" max="12540" width="11.42578125" style="3294"/>
    <col min="12541" max="12541" width="9.140625" style="3294" customWidth="1"/>
    <col min="12542" max="12542" width="20.140625" style="3294" customWidth="1"/>
    <col min="12543" max="12543" width="9.140625" style="3294" customWidth="1"/>
    <col min="12544" max="12544" width="21.7109375" style="3294" customWidth="1"/>
    <col min="12545" max="12545" width="9.140625" style="3294" customWidth="1"/>
    <col min="12546" max="12546" width="21.7109375" style="3294" customWidth="1"/>
    <col min="12547" max="12547" width="9.140625" style="3294" customWidth="1"/>
    <col min="12548" max="12548" width="28.140625" style="3294" customWidth="1"/>
    <col min="12549" max="12549" width="22" style="3294" customWidth="1"/>
    <col min="12550" max="12550" width="39.85546875" style="3294" customWidth="1"/>
    <col min="12551" max="12551" width="19" style="3294" customWidth="1"/>
    <col min="12552" max="12552" width="27.140625" style="3294" bestFit="1" customWidth="1"/>
    <col min="12553" max="12553" width="14.85546875" style="3294" customWidth="1"/>
    <col min="12554" max="12554" width="20.28515625" style="3294" customWidth="1"/>
    <col min="12555" max="12555" width="16.42578125" style="3294" customWidth="1"/>
    <col min="12556" max="12556" width="43.7109375" style="3294" customWidth="1"/>
    <col min="12557" max="12557" width="28.7109375" style="3294" customWidth="1"/>
    <col min="12558" max="12559" width="20.85546875" style="3294" customWidth="1"/>
    <col min="12560" max="12571" width="9.85546875" style="3294" customWidth="1"/>
    <col min="12572" max="12572" width="15.7109375" style="3294" customWidth="1"/>
    <col min="12573" max="12573" width="16.42578125" style="3294" customWidth="1"/>
    <col min="12574" max="12574" width="28.7109375" style="3294" customWidth="1"/>
    <col min="12575" max="12575" width="21.42578125" style="3294" customWidth="1"/>
    <col min="12576" max="12576" width="15.7109375" style="3294" bestFit="1" customWidth="1"/>
    <col min="12577" max="12796" width="11.42578125" style="3294"/>
    <col min="12797" max="12797" width="9.140625" style="3294" customWidth="1"/>
    <col min="12798" max="12798" width="20.140625" style="3294" customWidth="1"/>
    <col min="12799" max="12799" width="9.140625" style="3294" customWidth="1"/>
    <col min="12800" max="12800" width="21.7109375" style="3294" customWidth="1"/>
    <col min="12801" max="12801" width="9.140625" style="3294" customWidth="1"/>
    <col min="12802" max="12802" width="21.7109375" style="3294" customWidth="1"/>
    <col min="12803" max="12803" width="9.140625" style="3294" customWidth="1"/>
    <col min="12804" max="12804" width="28.140625" style="3294" customWidth="1"/>
    <col min="12805" max="12805" width="22" style="3294" customWidth="1"/>
    <col min="12806" max="12806" width="39.85546875" style="3294" customWidth="1"/>
    <col min="12807" max="12807" width="19" style="3294" customWidth="1"/>
    <col min="12808" max="12808" width="27.140625" style="3294" bestFit="1" customWidth="1"/>
    <col min="12809" max="12809" width="14.85546875" style="3294" customWidth="1"/>
    <col min="12810" max="12810" width="20.28515625" style="3294" customWidth="1"/>
    <col min="12811" max="12811" width="16.42578125" style="3294" customWidth="1"/>
    <col min="12812" max="12812" width="43.7109375" style="3294" customWidth="1"/>
    <col min="12813" max="12813" width="28.7109375" style="3294" customWidth="1"/>
    <col min="12814" max="12815" width="20.85546875" style="3294" customWidth="1"/>
    <col min="12816" max="12827" width="9.85546875" style="3294" customWidth="1"/>
    <col min="12828" max="12828" width="15.7109375" style="3294" customWidth="1"/>
    <col min="12829" max="12829" width="16.42578125" style="3294" customWidth="1"/>
    <col min="12830" max="12830" width="28.7109375" style="3294" customWidth="1"/>
    <col min="12831" max="12831" width="21.42578125" style="3294" customWidth="1"/>
    <col min="12832" max="12832" width="15.7109375" style="3294" bestFit="1" customWidth="1"/>
    <col min="12833" max="13052" width="11.42578125" style="3294"/>
    <col min="13053" max="13053" width="9.140625" style="3294" customWidth="1"/>
    <col min="13054" max="13054" width="20.140625" style="3294" customWidth="1"/>
    <col min="13055" max="13055" width="9.140625" style="3294" customWidth="1"/>
    <col min="13056" max="13056" width="21.7109375" style="3294" customWidth="1"/>
    <col min="13057" max="13057" width="9.140625" style="3294" customWidth="1"/>
    <col min="13058" max="13058" width="21.7109375" style="3294" customWidth="1"/>
    <col min="13059" max="13059" width="9.140625" style="3294" customWidth="1"/>
    <col min="13060" max="13060" width="28.140625" style="3294" customWidth="1"/>
    <col min="13061" max="13061" width="22" style="3294" customWidth="1"/>
    <col min="13062" max="13062" width="39.85546875" style="3294" customWidth="1"/>
    <col min="13063" max="13063" width="19" style="3294" customWidth="1"/>
    <col min="13064" max="13064" width="27.140625" style="3294" bestFit="1" customWidth="1"/>
    <col min="13065" max="13065" width="14.85546875" style="3294" customWidth="1"/>
    <col min="13066" max="13066" width="20.28515625" style="3294" customWidth="1"/>
    <col min="13067" max="13067" width="16.42578125" style="3294" customWidth="1"/>
    <col min="13068" max="13068" width="43.7109375" style="3294" customWidth="1"/>
    <col min="13069" max="13069" width="28.7109375" style="3294" customWidth="1"/>
    <col min="13070" max="13071" width="20.85546875" style="3294" customWidth="1"/>
    <col min="13072" max="13083" width="9.85546875" style="3294" customWidth="1"/>
    <col min="13084" max="13084" width="15.7109375" style="3294" customWidth="1"/>
    <col min="13085" max="13085" width="16.42578125" style="3294" customWidth="1"/>
    <col min="13086" max="13086" width="28.7109375" style="3294" customWidth="1"/>
    <col min="13087" max="13087" width="21.42578125" style="3294" customWidth="1"/>
    <col min="13088" max="13088" width="15.7109375" style="3294" bestFit="1" customWidth="1"/>
    <col min="13089" max="13308" width="11.42578125" style="3294"/>
    <col min="13309" max="13309" width="9.140625" style="3294" customWidth="1"/>
    <col min="13310" max="13310" width="20.140625" style="3294" customWidth="1"/>
    <col min="13311" max="13311" width="9.140625" style="3294" customWidth="1"/>
    <col min="13312" max="13312" width="21.7109375" style="3294" customWidth="1"/>
    <col min="13313" max="13313" width="9.140625" style="3294" customWidth="1"/>
    <col min="13314" max="13314" width="21.7109375" style="3294" customWidth="1"/>
    <col min="13315" max="13315" width="9.140625" style="3294" customWidth="1"/>
    <col min="13316" max="13316" width="28.140625" style="3294" customWidth="1"/>
    <col min="13317" max="13317" width="22" style="3294" customWidth="1"/>
    <col min="13318" max="13318" width="39.85546875" style="3294" customWidth="1"/>
    <col min="13319" max="13319" width="19" style="3294" customWidth="1"/>
    <col min="13320" max="13320" width="27.140625" style="3294" bestFit="1" customWidth="1"/>
    <col min="13321" max="13321" width="14.85546875" style="3294" customWidth="1"/>
    <col min="13322" max="13322" width="20.28515625" style="3294" customWidth="1"/>
    <col min="13323" max="13323" width="16.42578125" style="3294" customWidth="1"/>
    <col min="13324" max="13324" width="43.7109375" style="3294" customWidth="1"/>
    <col min="13325" max="13325" width="28.7109375" style="3294" customWidth="1"/>
    <col min="13326" max="13327" width="20.85546875" style="3294" customWidth="1"/>
    <col min="13328" max="13339" width="9.85546875" style="3294" customWidth="1"/>
    <col min="13340" max="13340" width="15.7109375" style="3294" customWidth="1"/>
    <col min="13341" max="13341" width="16.42578125" style="3294" customWidth="1"/>
    <col min="13342" max="13342" width="28.7109375" style="3294" customWidth="1"/>
    <col min="13343" max="13343" width="21.42578125" style="3294" customWidth="1"/>
    <col min="13344" max="13344" width="15.7109375" style="3294" bestFit="1" customWidth="1"/>
    <col min="13345" max="13564" width="11.42578125" style="3294"/>
    <col min="13565" max="13565" width="9.140625" style="3294" customWidth="1"/>
    <col min="13566" max="13566" width="20.140625" style="3294" customWidth="1"/>
    <col min="13567" max="13567" width="9.140625" style="3294" customWidth="1"/>
    <col min="13568" max="13568" width="21.7109375" style="3294" customWidth="1"/>
    <col min="13569" max="13569" width="9.140625" style="3294" customWidth="1"/>
    <col min="13570" max="13570" width="21.7109375" style="3294" customWidth="1"/>
    <col min="13571" max="13571" width="9.140625" style="3294" customWidth="1"/>
    <col min="13572" max="13572" width="28.140625" style="3294" customWidth="1"/>
    <col min="13573" max="13573" width="22" style="3294" customWidth="1"/>
    <col min="13574" max="13574" width="39.85546875" style="3294" customWidth="1"/>
    <col min="13575" max="13575" width="19" style="3294" customWidth="1"/>
    <col min="13576" max="13576" width="27.140625" style="3294" bestFit="1" customWidth="1"/>
    <col min="13577" max="13577" width="14.85546875" style="3294" customWidth="1"/>
    <col min="13578" max="13578" width="20.28515625" style="3294" customWidth="1"/>
    <col min="13579" max="13579" width="16.42578125" style="3294" customWidth="1"/>
    <col min="13580" max="13580" width="43.7109375" style="3294" customWidth="1"/>
    <col min="13581" max="13581" width="28.7109375" style="3294" customWidth="1"/>
    <col min="13582" max="13583" width="20.85546875" style="3294" customWidth="1"/>
    <col min="13584" max="13595" width="9.85546875" style="3294" customWidth="1"/>
    <col min="13596" max="13596" width="15.7109375" style="3294" customWidth="1"/>
    <col min="13597" max="13597" width="16.42578125" style="3294" customWidth="1"/>
    <col min="13598" max="13598" width="28.7109375" style="3294" customWidth="1"/>
    <col min="13599" max="13599" width="21.42578125" style="3294" customWidth="1"/>
    <col min="13600" max="13600" width="15.7109375" style="3294" bestFit="1" customWidth="1"/>
    <col min="13601" max="13820" width="11.42578125" style="3294"/>
    <col min="13821" max="13821" width="9.140625" style="3294" customWidth="1"/>
    <col min="13822" max="13822" width="20.140625" style="3294" customWidth="1"/>
    <col min="13823" max="13823" width="9.140625" style="3294" customWidth="1"/>
    <col min="13824" max="13824" width="21.7109375" style="3294" customWidth="1"/>
    <col min="13825" max="13825" width="9.140625" style="3294" customWidth="1"/>
    <col min="13826" max="13826" width="21.7109375" style="3294" customWidth="1"/>
    <col min="13827" max="13827" width="9.140625" style="3294" customWidth="1"/>
    <col min="13828" max="13828" width="28.140625" style="3294" customWidth="1"/>
    <col min="13829" max="13829" width="22" style="3294" customWidth="1"/>
    <col min="13830" max="13830" width="39.85546875" style="3294" customWidth="1"/>
    <col min="13831" max="13831" width="19" style="3294" customWidth="1"/>
    <col min="13832" max="13832" width="27.140625" style="3294" bestFit="1" customWidth="1"/>
    <col min="13833" max="13833" width="14.85546875" style="3294" customWidth="1"/>
    <col min="13834" max="13834" width="20.28515625" style="3294" customWidth="1"/>
    <col min="13835" max="13835" width="16.42578125" style="3294" customWidth="1"/>
    <col min="13836" max="13836" width="43.7109375" style="3294" customWidth="1"/>
    <col min="13837" max="13837" width="28.7109375" style="3294" customWidth="1"/>
    <col min="13838" max="13839" width="20.85546875" style="3294" customWidth="1"/>
    <col min="13840" max="13851" width="9.85546875" style="3294" customWidth="1"/>
    <col min="13852" max="13852" width="15.7109375" style="3294" customWidth="1"/>
    <col min="13853" max="13853" width="16.42578125" style="3294" customWidth="1"/>
    <col min="13854" max="13854" width="28.7109375" style="3294" customWidth="1"/>
    <col min="13855" max="13855" width="21.42578125" style="3294" customWidth="1"/>
    <col min="13856" max="13856" width="15.7109375" style="3294" bestFit="1" customWidth="1"/>
    <col min="13857" max="14076" width="11.42578125" style="3294"/>
    <col min="14077" max="14077" width="9.140625" style="3294" customWidth="1"/>
    <col min="14078" max="14078" width="20.140625" style="3294" customWidth="1"/>
    <col min="14079" max="14079" width="9.140625" style="3294" customWidth="1"/>
    <col min="14080" max="14080" width="21.7109375" style="3294" customWidth="1"/>
    <col min="14081" max="14081" width="9.140625" style="3294" customWidth="1"/>
    <col min="14082" max="14082" width="21.7109375" style="3294" customWidth="1"/>
    <col min="14083" max="14083" width="9.140625" style="3294" customWidth="1"/>
    <col min="14084" max="14084" width="28.140625" style="3294" customWidth="1"/>
    <col min="14085" max="14085" width="22" style="3294" customWidth="1"/>
    <col min="14086" max="14086" width="39.85546875" style="3294" customWidth="1"/>
    <col min="14087" max="14087" width="19" style="3294" customWidth="1"/>
    <col min="14088" max="14088" width="27.140625" style="3294" bestFit="1" customWidth="1"/>
    <col min="14089" max="14089" width="14.85546875" style="3294" customWidth="1"/>
    <col min="14090" max="14090" width="20.28515625" style="3294" customWidth="1"/>
    <col min="14091" max="14091" width="16.42578125" style="3294" customWidth="1"/>
    <col min="14092" max="14092" width="43.7109375" style="3294" customWidth="1"/>
    <col min="14093" max="14093" width="28.7109375" style="3294" customWidth="1"/>
    <col min="14094" max="14095" width="20.85546875" style="3294" customWidth="1"/>
    <col min="14096" max="14107" width="9.85546875" style="3294" customWidth="1"/>
    <col min="14108" max="14108" width="15.7109375" style="3294" customWidth="1"/>
    <col min="14109" max="14109" width="16.42578125" style="3294" customWidth="1"/>
    <col min="14110" max="14110" width="28.7109375" style="3294" customWidth="1"/>
    <col min="14111" max="14111" width="21.42578125" style="3294" customWidth="1"/>
    <col min="14112" max="14112" width="15.7109375" style="3294" bestFit="1" customWidth="1"/>
    <col min="14113" max="14332" width="11.42578125" style="3294"/>
    <col min="14333" max="14333" width="9.140625" style="3294" customWidth="1"/>
    <col min="14334" max="14334" width="20.140625" style="3294" customWidth="1"/>
    <col min="14335" max="14335" width="9.140625" style="3294" customWidth="1"/>
    <col min="14336" max="14336" width="21.7109375" style="3294" customWidth="1"/>
    <col min="14337" max="14337" width="9.140625" style="3294" customWidth="1"/>
    <col min="14338" max="14338" width="21.7109375" style="3294" customWidth="1"/>
    <col min="14339" max="14339" width="9.140625" style="3294" customWidth="1"/>
    <col min="14340" max="14340" width="28.140625" style="3294" customWidth="1"/>
    <col min="14341" max="14341" width="22" style="3294" customWidth="1"/>
    <col min="14342" max="14342" width="39.85546875" style="3294" customWidth="1"/>
    <col min="14343" max="14343" width="19" style="3294" customWidth="1"/>
    <col min="14344" max="14344" width="27.140625" style="3294" bestFit="1" customWidth="1"/>
    <col min="14345" max="14345" width="14.85546875" style="3294" customWidth="1"/>
    <col min="14346" max="14346" width="20.28515625" style="3294" customWidth="1"/>
    <col min="14347" max="14347" width="16.42578125" style="3294" customWidth="1"/>
    <col min="14348" max="14348" width="43.7109375" style="3294" customWidth="1"/>
    <col min="14349" max="14349" width="28.7109375" style="3294" customWidth="1"/>
    <col min="14350" max="14351" width="20.85546875" style="3294" customWidth="1"/>
    <col min="14352" max="14363" width="9.85546875" style="3294" customWidth="1"/>
    <col min="14364" max="14364" width="15.7109375" style="3294" customWidth="1"/>
    <col min="14365" max="14365" width="16.42578125" style="3294" customWidth="1"/>
    <col min="14366" max="14366" width="28.7109375" style="3294" customWidth="1"/>
    <col min="14367" max="14367" width="21.42578125" style="3294" customWidth="1"/>
    <col min="14368" max="14368" width="15.7109375" style="3294" bestFit="1" customWidth="1"/>
    <col min="14369" max="14588" width="11.42578125" style="3294"/>
    <col min="14589" max="14589" width="9.140625" style="3294" customWidth="1"/>
    <col min="14590" max="14590" width="20.140625" style="3294" customWidth="1"/>
    <col min="14591" max="14591" width="9.140625" style="3294" customWidth="1"/>
    <col min="14592" max="14592" width="21.7109375" style="3294" customWidth="1"/>
    <col min="14593" max="14593" width="9.140625" style="3294" customWidth="1"/>
    <col min="14594" max="14594" width="21.7109375" style="3294" customWidth="1"/>
    <col min="14595" max="14595" width="9.140625" style="3294" customWidth="1"/>
    <col min="14596" max="14596" width="28.140625" style="3294" customWidth="1"/>
    <col min="14597" max="14597" width="22" style="3294" customWidth="1"/>
    <col min="14598" max="14598" width="39.85546875" style="3294" customWidth="1"/>
    <col min="14599" max="14599" width="19" style="3294" customWidth="1"/>
    <col min="14600" max="14600" width="27.140625" style="3294" bestFit="1" customWidth="1"/>
    <col min="14601" max="14601" width="14.85546875" style="3294" customWidth="1"/>
    <col min="14602" max="14602" width="20.28515625" style="3294" customWidth="1"/>
    <col min="14603" max="14603" width="16.42578125" style="3294" customWidth="1"/>
    <col min="14604" max="14604" width="43.7109375" style="3294" customWidth="1"/>
    <col min="14605" max="14605" width="28.7109375" style="3294" customWidth="1"/>
    <col min="14606" max="14607" width="20.85546875" style="3294" customWidth="1"/>
    <col min="14608" max="14619" width="9.85546875" style="3294" customWidth="1"/>
    <col min="14620" max="14620" width="15.7109375" style="3294" customWidth="1"/>
    <col min="14621" max="14621" width="16.42578125" style="3294" customWidth="1"/>
    <col min="14622" max="14622" width="28.7109375" style="3294" customWidth="1"/>
    <col min="14623" max="14623" width="21.42578125" style="3294" customWidth="1"/>
    <col min="14624" max="14624" width="15.7109375" style="3294" bestFit="1" customWidth="1"/>
    <col min="14625" max="14844" width="11.42578125" style="3294"/>
    <col min="14845" max="14845" width="9.140625" style="3294" customWidth="1"/>
    <col min="14846" max="14846" width="20.140625" style="3294" customWidth="1"/>
    <col min="14847" max="14847" width="9.140625" style="3294" customWidth="1"/>
    <col min="14848" max="14848" width="21.7109375" style="3294" customWidth="1"/>
    <col min="14849" max="14849" width="9.140625" style="3294" customWidth="1"/>
    <col min="14850" max="14850" width="21.7109375" style="3294" customWidth="1"/>
    <col min="14851" max="14851" width="9.140625" style="3294" customWidth="1"/>
    <col min="14852" max="14852" width="28.140625" style="3294" customWidth="1"/>
    <col min="14853" max="14853" width="22" style="3294" customWidth="1"/>
    <col min="14854" max="14854" width="39.85546875" style="3294" customWidth="1"/>
    <col min="14855" max="14855" width="19" style="3294" customWidth="1"/>
    <col min="14856" max="14856" width="27.140625" style="3294" bestFit="1" customWidth="1"/>
    <col min="14857" max="14857" width="14.85546875" style="3294" customWidth="1"/>
    <col min="14858" max="14858" width="20.28515625" style="3294" customWidth="1"/>
    <col min="14859" max="14859" width="16.42578125" style="3294" customWidth="1"/>
    <col min="14860" max="14860" width="43.7109375" style="3294" customWidth="1"/>
    <col min="14861" max="14861" width="28.7109375" style="3294" customWidth="1"/>
    <col min="14862" max="14863" width="20.85546875" style="3294" customWidth="1"/>
    <col min="14864" max="14875" width="9.85546875" style="3294" customWidth="1"/>
    <col min="14876" max="14876" width="15.7109375" style="3294" customWidth="1"/>
    <col min="14877" max="14877" width="16.42578125" style="3294" customWidth="1"/>
    <col min="14878" max="14878" width="28.7109375" style="3294" customWidth="1"/>
    <col min="14879" max="14879" width="21.42578125" style="3294" customWidth="1"/>
    <col min="14880" max="14880" width="15.7109375" style="3294" bestFit="1" customWidth="1"/>
    <col min="14881" max="15100" width="11.42578125" style="3294"/>
    <col min="15101" max="15101" width="9.140625" style="3294" customWidth="1"/>
    <col min="15102" max="15102" width="20.140625" style="3294" customWidth="1"/>
    <col min="15103" max="15103" width="9.140625" style="3294" customWidth="1"/>
    <col min="15104" max="15104" width="21.7109375" style="3294" customWidth="1"/>
    <col min="15105" max="15105" width="9.140625" style="3294" customWidth="1"/>
    <col min="15106" max="15106" width="21.7109375" style="3294" customWidth="1"/>
    <col min="15107" max="15107" width="9.140625" style="3294" customWidth="1"/>
    <col min="15108" max="15108" width="28.140625" style="3294" customWidth="1"/>
    <col min="15109" max="15109" width="22" style="3294" customWidth="1"/>
    <col min="15110" max="15110" width="39.85546875" style="3294" customWidth="1"/>
    <col min="15111" max="15111" width="19" style="3294" customWidth="1"/>
    <col min="15112" max="15112" width="27.140625" style="3294" bestFit="1" customWidth="1"/>
    <col min="15113" max="15113" width="14.85546875" style="3294" customWidth="1"/>
    <col min="15114" max="15114" width="20.28515625" style="3294" customWidth="1"/>
    <col min="15115" max="15115" width="16.42578125" style="3294" customWidth="1"/>
    <col min="15116" max="15116" width="43.7109375" style="3294" customWidth="1"/>
    <col min="15117" max="15117" width="28.7109375" style="3294" customWidth="1"/>
    <col min="15118" max="15119" width="20.85546875" style="3294" customWidth="1"/>
    <col min="15120" max="15131" width="9.85546875" style="3294" customWidth="1"/>
    <col min="15132" max="15132" width="15.7109375" style="3294" customWidth="1"/>
    <col min="15133" max="15133" width="16.42578125" style="3294" customWidth="1"/>
    <col min="15134" max="15134" width="28.7109375" style="3294" customWidth="1"/>
    <col min="15135" max="15135" width="21.42578125" style="3294" customWidth="1"/>
    <col min="15136" max="15136" width="15.7109375" style="3294" bestFit="1" customWidth="1"/>
    <col min="15137" max="15356" width="11.42578125" style="3294"/>
    <col min="15357" max="15357" width="9.140625" style="3294" customWidth="1"/>
    <col min="15358" max="15358" width="20.140625" style="3294" customWidth="1"/>
    <col min="15359" max="15359" width="9.140625" style="3294" customWidth="1"/>
    <col min="15360" max="15360" width="21.7109375" style="3294" customWidth="1"/>
    <col min="15361" max="15361" width="9.140625" style="3294" customWidth="1"/>
    <col min="15362" max="15362" width="21.7109375" style="3294" customWidth="1"/>
    <col min="15363" max="15363" width="9.140625" style="3294" customWidth="1"/>
    <col min="15364" max="15364" width="28.140625" style="3294" customWidth="1"/>
    <col min="15365" max="15365" width="22" style="3294" customWidth="1"/>
    <col min="15366" max="15366" width="39.85546875" style="3294" customWidth="1"/>
    <col min="15367" max="15367" width="19" style="3294" customWidth="1"/>
    <col min="15368" max="15368" width="27.140625" style="3294" bestFit="1" customWidth="1"/>
    <col min="15369" max="15369" width="14.85546875" style="3294" customWidth="1"/>
    <col min="15370" max="15370" width="20.28515625" style="3294" customWidth="1"/>
    <col min="15371" max="15371" width="16.42578125" style="3294" customWidth="1"/>
    <col min="15372" max="15372" width="43.7109375" style="3294" customWidth="1"/>
    <col min="15373" max="15373" width="28.7109375" style="3294" customWidth="1"/>
    <col min="15374" max="15375" width="20.85546875" style="3294" customWidth="1"/>
    <col min="15376" max="15387" width="9.85546875" style="3294" customWidth="1"/>
    <col min="15388" max="15388" width="15.7109375" style="3294" customWidth="1"/>
    <col min="15389" max="15389" width="16.42578125" style="3294" customWidth="1"/>
    <col min="15390" max="15390" width="28.7109375" style="3294" customWidth="1"/>
    <col min="15391" max="15391" width="21.42578125" style="3294" customWidth="1"/>
    <col min="15392" max="15392" width="15.7109375" style="3294" bestFit="1" customWidth="1"/>
    <col min="15393" max="15612" width="11.42578125" style="3294"/>
    <col min="15613" max="15613" width="9.140625" style="3294" customWidth="1"/>
    <col min="15614" max="15614" width="20.140625" style="3294" customWidth="1"/>
    <col min="15615" max="15615" width="9.140625" style="3294" customWidth="1"/>
    <col min="15616" max="15616" width="21.7109375" style="3294" customWidth="1"/>
    <col min="15617" max="15617" width="9.140625" style="3294" customWidth="1"/>
    <col min="15618" max="15618" width="21.7109375" style="3294" customWidth="1"/>
    <col min="15619" max="15619" width="9.140625" style="3294" customWidth="1"/>
    <col min="15620" max="15620" width="28.140625" style="3294" customWidth="1"/>
    <col min="15621" max="15621" width="22" style="3294" customWidth="1"/>
    <col min="15622" max="15622" width="39.85546875" style="3294" customWidth="1"/>
    <col min="15623" max="15623" width="19" style="3294" customWidth="1"/>
    <col min="15624" max="15624" width="27.140625" style="3294" bestFit="1" customWidth="1"/>
    <col min="15625" max="15625" width="14.85546875" style="3294" customWidth="1"/>
    <col min="15626" max="15626" width="20.28515625" style="3294" customWidth="1"/>
    <col min="15627" max="15627" width="16.42578125" style="3294" customWidth="1"/>
    <col min="15628" max="15628" width="43.7109375" style="3294" customWidth="1"/>
    <col min="15629" max="15629" width="28.7109375" style="3294" customWidth="1"/>
    <col min="15630" max="15631" width="20.85546875" style="3294" customWidth="1"/>
    <col min="15632" max="15643" width="9.85546875" style="3294" customWidth="1"/>
    <col min="15644" max="15644" width="15.7109375" style="3294" customWidth="1"/>
    <col min="15645" max="15645" width="16.42578125" style="3294" customWidth="1"/>
    <col min="15646" max="15646" width="28.7109375" style="3294" customWidth="1"/>
    <col min="15647" max="15647" width="21.42578125" style="3294" customWidth="1"/>
    <col min="15648" max="15648" width="15.7109375" style="3294" bestFit="1" customWidth="1"/>
    <col min="15649" max="15868" width="11.42578125" style="3294"/>
    <col min="15869" max="15869" width="9.140625" style="3294" customWidth="1"/>
    <col min="15870" max="15870" width="20.140625" style="3294" customWidth="1"/>
    <col min="15871" max="15871" width="9.140625" style="3294" customWidth="1"/>
    <col min="15872" max="15872" width="21.7109375" style="3294" customWidth="1"/>
    <col min="15873" max="15873" width="9.140625" style="3294" customWidth="1"/>
    <col min="15874" max="15874" width="21.7109375" style="3294" customWidth="1"/>
    <col min="15875" max="15875" width="9.140625" style="3294" customWidth="1"/>
    <col min="15876" max="15876" width="28.140625" style="3294" customWidth="1"/>
    <col min="15877" max="15877" width="22" style="3294" customWidth="1"/>
    <col min="15878" max="15878" width="39.85546875" style="3294" customWidth="1"/>
    <col min="15879" max="15879" width="19" style="3294" customWidth="1"/>
    <col min="15880" max="15880" width="27.140625" style="3294" bestFit="1" customWidth="1"/>
    <col min="15881" max="15881" width="14.85546875" style="3294" customWidth="1"/>
    <col min="15882" max="15882" width="20.28515625" style="3294" customWidth="1"/>
    <col min="15883" max="15883" width="16.42578125" style="3294" customWidth="1"/>
    <col min="15884" max="15884" width="43.7109375" style="3294" customWidth="1"/>
    <col min="15885" max="15885" width="28.7109375" style="3294" customWidth="1"/>
    <col min="15886" max="15887" width="20.85546875" style="3294" customWidth="1"/>
    <col min="15888" max="15899" width="9.85546875" style="3294" customWidth="1"/>
    <col min="15900" max="15900" width="15.7109375" style="3294" customWidth="1"/>
    <col min="15901" max="15901" width="16.42578125" style="3294" customWidth="1"/>
    <col min="15902" max="15902" width="28.7109375" style="3294" customWidth="1"/>
    <col min="15903" max="15903" width="21.42578125" style="3294" customWidth="1"/>
    <col min="15904" max="15904" width="15.7109375" style="3294" bestFit="1" customWidth="1"/>
    <col min="15905" max="16124" width="11.42578125" style="3294"/>
    <col min="16125" max="16125" width="9.140625" style="3294" customWidth="1"/>
    <col min="16126" max="16126" width="20.140625" style="3294" customWidth="1"/>
    <col min="16127" max="16127" width="9.140625" style="3294" customWidth="1"/>
    <col min="16128" max="16128" width="21.7109375" style="3294" customWidth="1"/>
    <col min="16129" max="16129" width="9.140625" style="3294" customWidth="1"/>
    <col min="16130" max="16130" width="21.7109375" style="3294" customWidth="1"/>
    <col min="16131" max="16131" width="9.140625" style="3294" customWidth="1"/>
    <col min="16132" max="16132" width="28.140625" style="3294" customWidth="1"/>
    <col min="16133" max="16133" width="22" style="3294" customWidth="1"/>
    <col min="16134" max="16134" width="39.85546875" style="3294" customWidth="1"/>
    <col min="16135" max="16135" width="19" style="3294" customWidth="1"/>
    <col min="16136" max="16136" width="27.140625" style="3294" bestFit="1" customWidth="1"/>
    <col min="16137" max="16137" width="14.85546875" style="3294" customWidth="1"/>
    <col min="16138" max="16138" width="20.28515625" style="3294" customWidth="1"/>
    <col min="16139" max="16139" width="16.42578125" style="3294" customWidth="1"/>
    <col min="16140" max="16140" width="43.7109375" style="3294" customWidth="1"/>
    <col min="16141" max="16141" width="28.7109375" style="3294" customWidth="1"/>
    <col min="16142" max="16143" width="20.85546875" style="3294" customWidth="1"/>
    <col min="16144" max="16155" width="9.85546875" style="3294" customWidth="1"/>
    <col min="16156" max="16156" width="15.7109375" style="3294" customWidth="1"/>
    <col min="16157" max="16157" width="16.42578125" style="3294" customWidth="1"/>
    <col min="16158" max="16158" width="28.7109375" style="3294" customWidth="1"/>
    <col min="16159" max="16159" width="21.42578125" style="3294" customWidth="1"/>
    <col min="16160" max="16160" width="15.7109375" style="3294" bestFit="1" customWidth="1"/>
    <col min="16161" max="16384" width="11.42578125" style="3294"/>
  </cols>
  <sheetData>
    <row r="1" spans="1:37" ht="25.5" customHeight="1" x14ac:dyDescent="0.25">
      <c r="A1" s="3290" t="s">
        <v>1954</v>
      </c>
      <c r="B1" s="3290"/>
      <c r="C1" s="3290"/>
      <c r="D1" s="3290"/>
      <c r="E1" s="3290"/>
      <c r="F1" s="3290"/>
      <c r="G1" s="3290"/>
      <c r="H1" s="3290"/>
      <c r="I1" s="3290"/>
      <c r="J1" s="3290"/>
      <c r="K1" s="3290"/>
      <c r="L1" s="3290"/>
      <c r="M1" s="3290"/>
      <c r="N1" s="3290"/>
      <c r="O1" s="3290"/>
      <c r="P1" s="3290"/>
      <c r="Q1" s="3290"/>
      <c r="R1" s="3290"/>
      <c r="S1" s="3290"/>
      <c r="T1" s="3290"/>
      <c r="U1" s="3290"/>
      <c r="V1" s="3290"/>
      <c r="W1" s="3290"/>
      <c r="X1" s="3290"/>
      <c r="Y1" s="3290"/>
      <c r="Z1" s="3290"/>
      <c r="AA1" s="3290"/>
      <c r="AB1" s="3290"/>
      <c r="AC1" s="3290"/>
      <c r="AD1" s="3290"/>
      <c r="AE1" s="3290"/>
      <c r="AF1" s="3290"/>
      <c r="AG1" s="3290"/>
      <c r="AH1" s="3291"/>
      <c r="AI1" s="3292" t="s">
        <v>0</v>
      </c>
      <c r="AJ1" s="3293" t="s">
        <v>1955</v>
      </c>
    </row>
    <row r="2" spans="1:37" ht="25.5" customHeight="1" x14ac:dyDescent="0.25">
      <c r="A2" s="3290"/>
      <c r="B2" s="3290"/>
      <c r="C2" s="3290"/>
      <c r="D2" s="3290"/>
      <c r="E2" s="3290"/>
      <c r="F2" s="3290"/>
      <c r="G2" s="3290"/>
      <c r="H2" s="3290"/>
      <c r="I2" s="3290"/>
      <c r="J2" s="3290"/>
      <c r="K2" s="3290"/>
      <c r="L2" s="3290"/>
      <c r="M2" s="3290"/>
      <c r="N2" s="3290"/>
      <c r="O2" s="3290"/>
      <c r="P2" s="3290"/>
      <c r="Q2" s="3290"/>
      <c r="R2" s="3290"/>
      <c r="S2" s="3290"/>
      <c r="T2" s="3290"/>
      <c r="U2" s="3290"/>
      <c r="V2" s="3290"/>
      <c r="W2" s="3290"/>
      <c r="X2" s="3290"/>
      <c r="Y2" s="3290"/>
      <c r="Z2" s="3290"/>
      <c r="AA2" s="3290"/>
      <c r="AB2" s="3290"/>
      <c r="AC2" s="3290"/>
      <c r="AD2" s="3290"/>
      <c r="AE2" s="3290"/>
      <c r="AF2" s="3290"/>
      <c r="AG2" s="3290"/>
      <c r="AH2" s="3291"/>
      <c r="AI2" s="3295" t="s">
        <v>1</v>
      </c>
      <c r="AJ2" s="3296" t="s">
        <v>1956</v>
      </c>
    </row>
    <row r="3" spans="1:37" ht="25.5" customHeight="1" x14ac:dyDescent="0.25">
      <c r="A3" s="3290"/>
      <c r="B3" s="3290"/>
      <c r="C3" s="3290"/>
      <c r="D3" s="3290"/>
      <c r="E3" s="3290"/>
      <c r="F3" s="3290"/>
      <c r="G3" s="3290"/>
      <c r="H3" s="3290"/>
      <c r="I3" s="3290"/>
      <c r="J3" s="3290"/>
      <c r="K3" s="3290"/>
      <c r="L3" s="3290"/>
      <c r="M3" s="3290"/>
      <c r="N3" s="3290"/>
      <c r="O3" s="3290"/>
      <c r="P3" s="3290"/>
      <c r="Q3" s="3290"/>
      <c r="R3" s="3290"/>
      <c r="S3" s="3290"/>
      <c r="T3" s="3290"/>
      <c r="U3" s="3290"/>
      <c r="V3" s="3290"/>
      <c r="W3" s="3290"/>
      <c r="X3" s="3290"/>
      <c r="Y3" s="3290"/>
      <c r="Z3" s="3290"/>
      <c r="AA3" s="3290"/>
      <c r="AB3" s="3290"/>
      <c r="AC3" s="3290"/>
      <c r="AD3" s="3290"/>
      <c r="AE3" s="3290"/>
      <c r="AF3" s="3290"/>
      <c r="AG3" s="3290"/>
      <c r="AH3" s="3291"/>
      <c r="AI3" s="3292" t="s">
        <v>2</v>
      </c>
      <c r="AJ3" s="3297">
        <v>42583</v>
      </c>
    </row>
    <row r="4" spans="1:37" ht="22.5" customHeight="1" x14ac:dyDescent="0.2">
      <c r="A4" s="3298"/>
      <c r="B4" s="3298"/>
      <c r="C4" s="3298"/>
      <c r="D4" s="3298"/>
      <c r="E4" s="3298"/>
      <c r="F4" s="3298"/>
      <c r="G4" s="3298"/>
      <c r="H4" s="3298"/>
      <c r="I4" s="3298"/>
      <c r="J4" s="3298"/>
      <c r="K4" s="3298"/>
      <c r="L4" s="3298"/>
      <c r="M4" s="3298"/>
      <c r="N4" s="3298"/>
      <c r="O4" s="3298"/>
      <c r="P4" s="3298"/>
      <c r="Q4" s="3298"/>
      <c r="R4" s="3298"/>
      <c r="S4" s="3298"/>
      <c r="T4" s="3298"/>
      <c r="U4" s="3298"/>
      <c r="V4" s="3298"/>
      <c r="W4" s="3298"/>
      <c r="X4" s="3298"/>
      <c r="Y4" s="3298"/>
      <c r="Z4" s="3298"/>
      <c r="AA4" s="3298"/>
      <c r="AB4" s="3298"/>
      <c r="AC4" s="3298"/>
      <c r="AD4" s="3298"/>
      <c r="AE4" s="3298"/>
      <c r="AF4" s="3298"/>
      <c r="AG4" s="3298"/>
      <c r="AH4" s="3299"/>
      <c r="AI4" s="3300" t="s">
        <v>3</v>
      </c>
      <c r="AJ4" s="3301" t="s">
        <v>1957</v>
      </c>
    </row>
    <row r="5" spans="1:37" s="3305" customFormat="1" ht="18.75" customHeight="1" x14ac:dyDescent="0.2">
      <c r="A5" s="3302" t="s">
        <v>5</v>
      </c>
      <c r="B5" s="3302"/>
      <c r="C5" s="3302"/>
      <c r="D5" s="3302"/>
      <c r="E5" s="3302"/>
      <c r="F5" s="3302"/>
      <c r="G5" s="3302"/>
      <c r="H5" s="3302"/>
      <c r="I5" s="3302"/>
      <c r="J5" s="3302"/>
      <c r="K5" s="3303" t="s">
        <v>6</v>
      </c>
      <c r="L5" s="3304"/>
      <c r="M5" s="3304"/>
      <c r="N5" s="3304"/>
      <c r="O5" s="3304"/>
      <c r="P5" s="3304"/>
      <c r="Q5" s="3304"/>
      <c r="R5" s="3304"/>
      <c r="S5" s="3304"/>
      <c r="T5" s="3304"/>
      <c r="U5" s="3304"/>
      <c r="V5" s="3302" t="s">
        <v>7</v>
      </c>
      <c r="W5" s="3302"/>
      <c r="X5" s="3302"/>
      <c r="Y5" s="3302"/>
      <c r="Z5" s="3302"/>
      <c r="AA5" s="3302"/>
      <c r="AB5" s="3302"/>
      <c r="AC5" s="3302"/>
      <c r="AD5" s="3302"/>
      <c r="AE5" s="3302"/>
      <c r="AF5" s="3302"/>
      <c r="AG5" s="3302"/>
      <c r="AH5" s="3302"/>
      <c r="AI5" s="3302"/>
      <c r="AJ5" s="3302"/>
    </row>
    <row r="6" spans="1:37" s="3310" customFormat="1" ht="18.75" customHeight="1" x14ac:dyDescent="0.2">
      <c r="A6" s="3306"/>
      <c r="B6" s="3306"/>
      <c r="C6" s="3306"/>
      <c r="D6" s="3306"/>
      <c r="E6" s="3306"/>
      <c r="F6" s="3306"/>
      <c r="G6" s="3306"/>
      <c r="H6" s="3306"/>
      <c r="I6" s="3306"/>
      <c r="J6" s="3306"/>
      <c r="K6" s="3307"/>
      <c r="L6" s="3308"/>
      <c r="M6" s="3308"/>
      <c r="N6" s="3308"/>
      <c r="O6" s="3308"/>
      <c r="P6" s="3308"/>
      <c r="Q6" s="3308"/>
      <c r="R6" s="3308"/>
      <c r="S6" s="3308"/>
      <c r="T6" s="3308"/>
      <c r="U6" s="3308"/>
      <c r="V6" s="3309"/>
      <c r="W6" s="3309"/>
      <c r="X6" s="3309"/>
      <c r="Y6" s="3309"/>
      <c r="Z6" s="3309"/>
      <c r="AA6" s="3309"/>
      <c r="AB6" s="3309"/>
      <c r="AC6" s="3309"/>
      <c r="AD6" s="3309"/>
      <c r="AE6" s="3309"/>
      <c r="AF6" s="3309"/>
      <c r="AG6" s="3309"/>
      <c r="AH6" s="3306"/>
      <c r="AI6" s="3306"/>
      <c r="AJ6" s="3306"/>
    </row>
    <row r="7" spans="1:37" s="3317" customFormat="1" ht="21" customHeight="1" x14ac:dyDescent="0.2">
      <c r="A7" s="3309"/>
      <c r="B7" s="3309"/>
      <c r="C7" s="3309"/>
      <c r="D7" s="3309"/>
      <c r="E7" s="3309"/>
      <c r="F7" s="3309"/>
      <c r="G7" s="3309"/>
      <c r="H7" s="3309"/>
      <c r="I7" s="3309"/>
      <c r="J7" s="3309"/>
      <c r="K7" s="3311"/>
      <c r="L7" s="3312"/>
      <c r="M7" s="3312"/>
      <c r="N7" s="3312"/>
      <c r="O7" s="3312"/>
      <c r="P7" s="3312"/>
      <c r="Q7" s="3312"/>
      <c r="R7" s="3312"/>
      <c r="S7" s="3312"/>
      <c r="T7" s="3312"/>
      <c r="U7" s="3312"/>
      <c r="V7" s="3313" t="s">
        <v>1343</v>
      </c>
      <c r="W7" s="3314"/>
      <c r="X7" s="3314"/>
      <c r="Y7" s="3314"/>
      <c r="Z7" s="3314"/>
      <c r="AA7" s="3315"/>
      <c r="AB7" s="3313" t="s">
        <v>24</v>
      </c>
      <c r="AC7" s="3314"/>
      <c r="AD7" s="3314"/>
      <c r="AE7" s="3314"/>
      <c r="AF7" s="3314"/>
      <c r="AG7" s="3314"/>
      <c r="AH7" s="3316"/>
      <c r="AI7" s="3316"/>
      <c r="AJ7" s="3316"/>
    </row>
    <row r="8" spans="1:37" s="3326" customFormat="1" ht="91.5" customHeight="1" x14ac:dyDescent="0.25">
      <c r="A8" s="3318" t="s">
        <v>8</v>
      </c>
      <c r="B8" s="3318" t="s">
        <v>1344</v>
      </c>
      <c r="C8" s="3318" t="s">
        <v>8</v>
      </c>
      <c r="D8" s="3318" t="s">
        <v>1345</v>
      </c>
      <c r="E8" s="3318" t="s">
        <v>8</v>
      </c>
      <c r="F8" s="3318" t="s">
        <v>1346</v>
      </c>
      <c r="G8" s="3318" t="s">
        <v>8</v>
      </c>
      <c r="H8" s="3318" t="s">
        <v>1347</v>
      </c>
      <c r="I8" s="3319" t="s">
        <v>13</v>
      </c>
      <c r="J8" s="3320" t="s">
        <v>1348</v>
      </c>
      <c r="K8" s="3319" t="s">
        <v>15</v>
      </c>
      <c r="L8" s="3319" t="s">
        <v>8</v>
      </c>
      <c r="M8" s="3319" t="s">
        <v>1349</v>
      </c>
      <c r="N8" s="3319" t="s">
        <v>17</v>
      </c>
      <c r="O8" s="3319" t="s">
        <v>1350</v>
      </c>
      <c r="P8" s="3319" t="s">
        <v>19</v>
      </c>
      <c r="Q8" s="3319" t="s">
        <v>20</v>
      </c>
      <c r="R8" s="3319" t="s">
        <v>21</v>
      </c>
      <c r="S8" s="3321" t="s">
        <v>18</v>
      </c>
      <c r="T8" s="3319" t="s">
        <v>8</v>
      </c>
      <c r="U8" s="3319" t="s">
        <v>22</v>
      </c>
      <c r="V8" s="3322" t="s">
        <v>259</v>
      </c>
      <c r="W8" s="3323" t="s">
        <v>29</v>
      </c>
      <c r="X8" s="3322" t="s">
        <v>30</v>
      </c>
      <c r="Y8" s="3322" t="s">
        <v>31</v>
      </c>
      <c r="Z8" s="3322" t="s">
        <v>32</v>
      </c>
      <c r="AA8" s="3322" t="s">
        <v>33</v>
      </c>
      <c r="AB8" s="3324" t="s">
        <v>34</v>
      </c>
      <c r="AC8" s="3324" t="s">
        <v>35</v>
      </c>
      <c r="AD8" s="3324" t="s">
        <v>36</v>
      </c>
      <c r="AE8" s="3324" t="s">
        <v>37</v>
      </c>
      <c r="AF8" s="3324" t="s">
        <v>38</v>
      </c>
      <c r="AG8" s="3324" t="s">
        <v>39</v>
      </c>
      <c r="AH8" s="3325" t="s">
        <v>25</v>
      </c>
      <c r="AI8" s="3325" t="s">
        <v>26</v>
      </c>
      <c r="AJ8" s="3321" t="s">
        <v>27</v>
      </c>
    </row>
    <row r="9" spans="1:37" s="3334" customFormat="1" ht="27.75" customHeight="1" x14ac:dyDescent="0.2">
      <c r="A9" s="3327">
        <v>2</v>
      </c>
      <c r="B9" s="3328" t="s">
        <v>436</v>
      </c>
      <c r="C9" s="3329"/>
      <c r="D9" s="3329"/>
      <c r="E9" s="3330"/>
      <c r="F9" s="3330"/>
      <c r="G9" s="3330"/>
      <c r="H9" s="3330"/>
      <c r="I9" s="3330"/>
      <c r="J9" s="3330"/>
      <c r="K9" s="3330"/>
      <c r="L9" s="3330"/>
      <c r="M9" s="3330"/>
      <c r="N9" s="3330"/>
      <c r="O9" s="3330"/>
      <c r="P9" s="3330"/>
      <c r="Q9" s="3330"/>
      <c r="R9" s="3330"/>
      <c r="S9" s="3330"/>
      <c r="T9" s="3330"/>
      <c r="U9" s="3330"/>
      <c r="V9" s="3330"/>
      <c r="W9" s="3330"/>
      <c r="X9" s="3330"/>
      <c r="Y9" s="3330"/>
      <c r="Z9" s="3330"/>
      <c r="AA9" s="3330"/>
      <c r="AB9" s="3330"/>
      <c r="AC9" s="3330"/>
      <c r="AD9" s="3330"/>
      <c r="AE9" s="3330"/>
      <c r="AF9" s="3330"/>
      <c r="AG9" s="3330"/>
      <c r="AH9" s="3331"/>
      <c r="AI9" s="3331"/>
      <c r="AJ9" s="3332"/>
      <c r="AK9" s="3333"/>
    </row>
    <row r="10" spans="1:37" s="3334" customFormat="1" ht="27.75" customHeight="1" x14ac:dyDescent="0.2">
      <c r="A10" s="3335"/>
      <c r="B10" s="3336"/>
      <c r="C10" s="3337">
        <v>4</v>
      </c>
      <c r="D10" s="3338" t="s">
        <v>1958</v>
      </c>
      <c r="E10" s="3339"/>
      <c r="F10" s="3339"/>
      <c r="G10" s="3339"/>
      <c r="H10" s="3339"/>
      <c r="I10" s="3339"/>
      <c r="J10" s="3339"/>
      <c r="K10" s="3339"/>
      <c r="L10" s="3339"/>
      <c r="M10" s="3339"/>
      <c r="N10" s="3339"/>
      <c r="O10" s="3339"/>
      <c r="P10" s="3339"/>
      <c r="Q10" s="3339"/>
      <c r="R10" s="3339"/>
      <c r="S10" s="3339"/>
      <c r="T10" s="3339"/>
      <c r="U10" s="3339"/>
      <c r="V10" s="3339"/>
      <c r="W10" s="3339"/>
      <c r="X10" s="3339"/>
      <c r="Y10" s="3339"/>
      <c r="Z10" s="3339"/>
      <c r="AA10" s="3339"/>
      <c r="AB10" s="3339"/>
      <c r="AC10" s="3339"/>
      <c r="AD10" s="3339"/>
      <c r="AE10" s="3339"/>
      <c r="AF10" s="3339"/>
      <c r="AG10" s="3339"/>
      <c r="AH10" s="3339"/>
      <c r="AI10" s="3339"/>
      <c r="AJ10" s="3340"/>
      <c r="AK10" s="3333"/>
    </row>
    <row r="11" spans="1:37" s="3334" customFormat="1" ht="27.75" customHeight="1" x14ac:dyDescent="0.2">
      <c r="A11" s="3341"/>
      <c r="B11" s="3342"/>
      <c r="C11" s="3336"/>
      <c r="D11" s="3335"/>
      <c r="E11" s="3343">
        <v>14</v>
      </c>
      <c r="F11" s="3344" t="s">
        <v>1959</v>
      </c>
      <c r="G11" s="3344"/>
      <c r="H11" s="3344"/>
      <c r="I11" s="3344"/>
      <c r="J11" s="3344"/>
      <c r="K11" s="3344"/>
      <c r="L11" s="3344"/>
      <c r="M11" s="3344"/>
      <c r="N11" s="3344"/>
      <c r="O11" s="3344"/>
      <c r="P11" s="3344"/>
      <c r="Q11" s="3344"/>
      <c r="R11" s="3344"/>
      <c r="S11" s="3344"/>
      <c r="T11" s="3344"/>
      <c r="U11" s="3344"/>
      <c r="V11" s="3344"/>
      <c r="W11" s="3344"/>
      <c r="X11" s="3344"/>
      <c r="Y11" s="3344"/>
      <c r="Z11" s="3344"/>
      <c r="AA11" s="3344"/>
      <c r="AB11" s="3344"/>
      <c r="AC11" s="3344"/>
      <c r="AD11" s="3344"/>
      <c r="AE11" s="3344"/>
      <c r="AF11" s="3344"/>
      <c r="AG11" s="3344"/>
      <c r="AH11" s="3344"/>
      <c r="AI11" s="3344"/>
      <c r="AJ11" s="3344"/>
      <c r="AK11" s="3333"/>
    </row>
    <row r="12" spans="1:37" s="3358" customFormat="1" ht="105.75" customHeight="1" x14ac:dyDescent="0.2">
      <c r="A12" s="3345"/>
      <c r="B12" s="3346"/>
      <c r="C12" s="3345"/>
      <c r="D12" s="3346"/>
      <c r="E12" s="3347"/>
      <c r="F12" s="3348"/>
      <c r="G12" s="3349">
        <v>54</v>
      </c>
      <c r="H12" s="3350" t="s">
        <v>1489</v>
      </c>
      <c r="I12" s="3351" t="s">
        <v>1960</v>
      </c>
      <c r="J12" s="3351">
        <v>130</v>
      </c>
      <c r="K12" s="3351" t="s">
        <v>1961</v>
      </c>
      <c r="L12" s="3352">
        <v>171</v>
      </c>
      <c r="M12" s="3350" t="s">
        <v>1962</v>
      </c>
      <c r="N12" s="3353">
        <f>+O12/S22</f>
        <v>8.2751239247208785E-2</v>
      </c>
      <c r="O12" s="3354">
        <f>+'[2] poai marzo 31+R.Bce '!$AP$7</f>
        <v>214850780</v>
      </c>
      <c r="P12" s="3350" t="s">
        <v>1963</v>
      </c>
      <c r="Q12" s="3350" t="s">
        <v>1964</v>
      </c>
      <c r="R12" s="3350" t="s">
        <v>1965</v>
      </c>
      <c r="S12" s="3355">
        <v>214850780</v>
      </c>
      <c r="T12" s="3355"/>
      <c r="U12" s="3355" t="s">
        <v>1966</v>
      </c>
      <c r="V12" s="3356">
        <v>270</v>
      </c>
      <c r="W12" s="3356">
        <v>189</v>
      </c>
      <c r="X12" s="3356">
        <v>189</v>
      </c>
      <c r="Y12" s="3356">
        <v>459</v>
      </c>
      <c r="Z12" s="3356">
        <v>1215</v>
      </c>
      <c r="AA12" s="3356">
        <v>378</v>
      </c>
      <c r="AB12" s="3356"/>
      <c r="AC12" s="3356"/>
      <c r="AD12" s="3356"/>
      <c r="AE12" s="3356"/>
      <c r="AF12" s="3356"/>
      <c r="AG12" s="3356"/>
      <c r="AH12" s="3357">
        <v>42917</v>
      </c>
      <c r="AI12" s="3357">
        <v>43099</v>
      </c>
      <c r="AJ12" s="3356" t="s">
        <v>1967</v>
      </c>
    </row>
    <row r="13" spans="1:37" s="3334" customFormat="1" ht="27.75" customHeight="1" x14ac:dyDescent="0.2">
      <c r="A13" s="3341"/>
      <c r="B13" s="3342"/>
      <c r="C13" s="3342"/>
      <c r="D13" s="3341"/>
      <c r="E13" s="3359">
        <v>15</v>
      </c>
      <c r="F13" s="3360" t="s">
        <v>1968</v>
      </c>
      <c r="G13" s="3360"/>
      <c r="H13" s="3360"/>
      <c r="I13" s="3360"/>
      <c r="J13" s="3360"/>
      <c r="K13" s="3361"/>
      <c r="L13" s="3361"/>
      <c r="M13" s="3361"/>
      <c r="N13" s="3361"/>
      <c r="O13" s="3361"/>
      <c r="P13" s="3361"/>
      <c r="Q13" s="3361"/>
      <c r="R13" s="3361"/>
      <c r="S13" s="3362">
        <v>284552340</v>
      </c>
      <c r="T13" s="3361"/>
      <c r="U13" s="3361"/>
      <c r="V13" s="3361"/>
      <c r="W13" s="3361"/>
      <c r="X13" s="3361"/>
      <c r="Y13" s="3361"/>
      <c r="Z13" s="3361"/>
      <c r="AA13" s="3361"/>
      <c r="AB13" s="3361"/>
      <c r="AC13" s="3361"/>
      <c r="AD13" s="3361"/>
      <c r="AE13" s="3361"/>
      <c r="AF13" s="3361"/>
      <c r="AG13" s="3361"/>
      <c r="AH13" s="3363"/>
      <c r="AI13" s="3363"/>
      <c r="AJ13" s="3361"/>
      <c r="AK13" s="3333"/>
    </row>
    <row r="14" spans="1:37" s="3358" customFormat="1" ht="58.5" customHeight="1" x14ac:dyDescent="0.2">
      <c r="A14" s="3364"/>
      <c r="B14" s="3346"/>
      <c r="C14" s="3345"/>
      <c r="D14" s="3346"/>
      <c r="E14" s="3365"/>
      <c r="F14" s="3366"/>
      <c r="G14" s="3367">
        <v>59</v>
      </c>
      <c r="H14" s="3368" t="s">
        <v>1532</v>
      </c>
      <c r="I14" s="3367" t="s">
        <v>16</v>
      </c>
      <c r="J14" s="3367">
        <v>12</v>
      </c>
      <c r="K14" s="3367" t="s">
        <v>1961</v>
      </c>
      <c r="L14" s="3369">
        <v>171</v>
      </c>
      <c r="M14" s="3368" t="s">
        <v>1962</v>
      </c>
      <c r="N14" s="3370">
        <f>+O14/$S$22</f>
        <v>0.26341213832275179</v>
      </c>
      <c r="O14" s="3371">
        <f>+'[2] poai marzo 31+R.Bce '!$AP$9</f>
        <v>683908832</v>
      </c>
      <c r="P14" s="3368" t="s">
        <v>1963</v>
      </c>
      <c r="Q14" s="3368" t="s">
        <v>1969</v>
      </c>
      <c r="R14" s="3367" t="s">
        <v>1970</v>
      </c>
      <c r="S14" s="3355">
        <v>649058052</v>
      </c>
      <c r="T14" s="3355"/>
      <c r="U14" s="3355" t="s">
        <v>1971</v>
      </c>
      <c r="V14" s="3372">
        <v>270</v>
      </c>
      <c r="W14" s="3372">
        <v>189</v>
      </c>
      <c r="X14" s="3372">
        <v>189</v>
      </c>
      <c r="Y14" s="3372">
        <v>459</v>
      </c>
      <c r="Z14" s="3372">
        <v>1215</v>
      </c>
      <c r="AA14" s="3372">
        <v>378</v>
      </c>
      <c r="AB14" s="3372"/>
      <c r="AC14" s="3372"/>
      <c r="AD14" s="3372"/>
      <c r="AE14" s="3372"/>
      <c r="AF14" s="3372"/>
      <c r="AG14" s="3372"/>
      <c r="AH14" s="3373">
        <v>42736</v>
      </c>
      <c r="AI14" s="3373">
        <v>43099</v>
      </c>
      <c r="AJ14" s="3372" t="s">
        <v>1967</v>
      </c>
    </row>
    <row r="15" spans="1:37" s="3358" customFormat="1" ht="58.5" customHeight="1" x14ac:dyDescent="0.2">
      <c r="A15" s="3364"/>
      <c r="B15" s="3346"/>
      <c r="C15" s="3345"/>
      <c r="D15" s="3346"/>
      <c r="E15" s="3374"/>
      <c r="F15" s="3375"/>
      <c r="G15" s="3376"/>
      <c r="H15" s="3377"/>
      <c r="I15" s="3376"/>
      <c r="J15" s="3376"/>
      <c r="K15" s="3376"/>
      <c r="L15" s="3369"/>
      <c r="M15" s="3378"/>
      <c r="N15" s="3379"/>
      <c r="O15" s="3380"/>
      <c r="P15" s="3378"/>
      <c r="Q15" s="3378"/>
      <c r="R15" s="3376"/>
      <c r="S15" s="3355">
        <v>34850780</v>
      </c>
      <c r="T15" s="3355"/>
      <c r="U15" s="3355" t="s">
        <v>1966</v>
      </c>
      <c r="V15" s="3381"/>
      <c r="W15" s="3381"/>
      <c r="X15" s="3381"/>
      <c r="Y15" s="3381"/>
      <c r="Z15" s="3381"/>
      <c r="AA15" s="3381"/>
      <c r="AB15" s="3381"/>
      <c r="AC15" s="3381"/>
      <c r="AD15" s="3381"/>
      <c r="AE15" s="3381"/>
      <c r="AF15" s="3381"/>
      <c r="AG15" s="3381"/>
      <c r="AH15" s="3382"/>
      <c r="AI15" s="3382"/>
      <c r="AJ15" s="3381"/>
    </row>
    <row r="16" spans="1:37" s="3358" customFormat="1" ht="58.5" customHeight="1" x14ac:dyDescent="0.2">
      <c r="A16" s="3364"/>
      <c r="B16" s="3346"/>
      <c r="C16" s="3345"/>
      <c r="D16" s="3346"/>
      <c r="E16" s="3374"/>
      <c r="F16" s="3375"/>
      <c r="G16" s="3367">
        <v>57</v>
      </c>
      <c r="H16" s="3368" t="s">
        <v>1521</v>
      </c>
      <c r="I16" s="3367" t="s">
        <v>16</v>
      </c>
      <c r="J16" s="3367">
        <v>12</v>
      </c>
      <c r="K16" s="3367" t="s">
        <v>1961</v>
      </c>
      <c r="L16" s="3369"/>
      <c r="M16" s="3378"/>
      <c r="N16" s="3370">
        <f>+O16/S22</f>
        <v>0.26341213870790858</v>
      </c>
      <c r="O16" s="3371">
        <f>+'[2] poai marzo 31+R.Bce '!$AP$10</f>
        <v>683908833</v>
      </c>
      <c r="P16" s="3378"/>
      <c r="Q16" s="3378"/>
      <c r="R16" s="3367" t="s">
        <v>1972</v>
      </c>
      <c r="S16" s="3355">
        <v>649058053</v>
      </c>
      <c r="T16" s="3355"/>
      <c r="U16" s="3355" t="s">
        <v>1971</v>
      </c>
      <c r="V16" s="3381"/>
      <c r="W16" s="3381"/>
      <c r="X16" s="3381"/>
      <c r="Y16" s="3381"/>
      <c r="Z16" s="3381"/>
      <c r="AA16" s="3381"/>
      <c r="AB16" s="3381"/>
      <c r="AC16" s="3381"/>
      <c r="AD16" s="3381"/>
      <c r="AE16" s="3381"/>
      <c r="AF16" s="3381"/>
      <c r="AG16" s="3381"/>
      <c r="AH16" s="3382"/>
      <c r="AI16" s="3382"/>
      <c r="AJ16" s="3381"/>
    </row>
    <row r="17" spans="1:36" s="3358" customFormat="1" ht="58.5" customHeight="1" x14ac:dyDescent="0.2">
      <c r="A17" s="3364"/>
      <c r="B17" s="3346"/>
      <c r="C17" s="3345"/>
      <c r="D17" s="3346"/>
      <c r="E17" s="3374"/>
      <c r="F17" s="3375"/>
      <c r="G17" s="3376"/>
      <c r="H17" s="3377"/>
      <c r="I17" s="3376"/>
      <c r="J17" s="3376"/>
      <c r="K17" s="3376"/>
      <c r="L17" s="3369"/>
      <c r="M17" s="3378"/>
      <c r="N17" s="3379"/>
      <c r="O17" s="3380"/>
      <c r="P17" s="3378"/>
      <c r="Q17" s="3378"/>
      <c r="R17" s="3376"/>
      <c r="S17" s="3355">
        <v>34850780</v>
      </c>
      <c r="T17" s="3355"/>
      <c r="U17" s="3355" t="s">
        <v>1966</v>
      </c>
      <c r="V17" s="3381"/>
      <c r="W17" s="3381"/>
      <c r="X17" s="3381"/>
      <c r="Y17" s="3381"/>
      <c r="Z17" s="3381"/>
      <c r="AA17" s="3381"/>
      <c r="AB17" s="3381"/>
      <c r="AC17" s="3381"/>
      <c r="AD17" s="3381"/>
      <c r="AE17" s="3381"/>
      <c r="AF17" s="3381"/>
      <c r="AG17" s="3381"/>
      <c r="AH17" s="3382"/>
      <c r="AI17" s="3382"/>
      <c r="AJ17" s="3381"/>
    </row>
    <row r="18" spans="1:36" s="3358" customFormat="1" ht="58.5" customHeight="1" x14ac:dyDescent="0.2">
      <c r="A18" s="3364"/>
      <c r="B18" s="3383"/>
      <c r="C18" s="3364"/>
      <c r="D18" s="3384"/>
      <c r="E18" s="3374"/>
      <c r="F18" s="3375"/>
      <c r="G18" s="3367">
        <v>60</v>
      </c>
      <c r="H18" s="3368" t="s">
        <v>1973</v>
      </c>
      <c r="I18" s="3367" t="s">
        <v>16</v>
      </c>
      <c r="J18" s="3367">
        <v>12</v>
      </c>
      <c r="K18" s="3367" t="s">
        <v>1961</v>
      </c>
      <c r="L18" s="3369"/>
      <c r="M18" s="3378"/>
      <c r="N18" s="3385">
        <f>+O18/S22</f>
        <v>0.12123499260498556</v>
      </c>
      <c r="O18" s="3371">
        <f>+'[2] poai marzo 31+R.Bce '!$AP$11</f>
        <v>314767887</v>
      </c>
      <c r="P18" s="3378"/>
      <c r="Q18" s="3378"/>
      <c r="R18" s="3367" t="s">
        <v>1974</v>
      </c>
      <c r="S18" s="3386">
        <v>314767887</v>
      </c>
      <c r="T18" s="3386"/>
      <c r="U18" s="3386" t="s">
        <v>1966</v>
      </c>
      <c r="V18" s="3381"/>
      <c r="W18" s="3381"/>
      <c r="X18" s="3381"/>
      <c r="Y18" s="3381"/>
      <c r="Z18" s="3381"/>
      <c r="AA18" s="3381"/>
      <c r="AB18" s="3381"/>
      <c r="AC18" s="3381"/>
      <c r="AD18" s="3381"/>
      <c r="AE18" s="3381"/>
      <c r="AF18" s="3381"/>
      <c r="AG18" s="3381"/>
      <c r="AH18" s="3382"/>
      <c r="AI18" s="3382"/>
      <c r="AJ18" s="3381"/>
    </row>
    <row r="19" spans="1:36" s="3358" customFormat="1" ht="58.5" customHeight="1" x14ac:dyDescent="0.2">
      <c r="A19" s="3364"/>
      <c r="B19" s="3383"/>
      <c r="C19" s="3364"/>
      <c r="D19" s="3384"/>
      <c r="E19" s="3374"/>
      <c r="F19" s="3375"/>
      <c r="G19" s="3387"/>
      <c r="H19" s="3378"/>
      <c r="I19" s="3387"/>
      <c r="J19" s="3387"/>
      <c r="K19" s="3376"/>
      <c r="L19" s="3369"/>
      <c r="M19" s="3378"/>
      <c r="N19" s="3388"/>
      <c r="O19" s="3380"/>
      <c r="P19" s="3378"/>
      <c r="Q19" s="3378"/>
      <c r="R19" s="3376"/>
      <c r="S19" s="3389"/>
      <c r="T19" s="3389"/>
      <c r="U19" s="3389"/>
      <c r="V19" s="3381"/>
      <c r="W19" s="3381"/>
      <c r="X19" s="3381"/>
      <c r="Y19" s="3381"/>
      <c r="Z19" s="3381"/>
      <c r="AA19" s="3381"/>
      <c r="AB19" s="3381"/>
      <c r="AC19" s="3381"/>
      <c r="AD19" s="3381"/>
      <c r="AE19" s="3381"/>
      <c r="AF19" s="3381"/>
      <c r="AG19" s="3381"/>
      <c r="AH19" s="3382"/>
      <c r="AI19" s="3382"/>
      <c r="AJ19" s="3381"/>
    </row>
    <row r="20" spans="1:36" s="3358" customFormat="1" ht="58.5" customHeight="1" x14ac:dyDescent="0.2">
      <c r="A20" s="3364"/>
      <c r="B20" s="3383"/>
      <c r="C20" s="3364"/>
      <c r="D20" s="3384"/>
      <c r="E20" s="3374"/>
      <c r="F20" s="3375"/>
      <c r="G20" s="3366">
        <v>63</v>
      </c>
      <c r="H20" s="3390" t="s">
        <v>1545</v>
      </c>
      <c r="I20" s="3367" t="s">
        <v>16</v>
      </c>
      <c r="J20" s="3367">
        <v>250</v>
      </c>
      <c r="K20" s="3367" t="s">
        <v>1961</v>
      </c>
      <c r="L20" s="3369"/>
      <c r="M20" s="3378"/>
      <c r="N20" s="3385">
        <f>+O20/$S$22</f>
        <v>0.26918949111714524</v>
      </c>
      <c r="O20" s="3371">
        <f>+'[2] poai marzo 31+R.Bce '!$AP$12</f>
        <v>698908834</v>
      </c>
      <c r="P20" s="3378"/>
      <c r="Q20" s="3378"/>
      <c r="R20" s="3368" t="s">
        <v>1975</v>
      </c>
      <c r="S20" s="3355">
        <v>599058054</v>
      </c>
      <c r="T20" s="3355"/>
      <c r="U20" s="3355" t="s">
        <v>1971</v>
      </c>
      <c r="V20" s="3381"/>
      <c r="W20" s="3381"/>
      <c r="X20" s="3381"/>
      <c r="Y20" s="3381"/>
      <c r="Z20" s="3381"/>
      <c r="AA20" s="3381"/>
      <c r="AB20" s="3381"/>
      <c r="AC20" s="3381"/>
      <c r="AD20" s="3381"/>
      <c r="AE20" s="3381"/>
      <c r="AF20" s="3381"/>
      <c r="AG20" s="3381"/>
      <c r="AH20" s="3382"/>
      <c r="AI20" s="3382"/>
      <c r="AJ20" s="3381"/>
    </row>
    <row r="21" spans="1:36" s="3358" customFormat="1" ht="58.5" customHeight="1" x14ac:dyDescent="0.2">
      <c r="A21" s="3364"/>
      <c r="B21" s="3383"/>
      <c r="C21" s="3364"/>
      <c r="D21" s="3384"/>
      <c r="E21" s="3374"/>
      <c r="F21" s="3375"/>
      <c r="G21" s="3375"/>
      <c r="H21" s="3391"/>
      <c r="I21" s="3387"/>
      <c r="J21" s="3387"/>
      <c r="K21" s="3387"/>
      <c r="L21" s="3369"/>
      <c r="M21" s="3378"/>
      <c r="N21" s="3392"/>
      <c r="O21" s="3393"/>
      <c r="P21" s="3378"/>
      <c r="Q21" s="3378"/>
      <c r="R21" s="3377"/>
      <c r="S21" s="3355">
        <v>99850780</v>
      </c>
      <c r="T21" s="3355"/>
      <c r="U21" s="3355" t="s">
        <v>1966</v>
      </c>
      <c r="V21" s="3381"/>
      <c r="W21" s="3381"/>
      <c r="X21" s="3381"/>
      <c r="Y21" s="3381"/>
      <c r="Z21" s="3381"/>
      <c r="AA21" s="3381"/>
      <c r="AB21" s="3381"/>
      <c r="AC21" s="3381"/>
      <c r="AD21" s="3381"/>
      <c r="AE21" s="3381"/>
      <c r="AF21" s="3381"/>
      <c r="AG21" s="3381"/>
      <c r="AH21" s="3382"/>
      <c r="AI21" s="3382"/>
      <c r="AJ21" s="3381"/>
    </row>
    <row r="22" spans="1:36" s="3405" customFormat="1" ht="27.75" customHeight="1" x14ac:dyDescent="0.2">
      <c r="A22" s="3394" t="s">
        <v>120</v>
      </c>
      <c r="B22" s="3395"/>
      <c r="C22" s="3395"/>
      <c r="D22" s="3395"/>
      <c r="E22" s="3395"/>
      <c r="F22" s="3395"/>
      <c r="G22" s="3395"/>
      <c r="H22" s="3395"/>
      <c r="I22" s="3395"/>
      <c r="J22" s="3395"/>
      <c r="K22" s="3395"/>
      <c r="L22" s="3395"/>
      <c r="M22" s="3395"/>
      <c r="N22" s="3395"/>
      <c r="O22" s="3396">
        <f>SUM(O12:O21)</f>
        <v>2596345166</v>
      </c>
      <c r="P22" s="3397"/>
      <c r="Q22" s="3398"/>
      <c r="R22" s="3398"/>
      <c r="S22" s="3399">
        <f>SUM(S14:S21)+SUM(S12:S12)</f>
        <v>2596345166</v>
      </c>
      <c r="T22" s="3400"/>
      <c r="U22" s="3400"/>
      <c r="V22" s="3401"/>
      <c r="W22" s="3401"/>
      <c r="X22" s="3401"/>
      <c r="Y22" s="3401"/>
      <c r="Z22" s="3401"/>
      <c r="AA22" s="3401"/>
      <c r="AB22" s="3401"/>
      <c r="AC22" s="3401"/>
      <c r="AD22" s="3401"/>
      <c r="AE22" s="3401"/>
      <c r="AF22" s="3401"/>
      <c r="AG22" s="3401"/>
      <c r="AH22" s="3402"/>
      <c r="AI22" s="3403"/>
      <c r="AJ22" s="3404"/>
    </row>
    <row r="23" spans="1:36" s="3405" customFormat="1" ht="18.75" customHeight="1" x14ac:dyDescent="0.2">
      <c r="E23" s="3406"/>
      <c r="G23" s="3406"/>
      <c r="M23" s="3407"/>
      <c r="N23" s="3408"/>
      <c r="R23" s="3409"/>
      <c r="S23" s="3409"/>
      <c r="T23" s="3409"/>
      <c r="U23" s="3409"/>
      <c r="AH23" s="3410"/>
      <c r="AI23" s="3411"/>
    </row>
    <row r="24" spans="1:36" s="3405" customFormat="1" x14ac:dyDescent="0.2">
      <c r="E24" s="3406"/>
      <c r="G24" s="3406"/>
      <c r="M24" s="3407"/>
      <c r="N24" s="3408"/>
      <c r="R24" s="3409"/>
      <c r="S24" s="3409"/>
      <c r="T24" s="3409"/>
      <c r="U24" s="3409"/>
      <c r="AH24" s="3410"/>
      <c r="AI24" s="3411"/>
    </row>
    <row r="25" spans="1:36" s="3405" customFormat="1" x14ac:dyDescent="0.2">
      <c r="E25" s="3406"/>
      <c r="G25" s="3406"/>
      <c r="M25" s="3407"/>
      <c r="N25" s="3408"/>
      <c r="R25" s="3409"/>
      <c r="S25" s="3409"/>
      <c r="T25" s="3409"/>
      <c r="U25" s="3409"/>
      <c r="AH25" s="3410"/>
      <c r="AI25" s="3411"/>
    </row>
    <row r="26" spans="1:36" s="3405" customFormat="1" x14ac:dyDescent="0.2">
      <c r="E26" s="3406"/>
      <c r="G26" s="3406"/>
      <c r="M26" s="3407"/>
      <c r="N26" s="3408"/>
      <c r="R26" s="3409"/>
      <c r="S26" s="3409"/>
      <c r="T26" s="3409"/>
      <c r="U26" s="3409"/>
      <c r="AH26" s="3410"/>
      <c r="AI26" s="3411"/>
    </row>
    <row r="27" spans="1:36" s="3405" customFormat="1" x14ac:dyDescent="0.2">
      <c r="E27" s="3406"/>
      <c r="G27" s="3406"/>
      <c r="M27" s="3407"/>
      <c r="N27" s="3408"/>
      <c r="R27" s="3409"/>
      <c r="S27" s="3409"/>
      <c r="T27" s="3409"/>
      <c r="U27" s="3409"/>
      <c r="AH27" s="3410"/>
      <c r="AI27" s="3411"/>
    </row>
    <row r="28" spans="1:36" s="3405" customFormat="1" x14ac:dyDescent="0.2">
      <c r="E28" s="3406"/>
      <c r="G28" s="3406"/>
      <c r="M28" s="3407"/>
      <c r="N28" s="3408"/>
      <c r="R28" s="3409"/>
      <c r="S28" s="3409"/>
      <c r="T28" s="3409"/>
      <c r="U28" s="3409"/>
      <c r="AH28" s="3410"/>
      <c r="AI28" s="3411"/>
    </row>
    <row r="29" spans="1:36" s="3405" customFormat="1" x14ac:dyDescent="0.2">
      <c r="E29" s="3406"/>
      <c r="G29" s="3406"/>
      <c r="M29" s="3407"/>
      <c r="N29" s="3408"/>
      <c r="R29" s="3409"/>
      <c r="S29" s="3409"/>
      <c r="T29" s="3409"/>
      <c r="U29" s="3409"/>
      <c r="AH29" s="3410"/>
      <c r="AI29" s="3411"/>
    </row>
    <row r="30" spans="1:36" s="3405" customFormat="1" x14ac:dyDescent="0.2">
      <c r="E30" s="3406"/>
      <c r="G30" s="3406"/>
      <c r="M30" s="3407"/>
      <c r="N30" s="3408"/>
      <c r="R30" s="3409"/>
      <c r="S30" s="3409"/>
      <c r="T30" s="3409"/>
      <c r="U30" s="3409"/>
      <c r="AH30" s="3410"/>
      <c r="AI30" s="3411"/>
    </row>
    <row r="31" spans="1:36" s="3405" customFormat="1" x14ac:dyDescent="0.2">
      <c r="E31" s="3406"/>
      <c r="G31" s="3406"/>
      <c r="M31" s="3407"/>
      <c r="N31" s="3408"/>
      <c r="R31" s="3409"/>
      <c r="S31" s="3409"/>
      <c r="T31" s="3409"/>
      <c r="U31" s="3409"/>
      <c r="AH31" s="3410"/>
      <c r="AI31" s="3411"/>
    </row>
    <row r="32" spans="1:36" s="3405" customFormat="1" x14ac:dyDescent="0.2">
      <c r="E32" s="3406"/>
      <c r="G32" s="3406"/>
      <c r="M32" s="3407"/>
      <c r="N32" s="3408"/>
      <c r="R32" s="3409"/>
      <c r="S32" s="3409"/>
      <c r="T32" s="3409"/>
      <c r="U32" s="3409"/>
      <c r="AH32" s="3410"/>
      <c r="AI32" s="3411"/>
    </row>
    <row r="33" spans="5:35" s="3405" customFormat="1" x14ac:dyDescent="0.2">
      <c r="E33" s="3406"/>
      <c r="G33" s="3406"/>
      <c r="M33" s="3407"/>
      <c r="N33" s="3408"/>
      <c r="R33" s="3409"/>
      <c r="S33" s="3409"/>
      <c r="T33" s="3409"/>
      <c r="U33" s="3409"/>
      <c r="AH33" s="3410"/>
      <c r="AI33" s="3411"/>
    </row>
    <row r="34" spans="5:35" s="3405" customFormat="1" x14ac:dyDescent="0.2">
      <c r="E34" s="3406"/>
      <c r="G34" s="3406"/>
      <c r="M34" s="3407"/>
      <c r="N34" s="3408"/>
      <c r="R34" s="3409"/>
      <c r="S34" s="3409"/>
      <c r="T34" s="3409"/>
      <c r="U34" s="3409"/>
      <c r="AH34" s="3410"/>
      <c r="AI34" s="3411"/>
    </row>
    <row r="35" spans="5:35" s="3405" customFormat="1" x14ac:dyDescent="0.2">
      <c r="E35" s="3406"/>
      <c r="G35" s="3406"/>
      <c r="M35" s="3407"/>
      <c r="N35" s="3408"/>
      <c r="R35" s="3409"/>
      <c r="S35" s="3409"/>
      <c r="T35" s="3409"/>
      <c r="U35" s="3409"/>
      <c r="AH35" s="3410"/>
      <c r="AI35" s="3411"/>
    </row>
    <row r="36" spans="5:35" s="3405" customFormat="1" x14ac:dyDescent="0.2">
      <c r="E36" s="3406"/>
      <c r="G36" s="3406"/>
      <c r="M36" s="3407"/>
      <c r="N36" s="3408"/>
      <c r="R36" s="3409"/>
      <c r="S36" s="3409"/>
      <c r="T36" s="3409"/>
      <c r="U36" s="3409"/>
      <c r="AH36" s="3410"/>
      <c r="AI36" s="3411"/>
    </row>
    <row r="37" spans="5:35" s="3405" customFormat="1" x14ac:dyDescent="0.2">
      <c r="E37" s="3406"/>
      <c r="G37" s="3406"/>
      <c r="M37" s="3407"/>
      <c r="N37" s="3408"/>
      <c r="R37" s="3409"/>
      <c r="S37" s="3409"/>
      <c r="T37" s="3409"/>
      <c r="U37" s="3409"/>
      <c r="AH37" s="3410"/>
      <c r="AI37" s="3411"/>
    </row>
    <row r="38" spans="5:35" s="3405" customFormat="1" x14ac:dyDescent="0.2">
      <c r="E38" s="3406"/>
      <c r="G38" s="3406"/>
      <c r="M38" s="3407"/>
      <c r="N38" s="3408"/>
      <c r="R38" s="3409"/>
      <c r="S38" s="3409"/>
      <c r="T38" s="3409"/>
      <c r="U38" s="3409"/>
      <c r="AH38" s="3410"/>
      <c r="AI38" s="3411"/>
    </row>
    <row r="39" spans="5:35" s="3405" customFormat="1" x14ac:dyDescent="0.2">
      <c r="E39" s="3406"/>
      <c r="G39" s="3406"/>
      <c r="M39" s="3407"/>
      <c r="N39" s="3408"/>
      <c r="R39" s="3409"/>
      <c r="S39" s="3409"/>
      <c r="T39" s="3409"/>
      <c r="U39" s="3409"/>
      <c r="AH39" s="3410"/>
      <c r="AI39" s="3411"/>
    </row>
    <row r="40" spans="5:35" s="3405" customFormat="1" x14ac:dyDescent="0.2">
      <c r="E40" s="3406"/>
      <c r="G40" s="3406"/>
      <c r="M40" s="3407"/>
      <c r="N40" s="3408"/>
      <c r="R40" s="3409"/>
      <c r="S40" s="3409"/>
      <c r="T40" s="3409"/>
      <c r="U40" s="3409"/>
      <c r="AH40" s="3410"/>
      <c r="AI40" s="3411"/>
    </row>
    <row r="41" spans="5:35" s="3405" customFormat="1" x14ac:dyDescent="0.2">
      <c r="E41" s="3406"/>
      <c r="G41" s="3406"/>
      <c r="M41" s="3407"/>
      <c r="N41" s="3408"/>
      <c r="R41" s="3409"/>
      <c r="S41" s="3409"/>
      <c r="T41" s="3409"/>
      <c r="U41" s="3409"/>
      <c r="AH41" s="3410"/>
      <c r="AI41" s="3411"/>
    </row>
    <row r="42" spans="5:35" s="3405" customFormat="1" x14ac:dyDescent="0.2">
      <c r="E42" s="3406"/>
      <c r="G42" s="3406"/>
      <c r="M42" s="3407"/>
      <c r="N42" s="3408"/>
      <c r="R42" s="3409"/>
      <c r="S42" s="3409"/>
      <c r="T42" s="3409"/>
      <c r="U42" s="3409"/>
      <c r="AH42" s="3410"/>
      <c r="AI42" s="3411"/>
    </row>
    <row r="43" spans="5:35" s="3405" customFormat="1" x14ac:dyDescent="0.2">
      <c r="E43" s="3406"/>
      <c r="G43" s="3406"/>
      <c r="M43" s="3407"/>
      <c r="N43" s="3408"/>
      <c r="R43" s="3409"/>
      <c r="S43" s="3409"/>
      <c r="T43" s="3409"/>
      <c r="U43" s="3409"/>
      <c r="AH43" s="3410"/>
      <c r="AI43" s="3411"/>
    </row>
    <row r="44" spans="5:35" s="3405" customFormat="1" x14ac:dyDescent="0.2">
      <c r="E44" s="3406"/>
      <c r="G44" s="3406"/>
      <c r="M44" s="3407"/>
      <c r="N44" s="3408"/>
      <c r="R44" s="3409"/>
      <c r="S44" s="3409"/>
      <c r="T44" s="3409"/>
      <c r="U44" s="3409"/>
      <c r="AH44" s="3410"/>
      <c r="AI44" s="3411"/>
    </row>
    <row r="45" spans="5:35" s="3405" customFormat="1" x14ac:dyDescent="0.2">
      <c r="E45" s="3406"/>
      <c r="G45" s="3406"/>
      <c r="M45" s="3407"/>
      <c r="N45" s="3408"/>
      <c r="R45" s="3409"/>
      <c r="S45" s="3409"/>
      <c r="T45" s="3409"/>
      <c r="U45" s="3409"/>
      <c r="AH45" s="3410"/>
      <c r="AI45" s="3411"/>
    </row>
    <row r="46" spans="5:35" s="3405" customFormat="1" x14ac:dyDescent="0.2">
      <c r="E46" s="3406"/>
      <c r="G46" s="3406"/>
      <c r="M46" s="3407"/>
      <c r="N46" s="3408"/>
      <c r="R46" s="3409"/>
      <c r="S46" s="3409"/>
      <c r="T46" s="3409"/>
      <c r="U46" s="3409"/>
      <c r="AH46" s="3410"/>
      <c r="AI46" s="3411"/>
    </row>
    <row r="47" spans="5:35" s="3405" customFormat="1" x14ac:dyDescent="0.2">
      <c r="E47" s="3406"/>
      <c r="G47" s="3406"/>
      <c r="M47" s="3407"/>
      <c r="N47" s="3408"/>
      <c r="R47" s="3409"/>
      <c r="S47" s="3409"/>
      <c r="T47" s="3409"/>
      <c r="U47" s="3409"/>
      <c r="AH47" s="3410"/>
      <c r="AI47" s="3411"/>
    </row>
    <row r="48" spans="5:35" s="3405" customFormat="1" x14ac:dyDescent="0.2">
      <c r="E48" s="3406"/>
      <c r="G48" s="3406"/>
      <c r="M48" s="3407"/>
      <c r="N48" s="3408"/>
      <c r="R48" s="3409"/>
      <c r="S48" s="3409"/>
      <c r="T48" s="3409"/>
      <c r="U48" s="3409"/>
      <c r="AH48" s="3410"/>
      <c r="AI48" s="3411"/>
    </row>
    <row r="49" spans="5:35" s="3405" customFormat="1" x14ac:dyDescent="0.2">
      <c r="E49" s="3406"/>
      <c r="G49" s="3406"/>
      <c r="M49" s="3407"/>
      <c r="N49" s="3408"/>
      <c r="R49" s="3409"/>
      <c r="S49" s="3409"/>
      <c r="T49" s="3409"/>
      <c r="U49" s="3409"/>
      <c r="AH49" s="3410"/>
      <c r="AI49" s="3411"/>
    </row>
    <row r="50" spans="5:35" s="3405" customFormat="1" x14ac:dyDescent="0.2">
      <c r="E50" s="3406"/>
      <c r="G50" s="3406"/>
      <c r="M50" s="3407"/>
      <c r="N50" s="3408"/>
      <c r="R50" s="3409"/>
      <c r="S50" s="3409"/>
      <c r="T50" s="3409"/>
      <c r="U50" s="3409"/>
      <c r="AH50" s="3410"/>
      <c r="AI50" s="3411"/>
    </row>
    <row r="51" spans="5:35" s="3405" customFormat="1" x14ac:dyDescent="0.2">
      <c r="E51" s="3406"/>
      <c r="G51" s="3406"/>
      <c r="M51" s="3407"/>
      <c r="N51" s="3408"/>
      <c r="R51" s="3409"/>
      <c r="S51" s="3409"/>
      <c r="T51" s="3409"/>
      <c r="U51" s="3409"/>
      <c r="AH51" s="3410"/>
      <c r="AI51" s="3411"/>
    </row>
    <row r="52" spans="5:35" s="3405" customFormat="1" x14ac:dyDescent="0.2">
      <c r="E52" s="3406"/>
      <c r="G52" s="3406"/>
      <c r="M52" s="3407"/>
      <c r="N52" s="3408"/>
      <c r="R52" s="3409"/>
      <c r="S52" s="3409"/>
      <c r="T52" s="3409"/>
      <c r="U52" s="3409"/>
      <c r="AH52" s="3410"/>
      <c r="AI52" s="3411"/>
    </row>
    <row r="53" spans="5:35" s="3405" customFormat="1" x14ac:dyDescent="0.2">
      <c r="E53" s="3406"/>
      <c r="G53" s="3406"/>
      <c r="M53" s="3407"/>
      <c r="N53" s="3408"/>
      <c r="R53" s="3409"/>
      <c r="S53" s="3409"/>
      <c r="T53" s="3409"/>
      <c r="U53" s="3409"/>
      <c r="AH53" s="3410"/>
      <c r="AI53" s="3411"/>
    </row>
    <row r="54" spans="5:35" s="3405" customFormat="1" x14ac:dyDescent="0.2">
      <c r="E54" s="3406"/>
      <c r="G54" s="3406"/>
      <c r="M54" s="3407"/>
      <c r="N54" s="3408"/>
      <c r="R54" s="3409"/>
      <c r="S54" s="3409"/>
      <c r="T54" s="3409"/>
      <c r="U54" s="3409"/>
      <c r="AH54" s="3410"/>
      <c r="AI54" s="3411"/>
    </row>
    <row r="55" spans="5:35" s="3405" customFormat="1" x14ac:dyDescent="0.2">
      <c r="E55" s="3406"/>
      <c r="G55" s="3406"/>
      <c r="M55" s="3407"/>
      <c r="N55" s="3408"/>
      <c r="R55" s="3409"/>
      <c r="S55" s="3409"/>
      <c r="T55" s="3409"/>
      <c r="U55" s="3409"/>
      <c r="AH55" s="3410"/>
      <c r="AI55" s="3411"/>
    </row>
    <row r="56" spans="5:35" s="3405" customFormat="1" x14ac:dyDescent="0.2">
      <c r="E56" s="3406"/>
      <c r="G56" s="3406"/>
      <c r="M56" s="3407"/>
      <c r="N56" s="3408"/>
      <c r="R56" s="3409"/>
      <c r="S56" s="3409"/>
      <c r="T56" s="3409"/>
      <c r="U56" s="3409"/>
      <c r="AH56" s="3410"/>
      <c r="AI56" s="3411"/>
    </row>
    <row r="57" spans="5:35" s="3405" customFormat="1" x14ac:dyDescent="0.2">
      <c r="E57" s="3406"/>
      <c r="G57" s="3406"/>
      <c r="M57" s="3407"/>
      <c r="N57" s="3408"/>
      <c r="R57" s="3409"/>
      <c r="S57" s="3409"/>
      <c r="T57" s="3409"/>
      <c r="U57" s="3409"/>
      <c r="AH57" s="3410"/>
      <c r="AI57" s="3411"/>
    </row>
    <row r="58" spans="5:35" s="3405" customFormat="1" x14ac:dyDescent="0.2">
      <c r="E58" s="3406"/>
      <c r="G58" s="3406"/>
      <c r="M58" s="3407"/>
      <c r="N58" s="3408"/>
      <c r="R58" s="3409"/>
      <c r="S58" s="3409"/>
      <c r="T58" s="3409"/>
      <c r="U58" s="3409"/>
      <c r="AH58" s="3410"/>
      <c r="AI58" s="3411"/>
    </row>
    <row r="59" spans="5:35" s="3405" customFormat="1" x14ac:dyDescent="0.2">
      <c r="E59" s="3406"/>
      <c r="G59" s="3406"/>
      <c r="M59" s="3407"/>
      <c r="N59" s="3408"/>
      <c r="R59" s="3409"/>
      <c r="S59" s="3409"/>
      <c r="T59" s="3409"/>
      <c r="U59" s="3409"/>
      <c r="AH59" s="3410"/>
      <c r="AI59" s="3411"/>
    </row>
    <row r="60" spans="5:35" s="3405" customFormat="1" x14ac:dyDescent="0.2">
      <c r="E60" s="3406"/>
      <c r="G60" s="3406"/>
      <c r="M60" s="3407"/>
      <c r="N60" s="3408"/>
      <c r="R60" s="3409"/>
      <c r="S60" s="3409"/>
      <c r="T60" s="3409"/>
      <c r="U60" s="3409"/>
      <c r="AH60" s="3410"/>
      <c r="AI60" s="3411"/>
    </row>
    <row r="61" spans="5:35" s="3405" customFormat="1" x14ac:dyDescent="0.2">
      <c r="E61" s="3406"/>
      <c r="G61" s="3406"/>
      <c r="M61" s="3407"/>
      <c r="N61" s="3408"/>
      <c r="R61" s="3409"/>
      <c r="S61" s="3409"/>
      <c r="T61" s="3409"/>
      <c r="U61" s="3409"/>
      <c r="AH61" s="3410"/>
      <c r="AI61" s="3411"/>
    </row>
    <row r="62" spans="5:35" s="3405" customFormat="1" x14ac:dyDescent="0.2">
      <c r="E62" s="3406"/>
      <c r="G62" s="3406"/>
      <c r="M62" s="3407"/>
      <c r="N62" s="3408"/>
      <c r="R62" s="3409"/>
      <c r="S62" s="3409"/>
      <c r="T62" s="3409"/>
      <c r="U62" s="3409"/>
      <c r="AH62" s="3410"/>
      <c r="AI62" s="3411"/>
    </row>
    <row r="63" spans="5:35" s="3405" customFormat="1" x14ac:dyDescent="0.2">
      <c r="E63" s="3406"/>
      <c r="G63" s="3406"/>
      <c r="M63" s="3407"/>
      <c r="N63" s="3408"/>
      <c r="R63" s="3409"/>
      <c r="S63" s="3409"/>
      <c r="T63" s="3409"/>
      <c r="U63" s="3409"/>
      <c r="AH63" s="3410"/>
      <c r="AI63" s="3411"/>
    </row>
    <row r="64" spans="5:35" s="3405" customFormat="1" x14ac:dyDescent="0.2">
      <c r="E64" s="3406"/>
      <c r="G64" s="3406"/>
      <c r="M64" s="3407"/>
      <c r="N64" s="3408"/>
      <c r="R64" s="3409"/>
      <c r="S64" s="3409"/>
      <c r="T64" s="3409"/>
      <c r="U64" s="3409"/>
      <c r="AH64" s="3410"/>
      <c r="AI64" s="3411"/>
    </row>
    <row r="65" spans="5:35" s="3405" customFormat="1" x14ac:dyDescent="0.2">
      <c r="E65" s="3406"/>
      <c r="G65" s="3406"/>
      <c r="M65" s="3407"/>
      <c r="N65" s="3408"/>
      <c r="R65" s="3409"/>
      <c r="S65" s="3409"/>
      <c r="T65" s="3409"/>
      <c r="U65" s="3409"/>
      <c r="AH65" s="3410"/>
      <c r="AI65" s="3411"/>
    </row>
    <row r="66" spans="5:35" s="3405" customFormat="1" x14ac:dyDescent="0.2">
      <c r="E66" s="3406"/>
      <c r="G66" s="3406"/>
      <c r="M66" s="3407"/>
      <c r="N66" s="3408"/>
      <c r="R66" s="3409"/>
      <c r="S66" s="3409"/>
      <c r="T66" s="3409"/>
      <c r="U66" s="3409"/>
      <c r="AH66" s="3410"/>
      <c r="AI66" s="3411"/>
    </row>
    <row r="67" spans="5:35" s="3405" customFormat="1" x14ac:dyDescent="0.2">
      <c r="E67" s="3406"/>
      <c r="G67" s="3406"/>
      <c r="M67" s="3407"/>
      <c r="N67" s="3408"/>
      <c r="R67" s="3409"/>
      <c r="S67" s="3409"/>
      <c r="T67" s="3409"/>
      <c r="U67" s="3409"/>
      <c r="AH67" s="3410"/>
      <c r="AI67" s="3411"/>
    </row>
    <row r="68" spans="5:35" s="3405" customFormat="1" x14ac:dyDescent="0.2">
      <c r="E68" s="3406"/>
      <c r="G68" s="3406"/>
      <c r="M68" s="3407"/>
      <c r="N68" s="3408"/>
      <c r="R68" s="3409"/>
      <c r="S68" s="3409"/>
      <c r="T68" s="3409"/>
      <c r="U68" s="3409"/>
      <c r="AH68" s="3410"/>
      <c r="AI68" s="3411"/>
    </row>
    <row r="69" spans="5:35" s="3405" customFormat="1" x14ac:dyDescent="0.2">
      <c r="E69" s="3406"/>
      <c r="G69" s="3406"/>
      <c r="M69" s="3407"/>
      <c r="N69" s="3408"/>
      <c r="R69" s="3409"/>
      <c r="S69" s="3409"/>
      <c r="T69" s="3409"/>
      <c r="U69" s="3409"/>
      <c r="AH69" s="3410"/>
      <c r="AI69" s="3411"/>
    </row>
    <row r="70" spans="5:35" s="3405" customFormat="1" x14ac:dyDescent="0.2">
      <c r="E70" s="3406"/>
      <c r="G70" s="3406"/>
      <c r="M70" s="3407"/>
      <c r="N70" s="3408"/>
      <c r="R70" s="3409"/>
      <c r="S70" s="3409"/>
      <c r="T70" s="3409"/>
      <c r="U70" s="3409"/>
      <c r="AH70" s="3410"/>
      <c r="AI70" s="3411"/>
    </row>
    <row r="71" spans="5:35" s="3405" customFormat="1" x14ac:dyDescent="0.2">
      <c r="E71" s="3406"/>
      <c r="G71" s="3406"/>
      <c r="M71" s="3407"/>
      <c r="N71" s="3408"/>
      <c r="R71" s="3409"/>
      <c r="S71" s="3409"/>
      <c r="T71" s="3409"/>
      <c r="U71" s="3409"/>
      <c r="AH71" s="3410"/>
      <c r="AI71" s="3411"/>
    </row>
    <row r="72" spans="5:35" s="3405" customFormat="1" x14ac:dyDescent="0.2">
      <c r="E72" s="3406"/>
      <c r="G72" s="3406"/>
      <c r="M72" s="3407"/>
      <c r="N72" s="3408"/>
      <c r="R72" s="3409"/>
      <c r="S72" s="3409"/>
      <c r="T72" s="3409"/>
      <c r="U72" s="3409"/>
      <c r="AH72" s="3410"/>
      <c r="AI72" s="3411"/>
    </row>
    <row r="73" spans="5:35" s="3405" customFormat="1" x14ac:dyDescent="0.2">
      <c r="E73" s="3406"/>
      <c r="G73" s="3406"/>
      <c r="M73" s="3407"/>
      <c r="N73" s="3408"/>
      <c r="R73" s="3409"/>
      <c r="S73" s="3409"/>
      <c r="T73" s="3409"/>
      <c r="U73" s="3409"/>
      <c r="AH73" s="3410"/>
      <c r="AI73" s="3411"/>
    </row>
    <row r="74" spans="5:35" s="3405" customFormat="1" x14ac:dyDescent="0.2">
      <c r="E74" s="3406"/>
      <c r="G74" s="3406"/>
      <c r="M74" s="3407"/>
      <c r="N74" s="3408"/>
      <c r="R74" s="3409"/>
      <c r="S74" s="3409"/>
      <c r="T74" s="3409"/>
      <c r="U74" s="3409"/>
      <c r="AH74" s="3410"/>
      <c r="AI74" s="3411"/>
    </row>
    <row r="75" spans="5:35" s="3405" customFormat="1" x14ac:dyDescent="0.2">
      <c r="E75" s="3406"/>
      <c r="G75" s="3406"/>
      <c r="M75" s="3407"/>
      <c r="N75" s="3408"/>
      <c r="R75" s="3409"/>
      <c r="S75" s="3409"/>
      <c r="T75" s="3409"/>
      <c r="U75" s="3409"/>
      <c r="AH75" s="3410"/>
      <c r="AI75" s="3411"/>
    </row>
    <row r="76" spans="5:35" s="3405" customFormat="1" x14ac:dyDescent="0.2">
      <c r="E76" s="3406"/>
      <c r="G76" s="3406"/>
      <c r="M76" s="3407"/>
      <c r="N76" s="3408"/>
      <c r="R76" s="3409"/>
      <c r="S76" s="3409"/>
      <c r="T76" s="3409"/>
      <c r="U76" s="3409"/>
      <c r="AH76" s="3410"/>
      <c r="AI76" s="3411"/>
    </row>
    <row r="77" spans="5:35" s="3405" customFormat="1" x14ac:dyDescent="0.2">
      <c r="E77" s="3406"/>
      <c r="G77" s="3406"/>
      <c r="M77" s="3407"/>
      <c r="N77" s="3408"/>
      <c r="R77" s="3409"/>
      <c r="S77" s="3409"/>
      <c r="T77" s="3409"/>
      <c r="U77" s="3409"/>
      <c r="AH77" s="3410"/>
      <c r="AI77" s="3411"/>
    </row>
    <row r="78" spans="5:35" s="3405" customFormat="1" x14ac:dyDescent="0.2">
      <c r="E78" s="3406"/>
      <c r="G78" s="3406"/>
      <c r="M78" s="3407"/>
      <c r="N78" s="3408"/>
      <c r="R78" s="3409"/>
      <c r="S78" s="3409"/>
      <c r="T78" s="3409"/>
      <c r="U78" s="3409"/>
      <c r="AH78" s="3410"/>
      <c r="AI78" s="3411"/>
    </row>
    <row r="79" spans="5:35" s="3405" customFormat="1" x14ac:dyDescent="0.2">
      <c r="E79" s="3406"/>
      <c r="G79" s="3406"/>
      <c r="M79" s="3407"/>
      <c r="N79" s="3408"/>
      <c r="R79" s="3409"/>
      <c r="S79" s="3409"/>
      <c r="T79" s="3409"/>
      <c r="U79" s="3409"/>
      <c r="AH79" s="3410"/>
      <c r="AI79" s="3411"/>
    </row>
    <row r="80" spans="5:35" s="3405" customFormat="1" x14ac:dyDescent="0.2">
      <c r="E80" s="3406"/>
      <c r="G80" s="3406"/>
      <c r="M80" s="3407"/>
      <c r="N80" s="3408"/>
      <c r="R80" s="3409"/>
      <c r="S80" s="3409"/>
      <c r="T80" s="3409"/>
      <c r="U80" s="3409"/>
      <c r="AH80" s="3410"/>
      <c r="AI80" s="3411"/>
    </row>
    <row r="81" spans="5:35" s="3405" customFormat="1" x14ac:dyDescent="0.2">
      <c r="E81" s="3406"/>
      <c r="G81" s="3406"/>
      <c r="M81" s="3407"/>
      <c r="N81" s="3408"/>
      <c r="R81" s="3409"/>
      <c r="S81" s="3409"/>
      <c r="T81" s="3409"/>
      <c r="U81" s="3409"/>
      <c r="AH81" s="3410"/>
      <c r="AI81" s="3411"/>
    </row>
    <row r="82" spans="5:35" s="3405" customFormat="1" x14ac:dyDescent="0.2">
      <c r="E82" s="3406"/>
      <c r="G82" s="3406"/>
      <c r="M82" s="3407"/>
      <c r="N82" s="3408"/>
      <c r="R82" s="3409"/>
      <c r="S82" s="3409"/>
      <c r="T82" s="3409"/>
      <c r="U82" s="3409"/>
      <c r="AH82" s="3410"/>
      <c r="AI82" s="3411"/>
    </row>
    <row r="83" spans="5:35" s="3405" customFormat="1" x14ac:dyDescent="0.2">
      <c r="E83" s="3406"/>
      <c r="G83" s="3406"/>
      <c r="M83" s="3407"/>
      <c r="N83" s="3408"/>
      <c r="R83" s="3409"/>
      <c r="S83" s="3409"/>
      <c r="T83" s="3409"/>
      <c r="U83" s="3409"/>
      <c r="AH83" s="3410"/>
      <c r="AI83" s="3411"/>
    </row>
    <row r="84" spans="5:35" s="3405" customFormat="1" x14ac:dyDescent="0.2">
      <c r="E84" s="3406"/>
      <c r="G84" s="3406"/>
      <c r="M84" s="3407"/>
      <c r="N84" s="3408"/>
      <c r="R84" s="3409"/>
      <c r="S84" s="3409"/>
      <c r="T84" s="3409"/>
      <c r="U84" s="3409"/>
      <c r="AH84" s="3410"/>
      <c r="AI84" s="3411"/>
    </row>
    <row r="85" spans="5:35" s="3405" customFormat="1" x14ac:dyDescent="0.2">
      <c r="E85" s="3406"/>
      <c r="G85" s="3406"/>
      <c r="M85" s="3407"/>
      <c r="N85" s="3408"/>
      <c r="R85" s="3409"/>
      <c r="S85" s="3409"/>
      <c r="T85" s="3409"/>
      <c r="U85" s="3409"/>
      <c r="AH85" s="3410"/>
      <c r="AI85" s="3411"/>
    </row>
    <row r="86" spans="5:35" s="3405" customFormat="1" x14ac:dyDescent="0.2">
      <c r="E86" s="3406"/>
      <c r="G86" s="3406"/>
      <c r="M86" s="3407"/>
      <c r="N86" s="3408"/>
      <c r="R86" s="3409"/>
      <c r="S86" s="3409"/>
      <c r="T86" s="3409"/>
      <c r="U86" s="3409"/>
      <c r="AH86" s="3410"/>
      <c r="AI86" s="3411"/>
    </row>
    <row r="87" spans="5:35" s="3405" customFormat="1" x14ac:dyDescent="0.2">
      <c r="E87" s="3406"/>
      <c r="G87" s="3406"/>
      <c r="M87" s="3407"/>
      <c r="N87" s="3408"/>
      <c r="R87" s="3409"/>
      <c r="S87" s="3409"/>
      <c r="T87" s="3409"/>
      <c r="U87" s="3409"/>
      <c r="AH87" s="3410"/>
      <c r="AI87" s="3411"/>
    </row>
    <row r="88" spans="5:35" s="3405" customFormat="1" x14ac:dyDescent="0.2">
      <c r="E88" s="3406"/>
      <c r="G88" s="3406"/>
      <c r="M88" s="3407"/>
      <c r="N88" s="3408"/>
      <c r="R88" s="3409"/>
      <c r="S88" s="3409"/>
      <c r="T88" s="3409"/>
      <c r="U88" s="3409"/>
      <c r="AH88" s="3410"/>
      <c r="AI88" s="3411"/>
    </row>
    <row r="89" spans="5:35" s="3405" customFormat="1" x14ac:dyDescent="0.2">
      <c r="E89" s="3406"/>
      <c r="G89" s="3406"/>
      <c r="M89" s="3407"/>
      <c r="N89" s="3408"/>
      <c r="R89" s="3409"/>
      <c r="S89" s="3409"/>
      <c r="T89" s="3409"/>
      <c r="U89" s="3409"/>
      <c r="AH89" s="3410"/>
      <c r="AI89" s="3411"/>
    </row>
    <row r="90" spans="5:35" s="3405" customFormat="1" x14ac:dyDescent="0.2">
      <c r="E90" s="3406"/>
      <c r="G90" s="3406"/>
      <c r="M90" s="3407"/>
      <c r="N90" s="3408"/>
      <c r="R90" s="3409"/>
      <c r="S90" s="3409"/>
      <c r="T90" s="3409"/>
      <c r="U90" s="3409"/>
      <c r="AH90" s="3410"/>
      <c r="AI90" s="3411"/>
    </row>
    <row r="91" spans="5:35" s="3405" customFormat="1" x14ac:dyDescent="0.2">
      <c r="E91" s="3406"/>
      <c r="G91" s="3406"/>
      <c r="M91" s="3407"/>
      <c r="N91" s="3408"/>
      <c r="R91" s="3409"/>
      <c r="S91" s="3409"/>
      <c r="T91" s="3409"/>
      <c r="U91" s="3409"/>
      <c r="AH91" s="3410"/>
      <c r="AI91" s="3411"/>
    </row>
    <row r="92" spans="5:35" s="3405" customFormat="1" x14ac:dyDescent="0.2">
      <c r="E92" s="3406"/>
      <c r="G92" s="3406"/>
      <c r="M92" s="3407"/>
      <c r="N92" s="3408"/>
      <c r="R92" s="3409"/>
      <c r="S92" s="3409"/>
      <c r="T92" s="3409"/>
      <c r="U92" s="3409"/>
      <c r="AH92" s="3410"/>
      <c r="AI92" s="3411"/>
    </row>
    <row r="93" spans="5:35" s="3405" customFormat="1" x14ac:dyDescent="0.2">
      <c r="E93" s="3406"/>
      <c r="G93" s="3406"/>
      <c r="M93" s="3407"/>
      <c r="N93" s="3408"/>
      <c r="R93" s="3409"/>
      <c r="S93" s="3409"/>
      <c r="T93" s="3409"/>
      <c r="U93" s="3409"/>
      <c r="AH93" s="3410"/>
      <c r="AI93" s="3411"/>
    </row>
    <row r="94" spans="5:35" s="3405" customFormat="1" x14ac:dyDescent="0.2">
      <c r="E94" s="3406"/>
      <c r="G94" s="3406"/>
      <c r="M94" s="3407"/>
      <c r="N94" s="3408"/>
      <c r="R94" s="3409"/>
      <c r="S94" s="3409"/>
      <c r="T94" s="3409"/>
      <c r="U94" s="3409"/>
      <c r="AH94" s="3410"/>
      <c r="AI94" s="3411"/>
    </row>
    <row r="95" spans="5:35" s="3405" customFormat="1" x14ac:dyDescent="0.2">
      <c r="E95" s="3406"/>
      <c r="G95" s="3406"/>
      <c r="M95" s="3407"/>
      <c r="N95" s="3408"/>
      <c r="R95" s="3409"/>
      <c r="S95" s="3409"/>
      <c r="T95" s="3409"/>
      <c r="U95" s="3409"/>
      <c r="AH95" s="3410"/>
      <c r="AI95" s="3411"/>
    </row>
    <row r="96" spans="5:35" s="3405" customFormat="1" x14ac:dyDescent="0.2">
      <c r="E96" s="3406"/>
      <c r="G96" s="3406"/>
      <c r="M96" s="3407"/>
      <c r="N96" s="3408"/>
      <c r="R96" s="3409"/>
      <c r="S96" s="3409"/>
      <c r="T96" s="3409"/>
      <c r="U96" s="3409"/>
      <c r="AH96" s="3410"/>
      <c r="AI96" s="3411"/>
    </row>
    <row r="97" spans="5:35" s="3405" customFormat="1" x14ac:dyDescent="0.2">
      <c r="E97" s="3406"/>
      <c r="G97" s="3406"/>
      <c r="M97" s="3407"/>
      <c r="N97" s="3408"/>
      <c r="R97" s="3409"/>
      <c r="S97" s="3409"/>
      <c r="T97" s="3409"/>
      <c r="U97" s="3409"/>
      <c r="AH97" s="3410"/>
      <c r="AI97" s="3411"/>
    </row>
    <row r="98" spans="5:35" s="3405" customFormat="1" x14ac:dyDescent="0.2">
      <c r="E98" s="3406"/>
      <c r="G98" s="3406"/>
      <c r="M98" s="3407"/>
      <c r="N98" s="3408"/>
      <c r="R98" s="3409"/>
      <c r="S98" s="3409"/>
      <c r="T98" s="3409"/>
      <c r="U98" s="3409"/>
      <c r="AH98" s="3410"/>
      <c r="AI98" s="3411"/>
    </row>
    <row r="99" spans="5:35" s="3405" customFormat="1" x14ac:dyDescent="0.2">
      <c r="E99" s="3406"/>
      <c r="G99" s="3406"/>
      <c r="M99" s="3407"/>
      <c r="N99" s="3408"/>
      <c r="R99" s="3409"/>
      <c r="S99" s="3409"/>
      <c r="T99" s="3409"/>
      <c r="U99" s="3409"/>
      <c r="AH99" s="3410"/>
      <c r="AI99" s="3411"/>
    </row>
    <row r="100" spans="5:35" s="3405" customFormat="1" x14ac:dyDescent="0.2">
      <c r="E100" s="3406"/>
      <c r="G100" s="3406"/>
      <c r="M100" s="3407"/>
      <c r="N100" s="3408"/>
      <c r="R100" s="3409"/>
      <c r="S100" s="3409"/>
      <c r="T100" s="3409"/>
      <c r="U100" s="3409"/>
      <c r="AH100" s="3410"/>
      <c r="AI100" s="3411"/>
    </row>
    <row r="101" spans="5:35" s="3405" customFormat="1" x14ac:dyDescent="0.2">
      <c r="E101" s="3406"/>
      <c r="G101" s="3406"/>
      <c r="M101" s="3407"/>
      <c r="N101" s="3408"/>
      <c r="R101" s="3409"/>
      <c r="S101" s="3409"/>
      <c r="T101" s="3409"/>
      <c r="U101" s="3409"/>
      <c r="AH101" s="3410"/>
      <c r="AI101" s="3411"/>
    </row>
    <row r="102" spans="5:35" s="3405" customFormat="1" x14ac:dyDescent="0.2">
      <c r="E102" s="3406"/>
      <c r="G102" s="3406"/>
      <c r="M102" s="3407"/>
      <c r="N102" s="3408"/>
      <c r="R102" s="3409"/>
      <c r="S102" s="3409"/>
      <c r="T102" s="3409"/>
      <c r="U102" s="3409"/>
      <c r="AH102" s="3410"/>
      <c r="AI102" s="3411"/>
    </row>
    <row r="103" spans="5:35" s="3405" customFormat="1" x14ac:dyDescent="0.2">
      <c r="E103" s="3406"/>
      <c r="G103" s="3406"/>
      <c r="M103" s="3407"/>
      <c r="N103" s="3408"/>
      <c r="R103" s="3409"/>
      <c r="S103" s="3409"/>
      <c r="T103" s="3409"/>
      <c r="U103" s="3409"/>
      <c r="AH103" s="3410"/>
      <c r="AI103" s="3411"/>
    </row>
    <row r="104" spans="5:35" s="3405" customFormat="1" x14ac:dyDescent="0.2">
      <c r="E104" s="3406"/>
      <c r="G104" s="3406"/>
      <c r="M104" s="3407"/>
      <c r="N104" s="3408"/>
      <c r="R104" s="3409"/>
      <c r="S104" s="3409"/>
      <c r="T104" s="3409"/>
      <c r="U104" s="3409"/>
      <c r="AH104" s="3410"/>
      <c r="AI104" s="3411"/>
    </row>
    <row r="105" spans="5:35" s="3405" customFormat="1" x14ac:dyDescent="0.2">
      <c r="E105" s="3406"/>
      <c r="G105" s="3406"/>
      <c r="M105" s="3407"/>
      <c r="N105" s="3408"/>
      <c r="R105" s="3409"/>
      <c r="S105" s="3409"/>
      <c r="T105" s="3409"/>
      <c r="U105" s="3409"/>
      <c r="AH105" s="3410"/>
      <c r="AI105" s="3411"/>
    </row>
    <row r="106" spans="5:35" s="3405" customFormat="1" x14ac:dyDescent="0.2">
      <c r="E106" s="3406"/>
      <c r="G106" s="3406"/>
      <c r="M106" s="3407"/>
      <c r="N106" s="3408"/>
      <c r="R106" s="3409"/>
      <c r="S106" s="3409"/>
      <c r="T106" s="3409"/>
      <c r="U106" s="3409"/>
      <c r="AH106" s="3410"/>
      <c r="AI106" s="3411"/>
    </row>
    <row r="107" spans="5:35" s="3405" customFormat="1" x14ac:dyDescent="0.2">
      <c r="E107" s="3406"/>
      <c r="G107" s="3406"/>
      <c r="M107" s="3407"/>
      <c r="N107" s="3408"/>
      <c r="R107" s="3409"/>
      <c r="S107" s="3409"/>
      <c r="T107" s="3409"/>
      <c r="U107" s="3409"/>
      <c r="AH107" s="3410"/>
      <c r="AI107" s="3411"/>
    </row>
    <row r="108" spans="5:35" s="3405" customFormat="1" x14ac:dyDescent="0.2">
      <c r="E108" s="3406"/>
      <c r="G108" s="3406"/>
      <c r="M108" s="3407"/>
      <c r="N108" s="3408"/>
      <c r="R108" s="3409"/>
      <c r="S108" s="3409"/>
      <c r="T108" s="3409"/>
      <c r="U108" s="3409"/>
      <c r="AH108" s="3410"/>
      <c r="AI108" s="3411"/>
    </row>
    <row r="109" spans="5:35" s="3405" customFormat="1" x14ac:dyDescent="0.2">
      <c r="E109" s="3406"/>
      <c r="G109" s="3406"/>
      <c r="M109" s="3407"/>
      <c r="N109" s="3408"/>
      <c r="R109" s="3409"/>
      <c r="S109" s="3409"/>
      <c r="T109" s="3409"/>
      <c r="U109" s="3409"/>
      <c r="AH109" s="3410"/>
      <c r="AI109" s="3411"/>
    </row>
    <row r="110" spans="5:35" s="3405" customFormat="1" x14ac:dyDescent="0.2">
      <c r="E110" s="3406"/>
      <c r="G110" s="3406"/>
      <c r="M110" s="3407"/>
      <c r="N110" s="3408"/>
      <c r="R110" s="3409"/>
      <c r="S110" s="3409"/>
      <c r="T110" s="3409"/>
      <c r="U110" s="3409"/>
      <c r="AH110" s="3410"/>
      <c r="AI110" s="3411"/>
    </row>
    <row r="111" spans="5:35" s="3405" customFormat="1" x14ac:dyDescent="0.2">
      <c r="E111" s="3406"/>
      <c r="G111" s="3406"/>
      <c r="M111" s="3407"/>
      <c r="N111" s="3408"/>
      <c r="R111" s="3409"/>
      <c r="S111" s="3409"/>
      <c r="T111" s="3409"/>
      <c r="U111" s="3409"/>
      <c r="AH111" s="3410"/>
      <c r="AI111" s="3411"/>
    </row>
    <row r="112" spans="5:35" s="3405" customFormat="1" x14ac:dyDescent="0.2">
      <c r="E112" s="3406"/>
      <c r="G112" s="3406"/>
      <c r="M112" s="3407"/>
      <c r="N112" s="3408"/>
      <c r="R112" s="3409"/>
      <c r="S112" s="3409"/>
      <c r="T112" s="3409"/>
      <c r="U112" s="3409"/>
      <c r="AH112" s="3410"/>
      <c r="AI112" s="3411"/>
    </row>
    <row r="113" spans="5:35" s="3405" customFormat="1" x14ac:dyDescent="0.2">
      <c r="E113" s="3406"/>
      <c r="G113" s="3406"/>
      <c r="M113" s="3407"/>
      <c r="N113" s="3408"/>
      <c r="R113" s="3409"/>
      <c r="S113" s="3409"/>
      <c r="T113" s="3409"/>
      <c r="U113" s="3409"/>
      <c r="AH113" s="3410"/>
      <c r="AI113" s="3411"/>
    </row>
    <row r="114" spans="5:35" s="3405" customFormat="1" x14ac:dyDescent="0.2">
      <c r="E114" s="3406"/>
      <c r="G114" s="3406"/>
      <c r="M114" s="3407"/>
      <c r="N114" s="3408"/>
      <c r="R114" s="3409"/>
      <c r="S114" s="3409"/>
      <c r="T114" s="3409"/>
      <c r="U114" s="3409"/>
      <c r="AH114" s="3410"/>
      <c r="AI114" s="3411"/>
    </row>
    <row r="115" spans="5:35" s="3405" customFormat="1" x14ac:dyDescent="0.2">
      <c r="E115" s="3406"/>
      <c r="G115" s="3406"/>
      <c r="M115" s="3407"/>
      <c r="N115" s="3408"/>
      <c r="R115" s="3409"/>
      <c r="S115" s="3409"/>
      <c r="T115" s="3409"/>
      <c r="U115" s="3409"/>
      <c r="AH115" s="3410"/>
      <c r="AI115" s="3411"/>
    </row>
    <row r="116" spans="5:35" s="3405" customFormat="1" x14ac:dyDescent="0.2">
      <c r="E116" s="3406"/>
      <c r="G116" s="3406"/>
      <c r="M116" s="3407"/>
      <c r="N116" s="3408"/>
      <c r="R116" s="3409"/>
      <c r="S116" s="3409"/>
      <c r="T116" s="3409"/>
      <c r="U116" s="3409"/>
      <c r="AH116" s="3410"/>
      <c r="AI116" s="3411"/>
    </row>
    <row r="117" spans="5:35" s="3405" customFormat="1" x14ac:dyDescent="0.2">
      <c r="E117" s="3406"/>
      <c r="G117" s="3406"/>
      <c r="M117" s="3407"/>
      <c r="N117" s="3408"/>
      <c r="R117" s="3409"/>
      <c r="S117" s="3409"/>
      <c r="T117" s="3409"/>
      <c r="U117" s="3409"/>
      <c r="AH117" s="3410"/>
      <c r="AI117" s="3411"/>
    </row>
    <row r="118" spans="5:35" s="3405" customFormat="1" x14ac:dyDescent="0.2">
      <c r="E118" s="3406"/>
      <c r="G118" s="3406"/>
      <c r="M118" s="3407"/>
      <c r="N118" s="3408"/>
      <c r="R118" s="3409"/>
      <c r="S118" s="3409"/>
      <c r="T118" s="3409"/>
      <c r="U118" s="3409"/>
      <c r="AH118" s="3410"/>
      <c r="AI118" s="3411"/>
    </row>
    <row r="119" spans="5:35" s="3405" customFormat="1" x14ac:dyDescent="0.2">
      <c r="E119" s="3406"/>
      <c r="G119" s="3406"/>
      <c r="M119" s="3407"/>
      <c r="N119" s="3408"/>
      <c r="R119" s="3409"/>
      <c r="S119" s="3409"/>
      <c r="T119" s="3409"/>
      <c r="U119" s="3409"/>
      <c r="AH119" s="3410"/>
      <c r="AI119" s="3411"/>
    </row>
    <row r="120" spans="5:35" s="3405" customFormat="1" x14ac:dyDescent="0.2">
      <c r="E120" s="3406"/>
      <c r="G120" s="3406"/>
      <c r="M120" s="3407"/>
      <c r="N120" s="3408"/>
      <c r="R120" s="3409"/>
      <c r="S120" s="3409"/>
      <c r="T120" s="3409"/>
      <c r="U120" s="3409"/>
      <c r="AH120" s="3410"/>
      <c r="AI120" s="3411"/>
    </row>
    <row r="121" spans="5:35" s="3405" customFormat="1" x14ac:dyDescent="0.2">
      <c r="E121" s="3406"/>
      <c r="G121" s="3406"/>
      <c r="M121" s="3407"/>
      <c r="N121" s="3408"/>
      <c r="R121" s="3409"/>
      <c r="S121" s="3409"/>
      <c r="T121" s="3409"/>
      <c r="U121" s="3409"/>
      <c r="AH121" s="3410"/>
      <c r="AI121" s="3411"/>
    </row>
    <row r="122" spans="5:35" s="3405" customFormat="1" x14ac:dyDescent="0.2">
      <c r="E122" s="3406"/>
      <c r="G122" s="3406"/>
      <c r="M122" s="3407"/>
      <c r="N122" s="3408"/>
      <c r="R122" s="3409"/>
      <c r="S122" s="3409"/>
      <c r="T122" s="3409"/>
      <c r="U122" s="3409"/>
      <c r="AH122" s="3410"/>
      <c r="AI122" s="3411"/>
    </row>
    <row r="123" spans="5:35" s="3405" customFormat="1" x14ac:dyDescent="0.2">
      <c r="E123" s="3406"/>
      <c r="G123" s="3406"/>
      <c r="M123" s="3407"/>
      <c r="N123" s="3408"/>
      <c r="R123" s="3409"/>
      <c r="S123" s="3409"/>
      <c r="T123" s="3409"/>
      <c r="U123" s="3409"/>
      <c r="AH123" s="3410"/>
      <c r="AI123" s="3411"/>
    </row>
    <row r="124" spans="5:35" s="3405" customFormat="1" x14ac:dyDescent="0.2">
      <c r="E124" s="3406"/>
      <c r="G124" s="3406"/>
      <c r="M124" s="3407"/>
      <c r="N124" s="3408"/>
      <c r="R124" s="3409"/>
      <c r="S124" s="3409"/>
      <c r="T124" s="3409"/>
      <c r="U124" s="3409"/>
      <c r="AH124" s="3410"/>
      <c r="AI124" s="3411"/>
    </row>
    <row r="125" spans="5:35" s="3405" customFormat="1" x14ac:dyDescent="0.2">
      <c r="E125" s="3406"/>
      <c r="G125" s="3406"/>
      <c r="M125" s="3407"/>
      <c r="N125" s="3408"/>
      <c r="R125" s="3409"/>
      <c r="S125" s="3409"/>
      <c r="T125" s="3409"/>
      <c r="U125" s="3409"/>
      <c r="AH125" s="3410"/>
      <c r="AI125" s="3411"/>
    </row>
    <row r="126" spans="5:35" s="3405" customFormat="1" x14ac:dyDescent="0.2">
      <c r="E126" s="3406"/>
      <c r="G126" s="3406"/>
      <c r="M126" s="3407"/>
      <c r="N126" s="3408"/>
      <c r="R126" s="3409"/>
      <c r="S126" s="3409"/>
      <c r="T126" s="3409"/>
      <c r="U126" s="3409"/>
      <c r="AH126" s="3410"/>
      <c r="AI126" s="3411"/>
    </row>
    <row r="127" spans="5:35" s="3405" customFormat="1" x14ac:dyDescent="0.2">
      <c r="E127" s="3406"/>
      <c r="G127" s="3406"/>
      <c r="M127" s="3407"/>
      <c r="N127" s="3408"/>
      <c r="R127" s="3409"/>
      <c r="S127" s="3409"/>
      <c r="T127" s="3409"/>
      <c r="U127" s="3409"/>
      <c r="AH127" s="3410"/>
      <c r="AI127" s="3411"/>
    </row>
    <row r="128" spans="5:35" s="3405" customFormat="1" x14ac:dyDescent="0.2">
      <c r="E128" s="3406"/>
      <c r="G128" s="3406"/>
      <c r="M128" s="3407"/>
      <c r="N128" s="3408"/>
      <c r="R128" s="3409"/>
      <c r="S128" s="3409"/>
      <c r="T128" s="3409"/>
      <c r="U128" s="3409"/>
      <c r="AH128" s="3410"/>
      <c r="AI128" s="3411"/>
    </row>
    <row r="129" spans="5:35" s="3405" customFormat="1" x14ac:dyDescent="0.2">
      <c r="E129" s="3406"/>
      <c r="G129" s="3406"/>
      <c r="M129" s="3407"/>
      <c r="N129" s="3408"/>
      <c r="R129" s="3409"/>
      <c r="S129" s="3409"/>
      <c r="T129" s="3409"/>
      <c r="U129" s="3409"/>
      <c r="AH129" s="3410"/>
      <c r="AI129" s="3411"/>
    </row>
    <row r="130" spans="5:35" s="3405" customFormat="1" x14ac:dyDescent="0.2">
      <c r="E130" s="3406"/>
      <c r="G130" s="3406"/>
      <c r="M130" s="3407"/>
      <c r="N130" s="3408"/>
      <c r="R130" s="3409"/>
      <c r="S130" s="3409"/>
      <c r="T130" s="3409"/>
      <c r="U130" s="3409"/>
      <c r="AH130" s="3410"/>
      <c r="AI130" s="3411"/>
    </row>
    <row r="131" spans="5:35" s="3405" customFormat="1" x14ac:dyDescent="0.2">
      <c r="E131" s="3406"/>
      <c r="G131" s="3406"/>
      <c r="M131" s="3407"/>
      <c r="N131" s="3408"/>
      <c r="R131" s="3409"/>
      <c r="S131" s="3409"/>
      <c r="T131" s="3409"/>
      <c r="U131" s="3409"/>
      <c r="AH131" s="3410"/>
      <c r="AI131" s="3411"/>
    </row>
    <row r="132" spans="5:35" s="3405" customFormat="1" x14ac:dyDescent="0.2">
      <c r="E132" s="3406"/>
      <c r="G132" s="3406"/>
      <c r="M132" s="3407"/>
      <c r="N132" s="3408"/>
      <c r="R132" s="3409"/>
      <c r="S132" s="3409"/>
      <c r="T132" s="3409"/>
      <c r="U132" s="3409"/>
      <c r="AH132" s="3410"/>
      <c r="AI132" s="3411"/>
    </row>
    <row r="133" spans="5:35" s="3405" customFormat="1" x14ac:dyDescent="0.2">
      <c r="E133" s="3406"/>
      <c r="G133" s="3406"/>
      <c r="M133" s="3407"/>
      <c r="N133" s="3408"/>
      <c r="R133" s="3409"/>
      <c r="S133" s="3409"/>
      <c r="T133" s="3409"/>
      <c r="U133" s="3409"/>
      <c r="AH133" s="3410"/>
      <c r="AI133" s="3411"/>
    </row>
    <row r="134" spans="5:35" s="3405" customFormat="1" x14ac:dyDescent="0.2">
      <c r="E134" s="3406"/>
      <c r="G134" s="3406"/>
      <c r="M134" s="3407"/>
      <c r="N134" s="3408"/>
      <c r="R134" s="3409"/>
      <c r="S134" s="3409"/>
      <c r="T134" s="3409"/>
      <c r="U134" s="3409"/>
      <c r="AH134" s="3410"/>
      <c r="AI134" s="3411"/>
    </row>
    <row r="135" spans="5:35" s="3405" customFormat="1" x14ac:dyDescent="0.2">
      <c r="E135" s="3406"/>
      <c r="G135" s="3406"/>
      <c r="M135" s="3407"/>
      <c r="N135" s="3408"/>
      <c r="R135" s="3409"/>
      <c r="S135" s="3409"/>
      <c r="T135" s="3409"/>
      <c r="U135" s="3409"/>
      <c r="AH135" s="3410"/>
      <c r="AI135" s="3411"/>
    </row>
    <row r="136" spans="5:35" s="3405" customFormat="1" x14ac:dyDescent="0.2">
      <c r="E136" s="3406"/>
      <c r="G136" s="3406"/>
      <c r="M136" s="3407"/>
      <c r="N136" s="3408"/>
      <c r="R136" s="3409"/>
      <c r="S136" s="3409"/>
      <c r="T136" s="3409"/>
      <c r="U136" s="3409"/>
      <c r="AH136" s="3410"/>
      <c r="AI136" s="3411"/>
    </row>
    <row r="137" spans="5:35" s="3405" customFormat="1" x14ac:dyDescent="0.2">
      <c r="E137" s="3406"/>
      <c r="G137" s="3406"/>
      <c r="M137" s="3407"/>
      <c r="N137" s="3408"/>
      <c r="R137" s="3409"/>
      <c r="S137" s="3409"/>
      <c r="T137" s="3409"/>
      <c r="U137" s="3409"/>
      <c r="AH137" s="3410"/>
      <c r="AI137" s="3411"/>
    </row>
    <row r="138" spans="5:35" s="3405" customFormat="1" x14ac:dyDescent="0.2">
      <c r="E138" s="3406"/>
      <c r="G138" s="3406"/>
      <c r="M138" s="3407"/>
      <c r="N138" s="3408"/>
      <c r="R138" s="3409"/>
      <c r="S138" s="3409"/>
      <c r="T138" s="3409"/>
      <c r="U138" s="3409"/>
      <c r="AH138" s="3410"/>
      <c r="AI138" s="3411"/>
    </row>
    <row r="139" spans="5:35" s="3405" customFormat="1" x14ac:dyDescent="0.2">
      <c r="E139" s="3406"/>
      <c r="G139" s="3406"/>
      <c r="M139" s="3407"/>
      <c r="N139" s="3408"/>
      <c r="R139" s="3409"/>
      <c r="S139" s="3409"/>
      <c r="T139" s="3409"/>
      <c r="U139" s="3409"/>
      <c r="AH139" s="3410"/>
      <c r="AI139" s="3411"/>
    </row>
    <row r="140" spans="5:35" s="3405" customFormat="1" x14ac:dyDescent="0.2">
      <c r="E140" s="3406"/>
      <c r="G140" s="3406"/>
      <c r="M140" s="3407"/>
      <c r="N140" s="3408"/>
      <c r="R140" s="3409"/>
      <c r="S140" s="3409"/>
      <c r="T140" s="3409"/>
      <c r="U140" s="3409"/>
      <c r="AH140" s="3410"/>
      <c r="AI140" s="3411"/>
    </row>
    <row r="141" spans="5:35" s="3405" customFormat="1" x14ac:dyDescent="0.2">
      <c r="E141" s="3406"/>
      <c r="G141" s="3406"/>
      <c r="M141" s="3407"/>
      <c r="N141" s="3408"/>
      <c r="R141" s="3409"/>
      <c r="S141" s="3409"/>
      <c r="T141" s="3409"/>
      <c r="U141" s="3409"/>
      <c r="AH141" s="3410"/>
      <c r="AI141" s="3411"/>
    </row>
    <row r="142" spans="5:35" s="3405" customFormat="1" x14ac:dyDescent="0.2">
      <c r="E142" s="3406"/>
      <c r="G142" s="3406"/>
      <c r="M142" s="3407"/>
      <c r="N142" s="3408"/>
      <c r="R142" s="3409"/>
      <c r="S142" s="3409"/>
      <c r="T142" s="3409"/>
      <c r="U142" s="3409"/>
      <c r="AH142" s="3410"/>
      <c r="AI142" s="3411"/>
    </row>
    <row r="143" spans="5:35" s="3405" customFormat="1" x14ac:dyDescent="0.2">
      <c r="E143" s="3406"/>
      <c r="G143" s="3406"/>
      <c r="M143" s="3407"/>
      <c r="N143" s="3408"/>
      <c r="R143" s="3409"/>
      <c r="S143" s="3409"/>
      <c r="T143" s="3409"/>
      <c r="U143" s="3409"/>
      <c r="AH143" s="3410"/>
      <c r="AI143" s="3411"/>
    </row>
    <row r="144" spans="5:35" s="3405" customFormat="1" x14ac:dyDescent="0.2">
      <c r="E144" s="3406"/>
      <c r="G144" s="3406"/>
      <c r="M144" s="3407"/>
      <c r="N144" s="3408"/>
      <c r="R144" s="3409"/>
      <c r="S144" s="3409"/>
      <c r="T144" s="3409"/>
      <c r="U144" s="3409"/>
      <c r="AH144" s="3410"/>
      <c r="AI144" s="3411"/>
    </row>
    <row r="145" spans="5:35" s="3405" customFormat="1" x14ac:dyDescent="0.2">
      <c r="E145" s="3406"/>
      <c r="G145" s="3406"/>
      <c r="M145" s="3407"/>
      <c r="N145" s="3408"/>
      <c r="R145" s="3409"/>
      <c r="S145" s="3409"/>
      <c r="T145" s="3409"/>
      <c r="U145" s="3409"/>
      <c r="AH145" s="3410"/>
      <c r="AI145" s="3411"/>
    </row>
    <row r="146" spans="5:35" s="3405" customFormat="1" x14ac:dyDescent="0.2">
      <c r="E146" s="3406"/>
      <c r="G146" s="3406"/>
      <c r="M146" s="3407"/>
      <c r="N146" s="3408"/>
      <c r="R146" s="3409"/>
      <c r="S146" s="3409"/>
      <c r="T146" s="3409"/>
      <c r="U146" s="3409"/>
      <c r="AH146" s="3410"/>
      <c r="AI146" s="3411"/>
    </row>
    <row r="147" spans="5:35" s="3405" customFormat="1" x14ac:dyDescent="0.2">
      <c r="E147" s="3406"/>
      <c r="G147" s="3406"/>
      <c r="M147" s="3407"/>
      <c r="N147" s="3408"/>
      <c r="R147" s="3409"/>
      <c r="S147" s="3409"/>
      <c r="T147" s="3409"/>
      <c r="U147" s="3409"/>
      <c r="AH147" s="3410"/>
      <c r="AI147" s="3411"/>
    </row>
    <row r="148" spans="5:35" s="3405" customFormat="1" x14ac:dyDescent="0.2">
      <c r="E148" s="3406"/>
      <c r="G148" s="3406"/>
      <c r="M148" s="3407"/>
      <c r="N148" s="3408"/>
      <c r="R148" s="3409"/>
      <c r="S148" s="3409"/>
      <c r="T148" s="3409"/>
      <c r="U148" s="3409"/>
      <c r="AH148" s="3410"/>
      <c r="AI148" s="3411"/>
    </row>
    <row r="149" spans="5:35" s="3405" customFormat="1" x14ac:dyDescent="0.2">
      <c r="E149" s="3406"/>
      <c r="G149" s="3406"/>
      <c r="M149" s="3407"/>
      <c r="N149" s="3408"/>
      <c r="R149" s="3409"/>
      <c r="S149" s="3409"/>
      <c r="T149" s="3409"/>
      <c r="U149" s="3409"/>
      <c r="AH149" s="3410"/>
      <c r="AI149" s="3411"/>
    </row>
    <row r="150" spans="5:35" s="3405" customFormat="1" x14ac:dyDescent="0.2">
      <c r="E150" s="3406"/>
      <c r="G150" s="3406"/>
      <c r="M150" s="3407"/>
      <c r="N150" s="3408"/>
      <c r="R150" s="3409"/>
      <c r="S150" s="3409"/>
      <c r="T150" s="3409"/>
      <c r="U150" s="3409"/>
      <c r="AH150" s="3410"/>
      <c r="AI150" s="3411"/>
    </row>
    <row r="151" spans="5:35" s="3405" customFormat="1" x14ac:dyDescent="0.2">
      <c r="E151" s="3406"/>
      <c r="G151" s="3406"/>
      <c r="M151" s="3407"/>
      <c r="N151" s="3408"/>
      <c r="R151" s="3409"/>
      <c r="S151" s="3409"/>
      <c r="T151" s="3409"/>
      <c r="U151" s="3409"/>
      <c r="AH151" s="3410"/>
      <c r="AI151" s="3411"/>
    </row>
    <row r="152" spans="5:35" s="3405" customFormat="1" x14ac:dyDescent="0.2">
      <c r="E152" s="3406"/>
      <c r="G152" s="3406"/>
      <c r="M152" s="3407"/>
      <c r="N152" s="3408"/>
      <c r="R152" s="3409"/>
      <c r="S152" s="3409"/>
      <c r="T152" s="3409"/>
      <c r="U152" s="3409"/>
      <c r="AH152" s="3410"/>
      <c r="AI152" s="3411"/>
    </row>
    <row r="153" spans="5:35" s="3405" customFormat="1" x14ac:dyDescent="0.2">
      <c r="E153" s="3406"/>
      <c r="G153" s="3406"/>
      <c r="M153" s="3407"/>
      <c r="N153" s="3408"/>
      <c r="R153" s="3409"/>
      <c r="S153" s="3409"/>
      <c r="T153" s="3409"/>
      <c r="U153" s="3409"/>
      <c r="AH153" s="3410"/>
      <c r="AI153" s="3411"/>
    </row>
    <row r="154" spans="5:35" s="3405" customFormat="1" x14ac:dyDescent="0.2">
      <c r="E154" s="3406"/>
      <c r="G154" s="3406"/>
      <c r="M154" s="3407"/>
      <c r="N154" s="3408"/>
      <c r="R154" s="3409"/>
      <c r="S154" s="3409"/>
      <c r="T154" s="3409"/>
      <c r="U154" s="3409"/>
      <c r="AH154" s="3410"/>
      <c r="AI154" s="3411"/>
    </row>
    <row r="155" spans="5:35" s="3405" customFormat="1" x14ac:dyDescent="0.2">
      <c r="E155" s="3406"/>
      <c r="G155" s="3406"/>
      <c r="M155" s="3407"/>
      <c r="N155" s="3408"/>
      <c r="R155" s="3409"/>
      <c r="S155" s="3409"/>
      <c r="T155" s="3409"/>
      <c r="U155" s="3409"/>
      <c r="AH155" s="3410"/>
      <c r="AI155" s="3411"/>
    </row>
    <row r="156" spans="5:35" s="3405" customFormat="1" x14ac:dyDescent="0.2">
      <c r="E156" s="3406"/>
      <c r="G156" s="3406"/>
      <c r="M156" s="3407"/>
      <c r="N156" s="3408"/>
      <c r="R156" s="3409"/>
      <c r="S156" s="3409"/>
      <c r="T156" s="3409"/>
      <c r="U156" s="3409"/>
      <c r="AH156" s="3410"/>
      <c r="AI156" s="3411"/>
    </row>
    <row r="157" spans="5:35" s="3405" customFormat="1" x14ac:dyDescent="0.2">
      <c r="E157" s="3406"/>
      <c r="G157" s="3406"/>
      <c r="M157" s="3407"/>
      <c r="N157" s="3408"/>
      <c r="R157" s="3409"/>
      <c r="S157" s="3409"/>
      <c r="T157" s="3409"/>
      <c r="U157" s="3409"/>
      <c r="AH157" s="3410"/>
      <c r="AI157" s="3411"/>
    </row>
    <row r="158" spans="5:35" s="3405" customFormat="1" x14ac:dyDescent="0.2">
      <c r="E158" s="3406"/>
      <c r="G158" s="3406"/>
      <c r="M158" s="3407"/>
      <c r="N158" s="3408"/>
      <c r="R158" s="3409"/>
      <c r="S158" s="3409"/>
      <c r="T158" s="3409"/>
      <c r="U158" s="3409"/>
      <c r="AH158" s="3410"/>
      <c r="AI158" s="3411"/>
    </row>
    <row r="159" spans="5:35" s="3405" customFormat="1" x14ac:dyDescent="0.2">
      <c r="E159" s="3406"/>
      <c r="G159" s="3406"/>
      <c r="M159" s="3407"/>
      <c r="N159" s="3408"/>
      <c r="R159" s="3409"/>
      <c r="S159" s="3409"/>
      <c r="T159" s="3409"/>
      <c r="U159" s="3409"/>
      <c r="AH159" s="3410"/>
      <c r="AI159" s="3411"/>
    </row>
    <row r="160" spans="5:35" s="3405" customFormat="1" x14ac:dyDescent="0.2">
      <c r="E160" s="3406"/>
      <c r="G160" s="3406"/>
      <c r="M160" s="3407"/>
      <c r="N160" s="3408"/>
      <c r="R160" s="3409"/>
      <c r="S160" s="3409"/>
      <c r="T160" s="3409"/>
      <c r="U160" s="3409"/>
      <c r="AH160" s="3410"/>
      <c r="AI160" s="3411"/>
    </row>
    <row r="161" spans="5:35" s="3405" customFormat="1" x14ac:dyDescent="0.2">
      <c r="E161" s="3406"/>
      <c r="G161" s="3406"/>
      <c r="M161" s="3407"/>
      <c r="N161" s="3408"/>
      <c r="R161" s="3409"/>
      <c r="S161" s="3409"/>
      <c r="T161" s="3409"/>
      <c r="U161" s="3409"/>
      <c r="AH161" s="3410"/>
      <c r="AI161" s="3411"/>
    </row>
    <row r="162" spans="5:35" s="3405" customFormat="1" x14ac:dyDescent="0.2">
      <c r="E162" s="3406"/>
      <c r="G162" s="3406"/>
      <c r="M162" s="3407"/>
      <c r="N162" s="3408"/>
      <c r="R162" s="3409"/>
      <c r="S162" s="3409"/>
      <c r="T162" s="3409"/>
      <c r="U162" s="3409"/>
      <c r="AH162" s="3410"/>
      <c r="AI162" s="3411"/>
    </row>
    <row r="163" spans="5:35" s="3405" customFormat="1" x14ac:dyDescent="0.2">
      <c r="E163" s="3406"/>
      <c r="G163" s="3406"/>
      <c r="M163" s="3407"/>
      <c r="N163" s="3408"/>
      <c r="R163" s="3409"/>
      <c r="S163" s="3409"/>
      <c r="T163" s="3409"/>
      <c r="U163" s="3409"/>
      <c r="AH163" s="3410"/>
      <c r="AI163" s="3411"/>
    </row>
    <row r="164" spans="5:35" s="3405" customFormat="1" x14ac:dyDescent="0.2">
      <c r="E164" s="3406"/>
      <c r="G164" s="3406"/>
      <c r="M164" s="3407"/>
      <c r="N164" s="3408"/>
      <c r="R164" s="3409"/>
      <c r="S164" s="3409"/>
      <c r="T164" s="3409"/>
      <c r="U164" s="3409"/>
      <c r="AH164" s="3410"/>
      <c r="AI164" s="3411"/>
    </row>
    <row r="165" spans="5:35" s="3405" customFormat="1" x14ac:dyDescent="0.2">
      <c r="E165" s="3406"/>
      <c r="G165" s="3406"/>
      <c r="M165" s="3407"/>
      <c r="N165" s="3408"/>
      <c r="R165" s="3409"/>
      <c r="S165" s="3409"/>
      <c r="T165" s="3409"/>
      <c r="U165" s="3409"/>
      <c r="AH165" s="3410"/>
      <c r="AI165" s="3411"/>
    </row>
    <row r="166" spans="5:35" s="3405" customFormat="1" x14ac:dyDescent="0.2">
      <c r="E166" s="3406"/>
      <c r="G166" s="3406"/>
      <c r="M166" s="3407"/>
      <c r="N166" s="3408"/>
      <c r="R166" s="3409"/>
      <c r="S166" s="3409"/>
      <c r="T166" s="3409"/>
      <c r="U166" s="3409"/>
      <c r="AH166" s="3410"/>
      <c r="AI166" s="3411"/>
    </row>
    <row r="167" spans="5:35" s="3405" customFormat="1" x14ac:dyDescent="0.2">
      <c r="E167" s="3406"/>
      <c r="G167" s="3406"/>
      <c r="M167" s="3407"/>
      <c r="N167" s="3408"/>
      <c r="R167" s="3409"/>
      <c r="S167" s="3409"/>
      <c r="T167" s="3409"/>
      <c r="U167" s="3409"/>
      <c r="AH167" s="3410"/>
      <c r="AI167" s="3411"/>
    </row>
    <row r="168" spans="5:35" s="3405" customFormat="1" x14ac:dyDescent="0.2">
      <c r="E168" s="3406"/>
      <c r="G168" s="3406"/>
      <c r="M168" s="3407"/>
      <c r="N168" s="3408"/>
      <c r="R168" s="3409"/>
      <c r="S168" s="3409"/>
      <c r="T168" s="3409"/>
      <c r="U168" s="3409"/>
      <c r="AH168" s="3410"/>
      <c r="AI168" s="3411"/>
    </row>
    <row r="169" spans="5:35" s="3405" customFormat="1" x14ac:dyDescent="0.2">
      <c r="E169" s="3406"/>
      <c r="G169" s="3406"/>
      <c r="M169" s="3407"/>
      <c r="N169" s="3408"/>
      <c r="R169" s="3409"/>
      <c r="S169" s="3409"/>
      <c r="T169" s="3409"/>
      <c r="U169" s="3409"/>
      <c r="AH169" s="3410"/>
      <c r="AI169" s="3411"/>
    </row>
    <row r="170" spans="5:35" s="3405" customFormat="1" x14ac:dyDescent="0.2">
      <c r="E170" s="3406"/>
      <c r="G170" s="3406"/>
      <c r="M170" s="3407"/>
      <c r="N170" s="3408"/>
      <c r="R170" s="3409"/>
      <c r="S170" s="3409"/>
      <c r="T170" s="3409"/>
      <c r="U170" s="3409"/>
      <c r="AH170" s="3410"/>
      <c r="AI170" s="3411"/>
    </row>
    <row r="171" spans="5:35" s="3405" customFormat="1" x14ac:dyDescent="0.2">
      <c r="E171" s="3406"/>
      <c r="G171" s="3406"/>
      <c r="M171" s="3407"/>
      <c r="N171" s="3408"/>
      <c r="R171" s="3409"/>
      <c r="S171" s="3409"/>
      <c r="T171" s="3409"/>
      <c r="U171" s="3409"/>
      <c r="AH171" s="3410"/>
      <c r="AI171" s="3411"/>
    </row>
    <row r="172" spans="5:35" s="3405" customFormat="1" x14ac:dyDescent="0.2">
      <c r="E172" s="3406"/>
      <c r="G172" s="3406"/>
      <c r="M172" s="3407"/>
      <c r="N172" s="3408"/>
      <c r="R172" s="3409"/>
      <c r="S172" s="3409"/>
      <c r="T172" s="3409"/>
      <c r="U172" s="3409"/>
      <c r="AH172" s="3410"/>
      <c r="AI172" s="3411"/>
    </row>
    <row r="173" spans="5:35" s="3405" customFormat="1" x14ac:dyDescent="0.2">
      <c r="E173" s="3406"/>
      <c r="G173" s="3406"/>
      <c r="M173" s="3407"/>
      <c r="N173" s="3408"/>
      <c r="R173" s="3409"/>
      <c r="S173" s="3409"/>
      <c r="T173" s="3409"/>
      <c r="U173" s="3409"/>
      <c r="AH173" s="3410"/>
      <c r="AI173" s="3411"/>
    </row>
    <row r="174" spans="5:35" s="3405" customFormat="1" x14ac:dyDescent="0.2">
      <c r="E174" s="3406"/>
      <c r="G174" s="3406"/>
      <c r="M174" s="3407"/>
      <c r="N174" s="3408"/>
      <c r="R174" s="3409"/>
      <c r="S174" s="3409"/>
      <c r="T174" s="3409"/>
      <c r="U174" s="3409"/>
      <c r="AH174" s="3410"/>
      <c r="AI174" s="3411"/>
    </row>
    <row r="175" spans="5:35" s="3405" customFormat="1" x14ac:dyDescent="0.2">
      <c r="E175" s="3406"/>
      <c r="G175" s="3406"/>
      <c r="M175" s="3407"/>
      <c r="N175" s="3408"/>
      <c r="R175" s="3409"/>
      <c r="S175" s="3409"/>
      <c r="T175" s="3409"/>
      <c r="U175" s="3409"/>
      <c r="AH175" s="3410"/>
      <c r="AI175" s="3411"/>
    </row>
    <row r="176" spans="5:35" s="3405" customFormat="1" x14ac:dyDescent="0.2">
      <c r="E176" s="3406"/>
      <c r="G176" s="3406"/>
      <c r="M176" s="3407"/>
      <c r="N176" s="3408"/>
      <c r="R176" s="3409"/>
      <c r="S176" s="3409"/>
      <c r="T176" s="3409"/>
      <c r="U176" s="3409"/>
      <c r="AH176" s="3410"/>
      <c r="AI176" s="3411"/>
    </row>
    <row r="177" spans="5:35" s="3405" customFormat="1" x14ac:dyDescent="0.2">
      <c r="E177" s="3406"/>
      <c r="G177" s="3406"/>
      <c r="M177" s="3407"/>
      <c r="N177" s="3408"/>
      <c r="R177" s="3409"/>
      <c r="S177" s="3409"/>
      <c r="T177" s="3409"/>
      <c r="U177" s="3409"/>
      <c r="AH177" s="3410"/>
      <c r="AI177" s="3411"/>
    </row>
    <row r="178" spans="5:35" s="3405" customFormat="1" x14ac:dyDescent="0.2">
      <c r="E178" s="3406"/>
      <c r="G178" s="3406"/>
      <c r="M178" s="3407"/>
      <c r="N178" s="3408"/>
      <c r="R178" s="3409"/>
      <c r="S178" s="3409"/>
      <c r="T178" s="3409"/>
      <c r="U178" s="3409"/>
      <c r="AH178" s="3410"/>
      <c r="AI178" s="3411"/>
    </row>
    <row r="179" spans="5:35" s="3405" customFormat="1" x14ac:dyDescent="0.2">
      <c r="E179" s="3406"/>
      <c r="G179" s="3406"/>
      <c r="M179" s="3407"/>
      <c r="N179" s="3408"/>
      <c r="R179" s="3409"/>
      <c r="S179" s="3409"/>
      <c r="T179" s="3409"/>
      <c r="U179" s="3409"/>
      <c r="AH179" s="3410"/>
      <c r="AI179" s="3411"/>
    </row>
    <row r="180" spans="5:35" s="3405" customFormat="1" x14ac:dyDescent="0.2">
      <c r="E180" s="3406"/>
      <c r="G180" s="3406"/>
      <c r="M180" s="3407"/>
      <c r="N180" s="3408"/>
      <c r="R180" s="3409"/>
      <c r="S180" s="3409"/>
      <c r="T180" s="3409"/>
      <c r="U180" s="3409"/>
      <c r="AH180" s="3410"/>
      <c r="AI180" s="3411"/>
    </row>
    <row r="181" spans="5:35" s="3405" customFormat="1" x14ac:dyDescent="0.2">
      <c r="E181" s="3406"/>
      <c r="G181" s="3406"/>
      <c r="M181" s="3407"/>
      <c r="N181" s="3408"/>
      <c r="R181" s="3409"/>
      <c r="S181" s="3409"/>
      <c r="T181" s="3409"/>
      <c r="U181" s="3409"/>
      <c r="AH181" s="3410"/>
      <c r="AI181" s="3411"/>
    </row>
    <row r="182" spans="5:35" s="3405" customFormat="1" x14ac:dyDescent="0.2">
      <c r="E182" s="3406"/>
      <c r="G182" s="3406"/>
      <c r="M182" s="3407"/>
      <c r="N182" s="3408"/>
      <c r="R182" s="3409"/>
      <c r="S182" s="3409"/>
      <c r="T182" s="3409"/>
      <c r="U182" s="3409"/>
      <c r="AH182" s="3410"/>
      <c r="AI182" s="3411"/>
    </row>
    <row r="183" spans="5:35" s="3405" customFormat="1" x14ac:dyDescent="0.2">
      <c r="E183" s="3406"/>
      <c r="G183" s="3406"/>
      <c r="M183" s="3407"/>
      <c r="N183" s="3408"/>
      <c r="R183" s="3409"/>
      <c r="S183" s="3409"/>
      <c r="T183" s="3409"/>
      <c r="U183" s="3409"/>
      <c r="AH183" s="3410"/>
      <c r="AI183" s="3411"/>
    </row>
    <row r="184" spans="5:35" s="3405" customFormat="1" x14ac:dyDescent="0.2">
      <c r="E184" s="3406"/>
      <c r="G184" s="3406"/>
      <c r="M184" s="3407"/>
      <c r="N184" s="3408"/>
      <c r="R184" s="3409"/>
      <c r="S184" s="3409"/>
      <c r="T184" s="3409"/>
      <c r="U184" s="3409"/>
      <c r="AH184" s="3410"/>
      <c r="AI184" s="3411"/>
    </row>
    <row r="185" spans="5:35" s="3405" customFormat="1" x14ac:dyDescent="0.2">
      <c r="E185" s="3406"/>
      <c r="G185" s="3406"/>
      <c r="M185" s="3407"/>
      <c r="N185" s="3408"/>
      <c r="R185" s="3409"/>
      <c r="S185" s="3409"/>
      <c r="T185" s="3409"/>
      <c r="U185" s="3409"/>
      <c r="AH185" s="3410"/>
      <c r="AI185" s="3411"/>
    </row>
    <row r="186" spans="5:35" s="3405" customFormat="1" x14ac:dyDescent="0.2">
      <c r="E186" s="3406"/>
      <c r="G186" s="3406"/>
      <c r="M186" s="3407"/>
      <c r="N186" s="3408"/>
      <c r="R186" s="3409"/>
      <c r="S186" s="3409"/>
      <c r="T186" s="3409"/>
      <c r="U186" s="3409"/>
      <c r="AH186" s="3410"/>
      <c r="AI186" s="3411"/>
    </row>
    <row r="187" spans="5:35" s="3405" customFormat="1" x14ac:dyDescent="0.2">
      <c r="E187" s="3406"/>
      <c r="G187" s="3406"/>
      <c r="M187" s="3407"/>
      <c r="N187" s="3408"/>
      <c r="R187" s="3409"/>
      <c r="S187" s="3409"/>
      <c r="T187" s="3409"/>
      <c r="U187" s="3409"/>
      <c r="AH187" s="3410"/>
      <c r="AI187" s="3411"/>
    </row>
    <row r="188" spans="5:35" s="3405" customFormat="1" x14ac:dyDescent="0.2">
      <c r="E188" s="3406"/>
      <c r="G188" s="3406"/>
      <c r="M188" s="3407"/>
      <c r="N188" s="3408"/>
      <c r="R188" s="3409"/>
      <c r="S188" s="3409"/>
      <c r="T188" s="3409"/>
      <c r="U188" s="3409"/>
      <c r="AH188" s="3410"/>
      <c r="AI188" s="3411"/>
    </row>
    <row r="189" spans="5:35" s="3405" customFormat="1" x14ac:dyDescent="0.2">
      <c r="E189" s="3406"/>
      <c r="G189" s="3406"/>
      <c r="M189" s="3407"/>
      <c r="N189" s="3408"/>
      <c r="R189" s="3409"/>
      <c r="S189" s="3409"/>
      <c r="T189" s="3409"/>
      <c r="U189" s="3409"/>
      <c r="AH189" s="3410"/>
      <c r="AI189" s="3411"/>
    </row>
    <row r="190" spans="5:35" s="3405" customFormat="1" x14ac:dyDescent="0.2">
      <c r="E190" s="3406"/>
      <c r="G190" s="3406"/>
      <c r="M190" s="3407"/>
      <c r="N190" s="3408"/>
      <c r="R190" s="3409"/>
      <c r="S190" s="3409"/>
      <c r="T190" s="3409"/>
      <c r="U190" s="3409"/>
      <c r="AH190" s="3410"/>
      <c r="AI190" s="3411"/>
    </row>
    <row r="191" spans="5:35" s="3405" customFormat="1" x14ac:dyDescent="0.2">
      <c r="E191" s="3406"/>
      <c r="G191" s="3406"/>
      <c r="M191" s="3407"/>
      <c r="N191" s="3408"/>
      <c r="R191" s="3409"/>
      <c r="S191" s="3409"/>
      <c r="T191" s="3409"/>
      <c r="U191" s="3409"/>
      <c r="AH191" s="3410"/>
      <c r="AI191" s="3411"/>
    </row>
    <row r="192" spans="5:35" s="3405" customFormat="1" x14ac:dyDescent="0.2">
      <c r="E192" s="3406"/>
      <c r="G192" s="3406"/>
      <c r="M192" s="3407"/>
      <c r="N192" s="3408"/>
      <c r="R192" s="3409"/>
      <c r="S192" s="3409"/>
      <c r="T192" s="3409"/>
      <c r="U192" s="3409"/>
      <c r="AH192" s="3410"/>
      <c r="AI192" s="3411"/>
    </row>
    <row r="193" spans="5:35" s="3405" customFormat="1" x14ac:dyDescent="0.2">
      <c r="E193" s="3406"/>
      <c r="G193" s="3406"/>
      <c r="M193" s="3407"/>
      <c r="N193" s="3408"/>
      <c r="R193" s="3409"/>
      <c r="S193" s="3409"/>
      <c r="T193" s="3409"/>
      <c r="U193" s="3409"/>
      <c r="AH193" s="3410"/>
      <c r="AI193" s="3411"/>
    </row>
    <row r="194" spans="5:35" s="3405" customFormat="1" x14ac:dyDescent="0.2">
      <c r="E194" s="3406"/>
      <c r="G194" s="3406"/>
      <c r="M194" s="3407"/>
      <c r="N194" s="3408"/>
      <c r="R194" s="3409"/>
      <c r="S194" s="3409"/>
      <c r="T194" s="3409"/>
      <c r="U194" s="3409"/>
      <c r="AH194" s="3410"/>
      <c r="AI194" s="3411"/>
    </row>
    <row r="195" spans="5:35" s="3405" customFormat="1" x14ac:dyDescent="0.2">
      <c r="E195" s="3406"/>
      <c r="G195" s="3406"/>
      <c r="M195" s="3407"/>
      <c r="N195" s="3408"/>
      <c r="R195" s="3409"/>
      <c r="S195" s="3409"/>
      <c r="T195" s="3409"/>
      <c r="U195" s="3409"/>
      <c r="AH195" s="3410"/>
      <c r="AI195" s="3411"/>
    </row>
    <row r="196" spans="5:35" s="3405" customFormat="1" x14ac:dyDescent="0.2">
      <c r="E196" s="3406"/>
      <c r="G196" s="3406"/>
      <c r="M196" s="3407"/>
      <c r="N196" s="3408"/>
      <c r="R196" s="3409"/>
      <c r="S196" s="3409"/>
      <c r="T196" s="3409"/>
      <c r="U196" s="3409"/>
      <c r="AH196" s="3410"/>
      <c r="AI196" s="3411"/>
    </row>
    <row r="197" spans="5:35" s="3405" customFormat="1" x14ac:dyDescent="0.2">
      <c r="E197" s="3406"/>
      <c r="G197" s="3406"/>
      <c r="M197" s="3407"/>
      <c r="N197" s="3408"/>
      <c r="R197" s="3409"/>
      <c r="S197" s="3409"/>
      <c r="T197" s="3409"/>
      <c r="U197" s="3409"/>
      <c r="AH197" s="3410"/>
      <c r="AI197" s="3411"/>
    </row>
    <row r="198" spans="5:35" s="3405" customFormat="1" x14ac:dyDescent="0.2">
      <c r="E198" s="3406"/>
      <c r="G198" s="3406"/>
      <c r="M198" s="3407"/>
      <c r="N198" s="3408"/>
      <c r="R198" s="3409"/>
      <c r="S198" s="3409"/>
      <c r="T198" s="3409"/>
      <c r="U198" s="3409"/>
      <c r="AH198" s="3410"/>
      <c r="AI198" s="3411"/>
    </row>
    <row r="199" spans="5:35" s="3405" customFormat="1" x14ac:dyDescent="0.2">
      <c r="E199" s="3406"/>
      <c r="G199" s="3406"/>
      <c r="M199" s="3407"/>
      <c r="N199" s="3408"/>
      <c r="R199" s="3409"/>
      <c r="S199" s="3409"/>
      <c r="T199" s="3409"/>
      <c r="U199" s="3409"/>
      <c r="AH199" s="3410"/>
      <c r="AI199" s="3411"/>
    </row>
    <row r="200" spans="5:35" s="3405" customFormat="1" x14ac:dyDescent="0.2">
      <c r="E200" s="3406"/>
      <c r="G200" s="3406"/>
      <c r="M200" s="3407"/>
      <c r="N200" s="3408"/>
      <c r="R200" s="3409"/>
      <c r="S200" s="3409"/>
      <c r="T200" s="3409"/>
      <c r="U200" s="3409"/>
      <c r="AH200" s="3410"/>
      <c r="AI200" s="3411"/>
    </row>
    <row r="201" spans="5:35" s="3405" customFormat="1" x14ac:dyDescent="0.2">
      <c r="E201" s="3406"/>
      <c r="G201" s="3406"/>
      <c r="M201" s="3407"/>
      <c r="N201" s="3408"/>
      <c r="R201" s="3409"/>
      <c r="S201" s="3409"/>
      <c r="T201" s="3409"/>
      <c r="U201" s="3409"/>
      <c r="AH201" s="3410"/>
      <c r="AI201" s="3411"/>
    </row>
    <row r="202" spans="5:35" s="3405" customFormat="1" x14ac:dyDescent="0.2">
      <c r="E202" s="3406"/>
      <c r="G202" s="3406"/>
      <c r="M202" s="3407"/>
      <c r="N202" s="3408"/>
      <c r="R202" s="3409"/>
      <c r="S202" s="3409"/>
      <c r="T202" s="3409"/>
      <c r="U202" s="3409"/>
      <c r="AH202" s="3410"/>
      <c r="AI202" s="3411"/>
    </row>
    <row r="203" spans="5:35" s="3405" customFormat="1" x14ac:dyDescent="0.2">
      <c r="E203" s="3406"/>
      <c r="G203" s="3406"/>
      <c r="M203" s="3407"/>
      <c r="N203" s="3408"/>
      <c r="R203" s="3409"/>
      <c r="S203" s="3409"/>
      <c r="T203" s="3409"/>
      <c r="U203" s="3409"/>
      <c r="AH203" s="3410"/>
      <c r="AI203" s="3411"/>
    </row>
    <row r="204" spans="5:35" s="3405" customFormat="1" x14ac:dyDescent="0.2">
      <c r="E204" s="3406"/>
      <c r="G204" s="3406"/>
      <c r="M204" s="3407"/>
      <c r="N204" s="3408"/>
      <c r="R204" s="3409"/>
      <c r="S204" s="3409"/>
      <c r="T204" s="3409"/>
      <c r="U204" s="3409"/>
      <c r="AH204" s="3410"/>
      <c r="AI204" s="3411"/>
    </row>
    <row r="205" spans="5:35" s="3405" customFormat="1" x14ac:dyDescent="0.2">
      <c r="E205" s="3406"/>
      <c r="G205" s="3406"/>
      <c r="M205" s="3407"/>
      <c r="N205" s="3408"/>
      <c r="R205" s="3409"/>
      <c r="S205" s="3409"/>
      <c r="T205" s="3409"/>
      <c r="U205" s="3409"/>
      <c r="AH205" s="3410"/>
      <c r="AI205" s="3411"/>
    </row>
    <row r="206" spans="5:35" s="3405" customFormat="1" x14ac:dyDescent="0.2">
      <c r="E206" s="3406"/>
      <c r="G206" s="3406"/>
      <c r="M206" s="3407"/>
      <c r="N206" s="3408"/>
      <c r="R206" s="3409"/>
      <c r="S206" s="3409"/>
      <c r="T206" s="3409"/>
      <c r="U206" s="3409"/>
      <c r="AH206" s="3410"/>
      <c r="AI206" s="3411"/>
    </row>
    <row r="207" spans="5:35" s="3405" customFormat="1" x14ac:dyDescent="0.2">
      <c r="E207" s="3406"/>
      <c r="G207" s="3406"/>
      <c r="M207" s="3407"/>
      <c r="N207" s="3408"/>
      <c r="R207" s="3409"/>
      <c r="S207" s="3409"/>
      <c r="T207" s="3409"/>
      <c r="U207" s="3409"/>
      <c r="AH207" s="3410"/>
      <c r="AI207" s="3411"/>
    </row>
    <row r="208" spans="5:35" s="3405" customFormat="1" x14ac:dyDescent="0.2">
      <c r="E208" s="3406"/>
      <c r="G208" s="3406"/>
      <c r="M208" s="3407"/>
      <c r="N208" s="3408"/>
      <c r="R208" s="3409"/>
      <c r="S208" s="3409"/>
      <c r="T208" s="3409"/>
      <c r="U208" s="3409"/>
      <c r="AH208" s="3410"/>
      <c r="AI208" s="3411"/>
    </row>
    <row r="209" spans="5:35" s="3405" customFormat="1" x14ac:dyDescent="0.2">
      <c r="E209" s="3406"/>
      <c r="G209" s="3406"/>
      <c r="M209" s="3407"/>
      <c r="N209" s="3408"/>
      <c r="R209" s="3409"/>
      <c r="S209" s="3409"/>
      <c r="T209" s="3409"/>
      <c r="U209" s="3409"/>
      <c r="AH209" s="3410"/>
      <c r="AI209" s="3411"/>
    </row>
    <row r="210" spans="5:35" s="3405" customFormat="1" x14ac:dyDescent="0.2">
      <c r="E210" s="3406"/>
      <c r="G210" s="3406"/>
      <c r="M210" s="3407"/>
      <c r="N210" s="3408"/>
      <c r="R210" s="3409"/>
      <c r="S210" s="3409"/>
      <c r="T210" s="3409"/>
      <c r="U210" s="3409"/>
      <c r="AH210" s="3410"/>
      <c r="AI210" s="3411"/>
    </row>
    <row r="211" spans="5:35" s="3405" customFormat="1" x14ac:dyDescent="0.2">
      <c r="E211" s="3406"/>
      <c r="G211" s="3406"/>
      <c r="M211" s="3407"/>
      <c r="N211" s="3408"/>
      <c r="R211" s="3409"/>
      <c r="S211" s="3409"/>
      <c r="T211" s="3409"/>
      <c r="U211" s="3409"/>
      <c r="AH211" s="3410"/>
      <c r="AI211" s="3411"/>
    </row>
    <row r="212" spans="5:35" s="3405" customFormat="1" x14ac:dyDescent="0.2">
      <c r="E212" s="3406"/>
      <c r="G212" s="3406"/>
      <c r="M212" s="3407"/>
      <c r="N212" s="3408"/>
      <c r="R212" s="3409"/>
      <c r="S212" s="3409"/>
      <c r="T212" s="3409"/>
      <c r="U212" s="3409"/>
      <c r="AH212" s="3410"/>
      <c r="AI212" s="3411"/>
    </row>
    <row r="213" spans="5:35" s="3405" customFormat="1" x14ac:dyDescent="0.2">
      <c r="E213" s="3406"/>
      <c r="G213" s="3406"/>
      <c r="M213" s="3407"/>
      <c r="N213" s="3408"/>
      <c r="R213" s="3409"/>
      <c r="S213" s="3409"/>
      <c r="T213" s="3409"/>
      <c r="U213" s="3409"/>
      <c r="AH213" s="3410"/>
      <c r="AI213" s="3411"/>
    </row>
    <row r="214" spans="5:35" s="3405" customFormat="1" x14ac:dyDescent="0.2">
      <c r="E214" s="3406"/>
      <c r="G214" s="3406"/>
      <c r="M214" s="3407"/>
      <c r="N214" s="3408"/>
      <c r="R214" s="3409"/>
      <c r="S214" s="3409"/>
      <c r="T214" s="3409"/>
      <c r="U214" s="3409"/>
      <c r="AH214" s="3410"/>
      <c r="AI214" s="3411"/>
    </row>
    <row r="215" spans="5:35" s="3405" customFormat="1" x14ac:dyDescent="0.2">
      <c r="E215" s="3406"/>
      <c r="G215" s="3406"/>
      <c r="M215" s="3407"/>
      <c r="N215" s="3408"/>
      <c r="R215" s="3409"/>
      <c r="S215" s="3409"/>
      <c r="T215" s="3409"/>
      <c r="U215" s="3409"/>
      <c r="AH215" s="3410"/>
      <c r="AI215" s="3411"/>
    </row>
    <row r="216" spans="5:35" s="3405" customFormat="1" x14ac:dyDescent="0.2">
      <c r="E216" s="3406"/>
      <c r="G216" s="3406"/>
      <c r="M216" s="3407"/>
      <c r="N216" s="3408"/>
      <c r="R216" s="3409"/>
      <c r="S216" s="3409"/>
      <c r="T216" s="3409"/>
      <c r="U216" s="3409"/>
      <c r="AH216" s="3410"/>
      <c r="AI216" s="3411"/>
    </row>
    <row r="217" spans="5:35" s="3405" customFormat="1" x14ac:dyDescent="0.2">
      <c r="E217" s="3406"/>
      <c r="G217" s="3406"/>
      <c r="M217" s="3407"/>
      <c r="N217" s="3408"/>
      <c r="R217" s="3409"/>
      <c r="S217" s="3409"/>
      <c r="T217" s="3409"/>
      <c r="U217" s="3409"/>
      <c r="AH217" s="3410"/>
      <c r="AI217" s="3411"/>
    </row>
    <row r="218" spans="5:35" s="3405" customFormat="1" x14ac:dyDescent="0.2">
      <c r="E218" s="3406"/>
      <c r="G218" s="3406"/>
      <c r="M218" s="3407"/>
      <c r="N218" s="3408"/>
      <c r="R218" s="3409"/>
      <c r="S218" s="3409"/>
      <c r="T218" s="3409"/>
      <c r="U218" s="3409"/>
      <c r="AH218" s="3410"/>
      <c r="AI218" s="3411"/>
    </row>
    <row r="219" spans="5:35" s="3405" customFormat="1" x14ac:dyDescent="0.2">
      <c r="E219" s="3406"/>
      <c r="G219" s="3406"/>
      <c r="M219" s="3407"/>
      <c r="N219" s="3408"/>
      <c r="R219" s="3409"/>
      <c r="S219" s="3409"/>
      <c r="T219" s="3409"/>
      <c r="U219" s="3409"/>
      <c r="AH219" s="3410"/>
      <c r="AI219" s="3411"/>
    </row>
    <row r="220" spans="5:35" s="3405" customFormat="1" x14ac:dyDescent="0.2">
      <c r="E220" s="3406"/>
      <c r="G220" s="3406"/>
      <c r="M220" s="3407"/>
      <c r="N220" s="3408"/>
      <c r="R220" s="3409"/>
      <c r="S220" s="3409"/>
      <c r="T220" s="3409"/>
      <c r="U220" s="3409"/>
      <c r="AH220" s="3410"/>
      <c r="AI220" s="3411"/>
    </row>
    <row r="221" spans="5:35" s="3405" customFormat="1" x14ac:dyDescent="0.2">
      <c r="E221" s="3406"/>
      <c r="G221" s="3406"/>
      <c r="M221" s="3407"/>
      <c r="N221" s="3408"/>
      <c r="R221" s="3409"/>
      <c r="S221" s="3409"/>
      <c r="T221" s="3409"/>
      <c r="U221" s="3409"/>
      <c r="AH221" s="3410"/>
      <c r="AI221" s="3411"/>
    </row>
    <row r="222" spans="5:35" s="3405" customFormat="1" x14ac:dyDescent="0.2">
      <c r="E222" s="3406"/>
      <c r="G222" s="3406"/>
      <c r="M222" s="3407"/>
      <c r="N222" s="3408"/>
      <c r="R222" s="3409"/>
      <c r="S222" s="3409"/>
      <c r="T222" s="3409"/>
      <c r="U222" s="3409"/>
      <c r="AH222" s="3410"/>
      <c r="AI222" s="3411"/>
    </row>
    <row r="223" spans="5:35" s="3405" customFormat="1" x14ac:dyDescent="0.2">
      <c r="E223" s="3406"/>
      <c r="G223" s="3406"/>
      <c r="M223" s="3407"/>
      <c r="N223" s="3408"/>
      <c r="R223" s="3409"/>
      <c r="S223" s="3409"/>
      <c r="T223" s="3409"/>
      <c r="U223" s="3409"/>
      <c r="AH223" s="3410"/>
      <c r="AI223" s="3411"/>
    </row>
    <row r="224" spans="5:35" s="3405" customFormat="1" x14ac:dyDescent="0.2">
      <c r="E224" s="3406"/>
      <c r="G224" s="3406"/>
      <c r="M224" s="3407"/>
      <c r="N224" s="3408"/>
      <c r="R224" s="3409"/>
      <c r="S224" s="3409"/>
      <c r="T224" s="3409"/>
      <c r="U224" s="3409"/>
      <c r="AH224" s="3410"/>
      <c r="AI224" s="3411"/>
    </row>
    <row r="225" spans="5:35" s="3405" customFormat="1" x14ac:dyDescent="0.2">
      <c r="E225" s="3406"/>
      <c r="G225" s="3406"/>
      <c r="M225" s="3407"/>
      <c r="N225" s="3408"/>
      <c r="R225" s="3409"/>
      <c r="S225" s="3409"/>
      <c r="T225" s="3409"/>
      <c r="U225" s="3409"/>
      <c r="AH225" s="3410"/>
      <c r="AI225" s="3411"/>
    </row>
    <row r="226" spans="5:35" s="3405" customFormat="1" x14ac:dyDescent="0.2">
      <c r="E226" s="3406"/>
      <c r="G226" s="3406"/>
      <c r="M226" s="3407"/>
      <c r="N226" s="3408"/>
      <c r="R226" s="3409"/>
      <c r="S226" s="3409"/>
      <c r="T226" s="3409"/>
      <c r="U226" s="3409"/>
      <c r="AH226" s="3410"/>
      <c r="AI226" s="3411"/>
    </row>
    <row r="227" spans="5:35" s="3405" customFormat="1" x14ac:dyDescent="0.2">
      <c r="E227" s="3406"/>
      <c r="G227" s="3406"/>
      <c r="M227" s="3407"/>
      <c r="N227" s="3408"/>
      <c r="R227" s="3409"/>
      <c r="S227" s="3409"/>
      <c r="T227" s="3409"/>
      <c r="U227" s="3409"/>
      <c r="AH227" s="3410"/>
      <c r="AI227" s="3411"/>
    </row>
    <row r="228" spans="5:35" s="3405" customFormat="1" x14ac:dyDescent="0.2">
      <c r="E228" s="3406"/>
      <c r="G228" s="3406"/>
      <c r="M228" s="3407"/>
      <c r="N228" s="3408"/>
      <c r="R228" s="3409"/>
      <c r="S228" s="3409"/>
      <c r="T228" s="3409"/>
      <c r="U228" s="3409"/>
      <c r="AH228" s="3410"/>
      <c r="AI228" s="3411"/>
    </row>
    <row r="229" spans="5:35" s="3405" customFormat="1" x14ac:dyDescent="0.2">
      <c r="E229" s="3406"/>
      <c r="G229" s="3406"/>
      <c r="M229" s="3407"/>
      <c r="N229" s="3408"/>
      <c r="R229" s="3409"/>
      <c r="S229" s="3409"/>
      <c r="T229" s="3409"/>
      <c r="U229" s="3409"/>
      <c r="AH229" s="3410"/>
      <c r="AI229" s="3411"/>
    </row>
    <row r="230" spans="5:35" s="3405" customFormat="1" x14ac:dyDescent="0.2">
      <c r="E230" s="3406"/>
      <c r="G230" s="3406"/>
      <c r="M230" s="3407"/>
      <c r="N230" s="3408"/>
      <c r="R230" s="3409"/>
      <c r="S230" s="3409"/>
      <c r="T230" s="3409"/>
      <c r="U230" s="3409"/>
      <c r="AH230" s="3410"/>
      <c r="AI230" s="3411"/>
    </row>
    <row r="231" spans="5:35" s="3405" customFormat="1" x14ac:dyDescent="0.2">
      <c r="E231" s="3406"/>
      <c r="G231" s="3406"/>
      <c r="M231" s="3407"/>
      <c r="N231" s="3408"/>
      <c r="R231" s="3409"/>
      <c r="S231" s="3409"/>
      <c r="T231" s="3409"/>
      <c r="U231" s="3409"/>
      <c r="AH231" s="3410"/>
      <c r="AI231" s="3411"/>
    </row>
    <row r="232" spans="5:35" s="3405" customFormat="1" x14ac:dyDescent="0.2">
      <c r="E232" s="3406"/>
      <c r="G232" s="3406"/>
      <c r="M232" s="3407"/>
      <c r="N232" s="3408"/>
      <c r="R232" s="3409"/>
      <c r="S232" s="3409"/>
      <c r="T232" s="3409"/>
      <c r="U232" s="3409"/>
      <c r="AH232" s="3410"/>
      <c r="AI232" s="3411"/>
    </row>
    <row r="233" spans="5:35" s="3405" customFormat="1" x14ac:dyDescent="0.2">
      <c r="E233" s="3406"/>
      <c r="G233" s="3406"/>
      <c r="M233" s="3407"/>
      <c r="N233" s="3408"/>
      <c r="R233" s="3409"/>
      <c r="S233" s="3409"/>
      <c r="T233" s="3409"/>
      <c r="U233" s="3409"/>
      <c r="AH233" s="3410"/>
      <c r="AI233" s="3411"/>
    </row>
    <row r="234" spans="5:35" s="3405" customFormat="1" x14ac:dyDescent="0.2">
      <c r="E234" s="3406"/>
      <c r="G234" s="3406"/>
      <c r="M234" s="3407"/>
      <c r="N234" s="3408"/>
      <c r="R234" s="3409"/>
      <c r="S234" s="3409"/>
      <c r="T234" s="3409"/>
      <c r="U234" s="3409"/>
      <c r="AH234" s="3410"/>
      <c r="AI234" s="3411"/>
    </row>
    <row r="235" spans="5:35" s="3405" customFormat="1" x14ac:dyDescent="0.2">
      <c r="E235" s="3406"/>
      <c r="G235" s="3406"/>
      <c r="M235" s="3407"/>
      <c r="N235" s="3408"/>
      <c r="R235" s="3409"/>
      <c r="S235" s="3409"/>
      <c r="T235" s="3409"/>
      <c r="U235" s="3409"/>
      <c r="AH235" s="3410"/>
      <c r="AI235" s="3411"/>
    </row>
    <row r="236" spans="5:35" s="3405" customFormat="1" x14ac:dyDescent="0.2">
      <c r="E236" s="3406"/>
      <c r="G236" s="3406"/>
      <c r="M236" s="3407"/>
      <c r="N236" s="3408"/>
      <c r="R236" s="3409"/>
      <c r="S236" s="3409"/>
      <c r="T236" s="3409"/>
      <c r="U236" s="3409"/>
      <c r="AH236" s="3410"/>
      <c r="AI236" s="3411"/>
    </row>
    <row r="237" spans="5:35" s="3405" customFormat="1" x14ac:dyDescent="0.2">
      <c r="E237" s="3406"/>
      <c r="G237" s="3406"/>
      <c r="M237" s="3407"/>
      <c r="N237" s="3408"/>
      <c r="R237" s="3409"/>
      <c r="S237" s="3409"/>
      <c r="T237" s="3409"/>
      <c r="U237" s="3409"/>
      <c r="AH237" s="3410"/>
      <c r="AI237" s="3411"/>
    </row>
    <row r="238" spans="5:35" s="3405" customFormat="1" x14ac:dyDescent="0.2">
      <c r="E238" s="3406"/>
      <c r="G238" s="3406"/>
      <c r="M238" s="3407"/>
      <c r="N238" s="3408"/>
      <c r="R238" s="3409"/>
      <c r="S238" s="3409"/>
      <c r="T238" s="3409"/>
      <c r="U238" s="3409"/>
      <c r="AH238" s="3410"/>
      <c r="AI238" s="3411"/>
    </row>
    <row r="239" spans="5:35" s="3405" customFormat="1" x14ac:dyDescent="0.2">
      <c r="E239" s="3406"/>
      <c r="G239" s="3406"/>
      <c r="M239" s="3407"/>
      <c r="N239" s="3408"/>
      <c r="R239" s="3409"/>
      <c r="S239" s="3409"/>
      <c r="T239" s="3409"/>
      <c r="U239" s="3409"/>
      <c r="AH239" s="3410"/>
      <c r="AI239" s="3411"/>
    </row>
    <row r="240" spans="5:35" s="3405" customFormat="1" x14ac:dyDescent="0.2">
      <c r="E240" s="3406"/>
      <c r="G240" s="3406"/>
      <c r="M240" s="3407"/>
      <c r="N240" s="3408"/>
      <c r="R240" s="3409"/>
      <c r="S240" s="3409"/>
      <c r="T240" s="3409"/>
      <c r="U240" s="3409"/>
      <c r="AH240" s="3410"/>
      <c r="AI240" s="3411"/>
    </row>
    <row r="241" spans="5:35" s="3405" customFormat="1" x14ac:dyDescent="0.2">
      <c r="E241" s="3406"/>
      <c r="G241" s="3406"/>
      <c r="M241" s="3407"/>
      <c r="N241" s="3408"/>
      <c r="R241" s="3409"/>
      <c r="S241" s="3409"/>
      <c r="T241" s="3409"/>
      <c r="U241" s="3409"/>
      <c r="AH241" s="3410"/>
      <c r="AI241" s="3411"/>
    </row>
    <row r="242" spans="5:35" s="3405" customFormat="1" x14ac:dyDescent="0.2">
      <c r="E242" s="3406"/>
      <c r="G242" s="3406"/>
      <c r="M242" s="3407"/>
      <c r="N242" s="3408"/>
      <c r="R242" s="3409"/>
      <c r="S242" s="3409"/>
      <c r="T242" s="3409"/>
      <c r="U242" s="3409"/>
      <c r="AH242" s="3410"/>
      <c r="AI242" s="3411"/>
    </row>
    <row r="243" spans="5:35" s="3405" customFormat="1" x14ac:dyDescent="0.2">
      <c r="E243" s="3406"/>
      <c r="G243" s="3406"/>
      <c r="M243" s="3407"/>
      <c r="N243" s="3408"/>
      <c r="R243" s="3409"/>
      <c r="S243" s="3409"/>
      <c r="T243" s="3409"/>
      <c r="U243" s="3409"/>
      <c r="AH243" s="3410"/>
      <c r="AI243" s="3411"/>
    </row>
    <row r="244" spans="5:35" s="3405" customFormat="1" x14ac:dyDescent="0.2">
      <c r="E244" s="3406"/>
      <c r="G244" s="3406"/>
      <c r="M244" s="3407"/>
      <c r="N244" s="3408"/>
      <c r="R244" s="3409"/>
      <c r="S244" s="3409"/>
      <c r="T244" s="3409"/>
      <c r="U244" s="3409"/>
      <c r="AH244" s="3410"/>
      <c r="AI244" s="3411"/>
    </row>
    <row r="245" spans="5:35" s="3405" customFormat="1" x14ac:dyDescent="0.2">
      <c r="E245" s="3406"/>
      <c r="G245" s="3406"/>
      <c r="M245" s="3407"/>
      <c r="N245" s="3408"/>
      <c r="R245" s="3409"/>
      <c r="S245" s="3409"/>
      <c r="T245" s="3409"/>
      <c r="U245" s="3409"/>
      <c r="AH245" s="3410"/>
      <c r="AI245" s="3411"/>
    </row>
    <row r="246" spans="5:35" s="3405" customFormat="1" x14ac:dyDescent="0.2">
      <c r="E246" s="3406"/>
      <c r="G246" s="3406"/>
      <c r="M246" s="3407"/>
      <c r="N246" s="3408"/>
      <c r="R246" s="3409"/>
      <c r="S246" s="3409"/>
      <c r="T246" s="3409"/>
      <c r="U246" s="3409"/>
      <c r="AH246" s="3410"/>
      <c r="AI246" s="3411"/>
    </row>
    <row r="247" spans="5:35" s="3405" customFormat="1" x14ac:dyDescent="0.2">
      <c r="E247" s="3406"/>
      <c r="G247" s="3406"/>
      <c r="M247" s="3407"/>
      <c r="N247" s="3408"/>
      <c r="R247" s="3409"/>
      <c r="S247" s="3409"/>
      <c r="T247" s="3409"/>
      <c r="U247" s="3409"/>
      <c r="AH247" s="3410"/>
      <c r="AI247" s="3411"/>
    </row>
    <row r="248" spans="5:35" s="3405" customFormat="1" x14ac:dyDescent="0.2">
      <c r="E248" s="3406"/>
      <c r="G248" s="3406"/>
      <c r="M248" s="3407"/>
      <c r="N248" s="3408"/>
      <c r="R248" s="3409"/>
      <c r="S248" s="3409"/>
      <c r="T248" s="3409"/>
      <c r="U248" s="3409"/>
      <c r="AH248" s="3410"/>
      <c r="AI248" s="3411"/>
    </row>
    <row r="249" spans="5:35" s="3405" customFormat="1" x14ac:dyDescent="0.2">
      <c r="E249" s="3406"/>
      <c r="G249" s="3406"/>
      <c r="M249" s="3407"/>
      <c r="N249" s="3408"/>
      <c r="R249" s="3409"/>
      <c r="S249" s="3409"/>
      <c r="T249" s="3409"/>
      <c r="U249" s="3409"/>
      <c r="AH249" s="3410"/>
      <c r="AI249" s="3411"/>
    </row>
    <row r="250" spans="5:35" s="3405" customFormat="1" x14ac:dyDescent="0.2">
      <c r="E250" s="3406"/>
      <c r="G250" s="3406"/>
      <c r="M250" s="3407"/>
      <c r="N250" s="3408"/>
      <c r="R250" s="3409"/>
      <c r="S250" s="3409"/>
      <c r="T250" s="3409"/>
      <c r="U250" s="3409"/>
      <c r="AH250" s="3410"/>
      <c r="AI250" s="3411"/>
    </row>
    <row r="251" spans="5:35" s="3405" customFormat="1" x14ac:dyDescent="0.2">
      <c r="E251" s="3406"/>
      <c r="G251" s="3406"/>
      <c r="M251" s="3407"/>
      <c r="N251" s="3408"/>
      <c r="R251" s="3409"/>
      <c r="S251" s="3409"/>
      <c r="T251" s="3409"/>
      <c r="U251" s="3409"/>
      <c r="AH251" s="3410"/>
      <c r="AI251" s="3411"/>
    </row>
    <row r="252" spans="5:35" s="3405" customFormat="1" x14ac:dyDescent="0.2">
      <c r="E252" s="3406"/>
      <c r="G252" s="3406"/>
      <c r="M252" s="3407"/>
      <c r="N252" s="3408"/>
      <c r="R252" s="3409"/>
      <c r="S252" s="3409"/>
      <c r="T252" s="3409"/>
      <c r="U252" s="3409"/>
      <c r="AH252" s="3410"/>
      <c r="AI252" s="3411"/>
    </row>
    <row r="253" spans="5:35" s="3405" customFormat="1" x14ac:dyDescent="0.2">
      <c r="E253" s="3406"/>
      <c r="G253" s="3406"/>
      <c r="M253" s="3407"/>
      <c r="N253" s="3408"/>
      <c r="R253" s="3409"/>
      <c r="S253" s="3409"/>
      <c r="T253" s="3409"/>
      <c r="U253" s="3409"/>
      <c r="AH253" s="3410"/>
      <c r="AI253" s="3411"/>
    </row>
    <row r="254" spans="5:35" s="3405" customFormat="1" x14ac:dyDescent="0.2">
      <c r="E254" s="3406"/>
      <c r="G254" s="3406"/>
      <c r="M254" s="3407"/>
      <c r="N254" s="3408"/>
      <c r="R254" s="3409"/>
      <c r="S254" s="3409"/>
      <c r="T254" s="3409"/>
      <c r="U254" s="3409"/>
      <c r="AH254" s="3410"/>
      <c r="AI254" s="3411"/>
    </row>
    <row r="255" spans="5:35" s="3405" customFormat="1" x14ac:dyDescent="0.2">
      <c r="E255" s="3406"/>
      <c r="G255" s="3406"/>
      <c r="M255" s="3407"/>
      <c r="N255" s="3408"/>
      <c r="R255" s="3409"/>
      <c r="S255" s="3409"/>
      <c r="T255" s="3409"/>
      <c r="U255" s="3409"/>
      <c r="AH255" s="3410"/>
      <c r="AI255" s="3411"/>
    </row>
    <row r="256" spans="5:35" s="3405" customFormat="1" x14ac:dyDescent="0.2">
      <c r="E256" s="3406"/>
      <c r="G256" s="3406"/>
      <c r="M256" s="3407"/>
      <c r="N256" s="3408"/>
      <c r="R256" s="3409"/>
      <c r="S256" s="3409"/>
      <c r="T256" s="3409"/>
      <c r="U256" s="3409"/>
      <c r="AH256" s="3410"/>
      <c r="AI256" s="3411"/>
    </row>
    <row r="257" spans="5:35" s="3405" customFormat="1" x14ac:dyDescent="0.2">
      <c r="E257" s="3406"/>
      <c r="G257" s="3406"/>
      <c r="M257" s="3407"/>
      <c r="N257" s="3408"/>
      <c r="R257" s="3409"/>
      <c r="S257" s="3409"/>
      <c r="T257" s="3409"/>
      <c r="U257" s="3409"/>
      <c r="AH257" s="3410"/>
      <c r="AI257" s="3411"/>
    </row>
    <row r="258" spans="5:35" s="3405" customFormat="1" x14ac:dyDescent="0.2">
      <c r="E258" s="3406"/>
      <c r="G258" s="3406"/>
      <c r="M258" s="3407"/>
      <c r="N258" s="3408"/>
      <c r="R258" s="3409"/>
      <c r="S258" s="3409"/>
      <c r="T258" s="3409"/>
      <c r="U258" s="3409"/>
      <c r="AH258" s="3410"/>
      <c r="AI258" s="3411"/>
    </row>
    <row r="259" spans="5:35" s="3405" customFormat="1" x14ac:dyDescent="0.2">
      <c r="E259" s="3406"/>
      <c r="G259" s="3406"/>
      <c r="M259" s="3407"/>
      <c r="N259" s="3408"/>
      <c r="R259" s="3409"/>
      <c r="S259" s="3409"/>
      <c r="T259" s="3409"/>
      <c r="U259" s="3409"/>
      <c r="AH259" s="3410"/>
      <c r="AI259" s="3411"/>
    </row>
    <row r="260" spans="5:35" s="3405" customFormat="1" x14ac:dyDescent="0.2">
      <c r="E260" s="3406"/>
      <c r="G260" s="3406"/>
      <c r="M260" s="3407"/>
      <c r="N260" s="3408"/>
      <c r="R260" s="3409"/>
      <c r="S260" s="3409"/>
      <c r="T260" s="3409"/>
      <c r="U260" s="3409"/>
      <c r="AH260" s="3410"/>
      <c r="AI260" s="3411"/>
    </row>
    <row r="261" spans="5:35" s="3405" customFormat="1" x14ac:dyDescent="0.2">
      <c r="E261" s="3406"/>
      <c r="G261" s="3406"/>
      <c r="M261" s="3407"/>
      <c r="N261" s="3408"/>
      <c r="R261" s="3409"/>
      <c r="S261" s="3409"/>
      <c r="T261" s="3409"/>
      <c r="U261" s="3409"/>
      <c r="AH261" s="3410"/>
      <c r="AI261" s="3411"/>
    </row>
    <row r="262" spans="5:35" s="3405" customFormat="1" x14ac:dyDescent="0.2">
      <c r="E262" s="3406"/>
      <c r="G262" s="3406"/>
      <c r="M262" s="3407"/>
      <c r="N262" s="3408"/>
      <c r="R262" s="3409"/>
      <c r="S262" s="3409"/>
      <c r="T262" s="3409"/>
      <c r="U262" s="3409"/>
      <c r="AH262" s="3410"/>
      <c r="AI262" s="3411"/>
    </row>
    <row r="263" spans="5:35" s="3405" customFormat="1" x14ac:dyDescent="0.2">
      <c r="E263" s="3406"/>
      <c r="G263" s="3406"/>
      <c r="M263" s="3407"/>
      <c r="N263" s="3408"/>
      <c r="R263" s="3409"/>
      <c r="S263" s="3409"/>
      <c r="T263" s="3409"/>
      <c r="U263" s="3409"/>
      <c r="AH263" s="3410"/>
      <c r="AI263" s="3411"/>
    </row>
    <row r="264" spans="5:35" s="3405" customFormat="1" x14ac:dyDescent="0.2">
      <c r="E264" s="3406"/>
      <c r="G264" s="3406"/>
      <c r="M264" s="3407"/>
      <c r="N264" s="3408"/>
      <c r="R264" s="3409"/>
      <c r="S264" s="3409"/>
      <c r="T264" s="3409"/>
      <c r="U264" s="3409"/>
      <c r="AH264" s="3410"/>
      <c r="AI264" s="3411"/>
    </row>
    <row r="265" spans="5:35" s="3405" customFormat="1" x14ac:dyDescent="0.2">
      <c r="E265" s="3406"/>
      <c r="G265" s="3406"/>
      <c r="M265" s="3407"/>
      <c r="N265" s="3408"/>
      <c r="R265" s="3409"/>
      <c r="S265" s="3409"/>
      <c r="T265" s="3409"/>
      <c r="U265" s="3409"/>
      <c r="AH265" s="3410"/>
      <c r="AI265" s="3411"/>
    </row>
    <row r="266" spans="5:35" s="3405" customFormat="1" x14ac:dyDescent="0.2">
      <c r="E266" s="3406"/>
      <c r="G266" s="3406"/>
      <c r="M266" s="3407"/>
      <c r="N266" s="3408"/>
      <c r="R266" s="3409"/>
      <c r="S266" s="3409"/>
      <c r="T266" s="3409"/>
      <c r="U266" s="3409"/>
      <c r="AH266" s="3410"/>
      <c r="AI266" s="3411"/>
    </row>
    <row r="267" spans="5:35" s="3405" customFormat="1" x14ac:dyDescent="0.2">
      <c r="E267" s="3406"/>
      <c r="G267" s="3406"/>
      <c r="M267" s="3407"/>
      <c r="N267" s="3408"/>
      <c r="R267" s="3409"/>
      <c r="S267" s="3409"/>
      <c r="T267" s="3409"/>
      <c r="U267" s="3409"/>
      <c r="AH267" s="3410"/>
      <c r="AI267" s="3411"/>
    </row>
    <row r="268" spans="5:35" s="3405" customFormat="1" x14ac:dyDescent="0.2">
      <c r="E268" s="3406"/>
      <c r="G268" s="3406"/>
      <c r="M268" s="3407"/>
      <c r="N268" s="3408"/>
      <c r="R268" s="3409"/>
      <c r="S268" s="3409"/>
      <c r="T268" s="3409"/>
      <c r="U268" s="3409"/>
      <c r="AH268" s="3410"/>
      <c r="AI268" s="3411"/>
    </row>
    <row r="269" spans="5:35" s="3405" customFormat="1" x14ac:dyDescent="0.2">
      <c r="E269" s="3406"/>
      <c r="G269" s="3406"/>
      <c r="M269" s="3407"/>
      <c r="N269" s="3408"/>
      <c r="R269" s="3409"/>
      <c r="S269" s="3409"/>
      <c r="T269" s="3409"/>
      <c r="U269" s="3409"/>
      <c r="AH269" s="3410"/>
      <c r="AI269" s="3411"/>
    </row>
    <row r="270" spans="5:35" s="3405" customFormat="1" x14ac:dyDescent="0.2">
      <c r="E270" s="3406"/>
      <c r="G270" s="3406"/>
      <c r="M270" s="3407"/>
      <c r="N270" s="3408"/>
      <c r="R270" s="3409"/>
      <c r="S270" s="3409"/>
      <c r="T270" s="3409"/>
      <c r="U270" s="3409"/>
      <c r="AH270" s="3410"/>
      <c r="AI270" s="3411"/>
    </row>
    <row r="271" spans="5:35" s="3405" customFormat="1" x14ac:dyDescent="0.2">
      <c r="E271" s="3406"/>
      <c r="G271" s="3406"/>
      <c r="M271" s="3407"/>
      <c r="N271" s="3408"/>
      <c r="R271" s="3409"/>
      <c r="S271" s="3409"/>
      <c r="T271" s="3409"/>
      <c r="U271" s="3409"/>
      <c r="AH271" s="3410"/>
      <c r="AI271" s="3411"/>
    </row>
    <row r="272" spans="5:35" s="3405" customFormat="1" x14ac:dyDescent="0.2">
      <c r="E272" s="3406"/>
      <c r="G272" s="3406"/>
      <c r="M272" s="3407"/>
      <c r="N272" s="3408"/>
      <c r="R272" s="3409"/>
      <c r="S272" s="3409"/>
      <c r="T272" s="3409"/>
      <c r="U272" s="3409"/>
      <c r="AH272" s="3410"/>
      <c r="AI272" s="3411"/>
    </row>
    <row r="273" spans="5:35" s="3405" customFormat="1" x14ac:dyDescent="0.2">
      <c r="E273" s="3406"/>
      <c r="G273" s="3406"/>
      <c r="M273" s="3407"/>
      <c r="N273" s="3408"/>
      <c r="R273" s="3409"/>
      <c r="S273" s="3409"/>
      <c r="T273" s="3409"/>
      <c r="U273" s="3409"/>
      <c r="AH273" s="3410"/>
      <c r="AI273" s="3411"/>
    </row>
    <row r="274" spans="5:35" s="3405" customFormat="1" x14ac:dyDescent="0.2">
      <c r="E274" s="3406"/>
      <c r="G274" s="3406"/>
      <c r="M274" s="3407"/>
      <c r="N274" s="3408"/>
      <c r="R274" s="3409"/>
      <c r="S274" s="3409"/>
      <c r="T274" s="3409"/>
      <c r="U274" s="3409"/>
      <c r="AH274" s="3410"/>
      <c r="AI274" s="3411"/>
    </row>
    <row r="275" spans="5:35" s="3405" customFormat="1" x14ac:dyDescent="0.2">
      <c r="E275" s="3406"/>
      <c r="G275" s="3406"/>
      <c r="M275" s="3407"/>
      <c r="N275" s="3408"/>
      <c r="R275" s="3409"/>
      <c r="S275" s="3409"/>
      <c r="T275" s="3409"/>
      <c r="U275" s="3409"/>
      <c r="AH275" s="3410"/>
      <c r="AI275" s="3411"/>
    </row>
    <row r="276" spans="5:35" s="3405" customFormat="1" x14ac:dyDescent="0.2">
      <c r="E276" s="3406"/>
      <c r="G276" s="3406"/>
      <c r="M276" s="3407"/>
      <c r="N276" s="3408"/>
      <c r="R276" s="3409"/>
      <c r="S276" s="3409"/>
      <c r="T276" s="3409"/>
      <c r="U276" s="3409"/>
      <c r="AH276" s="3410"/>
      <c r="AI276" s="3411"/>
    </row>
    <row r="277" spans="5:35" s="3405" customFormat="1" x14ac:dyDescent="0.2">
      <c r="E277" s="3406"/>
      <c r="G277" s="3406"/>
      <c r="M277" s="3407"/>
      <c r="N277" s="3408"/>
      <c r="R277" s="3409"/>
      <c r="S277" s="3409"/>
      <c r="T277" s="3409"/>
      <c r="U277" s="3409"/>
      <c r="AH277" s="3410"/>
      <c r="AI277" s="3411"/>
    </row>
    <row r="278" spans="5:35" s="3405" customFormat="1" x14ac:dyDescent="0.2">
      <c r="E278" s="3406"/>
      <c r="G278" s="3406"/>
      <c r="M278" s="3407"/>
      <c r="N278" s="3408"/>
      <c r="R278" s="3409"/>
      <c r="S278" s="3409"/>
      <c r="T278" s="3409"/>
      <c r="U278" s="3409"/>
      <c r="AH278" s="3410"/>
      <c r="AI278" s="3411"/>
    </row>
    <row r="279" spans="5:35" s="3405" customFormat="1" x14ac:dyDescent="0.2">
      <c r="E279" s="3406"/>
      <c r="G279" s="3406"/>
      <c r="M279" s="3407"/>
      <c r="N279" s="3408"/>
      <c r="R279" s="3409"/>
      <c r="S279" s="3409"/>
      <c r="T279" s="3409"/>
      <c r="U279" s="3409"/>
      <c r="AH279" s="3410"/>
      <c r="AI279" s="3411"/>
    </row>
    <row r="280" spans="5:35" s="3405" customFormat="1" x14ac:dyDescent="0.2">
      <c r="E280" s="3406"/>
      <c r="G280" s="3406"/>
      <c r="M280" s="3407"/>
      <c r="N280" s="3408"/>
      <c r="R280" s="3409"/>
      <c r="S280" s="3409"/>
      <c r="T280" s="3409"/>
      <c r="U280" s="3409"/>
      <c r="AH280" s="3410"/>
      <c r="AI280" s="3411"/>
    </row>
    <row r="281" spans="5:35" s="3405" customFormat="1" x14ac:dyDescent="0.2">
      <c r="E281" s="3406"/>
      <c r="G281" s="3406"/>
      <c r="M281" s="3407"/>
      <c r="N281" s="3408"/>
      <c r="R281" s="3409"/>
      <c r="S281" s="3409"/>
      <c r="T281" s="3409"/>
      <c r="U281" s="3409"/>
      <c r="AH281" s="3410"/>
      <c r="AI281" s="3411"/>
    </row>
    <row r="282" spans="5:35" s="3405" customFormat="1" x14ac:dyDescent="0.2">
      <c r="E282" s="3406"/>
      <c r="G282" s="3406"/>
      <c r="M282" s="3407"/>
      <c r="N282" s="3408"/>
      <c r="R282" s="3409"/>
      <c r="S282" s="3409"/>
      <c r="T282" s="3409"/>
      <c r="U282" s="3409"/>
      <c r="AH282" s="3410"/>
      <c r="AI282" s="3411"/>
    </row>
    <row r="283" spans="5:35" s="3405" customFormat="1" x14ac:dyDescent="0.2">
      <c r="E283" s="3406"/>
      <c r="G283" s="3406"/>
      <c r="M283" s="3407"/>
      <c r="N283" s="3408"/>
      <c r="R283" s="3409"/>
      <c r="S283" s="3409"/>
      <c r="T283" s="3409"/>
      <c r="U283" s="3409"/>
      <c r="AH283" s="3410"/>
      <c r="AI283" s="3411"/>
    </row>
    <row r="284" spans="5:35" s="3405" customFormat="1" x14ac:dyDescent="0.2">
      <c r="E284" s="3406"/>
      <c r="G284" s="3406"/>
      <c r="M284" s="3407"/>
      <c r="N284" s="3408"/>
      <c r="R284" s="3409"/>
      <c r="S284" s="3409"/>
      <c r="T284" s="3409"/>
      <c r="U284" s="3409"/>
      <c r="AH284" s="3410"/>
      <c r="AI284" s="3411"/>
    </row>
    <row r="285" spans="5:35" s="3405" customFormat="1" x14ac:dyDescent="0.2">
      <c r="E285" s="3406"/>
      <c r="G285" s="3406"/>
      <c r="M285" s="3407"/>
      <c r="N285" s="3408"/>
      <c r="R285" s="3409"/>
      <c r="S285" s="3409"/>
      <c r="T285" s="3409"/>
      <c r="U285" s="3409"/>
      <c r="AH285" s="3410"/>
      <c r="AI285" s="3411"/>
    </row>
    <row r="286" spans="5:35" s="3405" customFormat="1" x14ac:dyDescent="0.2">
      <c r="E286" s="3406"/>
      <c r="G286" s="3406"/>
      <c r="M286" s="3407"/>
      <c r="N286" s="3408"/>
      <c r="R286" s="3409"/>
      <c r="S286" s="3409"/>
      <c r="T286" s="3409"/>
      <c r="U286" s="3409"/>
      <c r="AH286" s="3410"/>
      <c r="AI286" s="3411"/>
    </row>
    <row r="287" spans="5:35" s="3405" customFormat="1" x14ac:dyDescent="0.2">
      <c r="E287" s="3406"/>
      <c r="G287" s="3406"/>
      <c r="M287" s="3407"/>
      <c r="N287" s="3408"/>
      <c r="R287" s="3409"/>
      <c r="S287" s="3409"/>
      <c r="T287" s="3409"/>
      <c r="U287" s="3409"/>
      <c r="AH287" s="3410"/>
      <c r="AI287" s="3411"/>
    </row>
    <row r="288" spans="5:35" s="3405" customFormat="1" x14ac:dyDescent="0.2">
      <c r="E288" s="3406"/>
      <c r="G288" s="3406"/>
      <c r="M288" s="3407"/>
      <c r="N288" s="3408"/>
      <c r="R288" s="3409"/>
      <c r="S288" s="3409"/>
      <c r="T288" s="3409"/>
      <c r="U288" s="3409"/>
      <c r="AH288" s="3410"/>
      <c r="AI288" s="3411"/>
    </row>
    <row r="289" spans="5:35" s="3405" customFormat="1" x14ac:dyDescent="0.2">
      <c r="E289" s="3406"/>
      <c r="G289" s="3406"/>
      <c r="M289" s="3407"/>
      <c r="N289" s="3408"/>
      <c r="R289" s="3409"/>
      <c r="S289" s="3409"/>
      <c r="T289" s="3409"/>
      <c r="U289" s="3409"/>
      <c r="AH289" s="3410"/>
      <c r="AI289" s="3411"/>
    </row>
    <row r="290" spans="5:35" s="3405" customFormat="1" x14ac:dyDescent="0.2">
      <c r="E290" s="3406"/>
      <c r="G290" s="3406"/>
      <c r="M290" s="3407"/>
      <c r="N290" s="3408"/>
      <c r="R290" s="3409"/>
      <c r="S290" s="3409"/>
      <c r="T290" s="3409"/>
      <c r="U290" s="3409"/>
      <c r="AH290" s="3410"/>
      <c r="AI290" s="3411"/>
    </row>
    <row r="291" spans="5:35" s="3405" customFormat="1" x14ac:dyDescent="0.2">
      <c r="E291" s="3406"/>
      <c r="G291" s="3406"/>
      <c r="M291" s="3407"/>
      <c r="N291" s="3408"/>
      <c r="R291" s="3409"/>
      <c r="S291" s="3409"/>
      <c r="T291" s="3409"/>
      <c r="U291" s="3409"/>
      <c r="AH291" s="3410"/>
      <c r="AI291" s="3411"/>
    </row>
    <row r="292" spans="5:35" s="3405" customFormat="1" x14ac:dyDescent="0.2">
      <c r="E292" s="3406"/>
      <c r="G292" s="3406"/>
      <c r="M292" s="3407"/>
      <c r="N292" s="3408"/>
      <c r="R292" s="3409"/>
      <c r="S292" s="3409"/>
      <c r="T292" s="3409"/>
      <c r="U292" s="3409"/>
      <c r="AH292" s="3410"/>
      <c r="AI292" s="3411"/>
    </row>
    <row r="293" spans="5:35" s="3405" customFormat="1" x14ac:dyDescent="0.2">
      <c r="E293" s="3406"/>
      <c r="G293" s="3406"/>
      <c r="M293" s="3407"/>
      <c r="N293" s="3408"/>
      <c r="R293" s="3409"/>
      <c r="S293" s="3409"/>
      <c r="T293" s="3409"/>
      <c r="U293" s="3409"/>
      <c r="AH293" s="3410"/>
      <c r="AI293" s="3411"/>
    </row>
    <row r="294" spans="5:35" s="3405" customFormat="1" x14ac:dyDescent="0.2">
      <c r="E294" s="3406"/>
      <c r="G294" s="3406"/>
      <c r="M294" s="3407"/>
      <c r="N294" s="3408"/>
      <c r="R294" s="3409"/>
      <c r="S294" s="3409"/>
      <c r="T294" s="3409"/>
      <c r="U294" s="3409"/>
      <c r="AH294" s="3410"/>
      <c r="AI294" s="3411"/>
    </row>
    <row r="295" spans="5:35" s="3405" customFormat="1" x14ac:dyDescent="0.2">
      <c r="E295" s="3406"/>
      <c r="G295" s="3406"/>
      <c r="M295" s="3407"/>
      <c r="N295" s="3408"/>
      <c r="R295" s="3409"/>
      <c r="S295" s="3409"/>
      <c r="T295" s="3409"/>
      <c r="U295" s="3409"/>
      <c r="AH295" s="3410"/>
      <c r="AI295" s="3411"/>
    </row>
    <row r="296" spans="5:35" s="3405" customFormat="1" x14ac:dyDescent="0.2">
      <c r="E296" s="3406"/>
      <c r="G296" s="3406"/>
      <c r="M296" s="3407"/>
      <c r="N296" s="3408"/>
      <c r="R296" s="3409"/>
      <c r="S296" s="3409"/>
      <c r="T296" s="3409"/>
      <c r="U296" s="3409"/>
      <c r="AH296" s="3410"/>
      <c r="AI296" s="3411"/>
    </row>
    <row r="297" spans="5:35" s="3405" customFormat="1" x14ac:dyDescent="0.2">
      <c r="E297" s="3406"/>
      <c r="G297" s="3406"/>
      <c r="M297" s="3407"/>
      <c r="N297" s="3408"/>
      <c r="R297" s="3409"/>
      <c r="S297" s="3409"/>
      <c r="T297" s="3409"/>
      <c r="U297" s="3409"/>
      <c r="AH297" s="3410"/>
      <c r="AI297" s="3411"/>
    </row>
    <row r="298" spans="5:35" s="3405" customFormat="1" x14ac:dyDescent="0.2">
      <c r="E298" s="3406"/>
      <c r="G298" s="3406"/>
      <c r="M298" s="3407"/>
      <c r="N298" s="3408"/>
      <c r="R298" s="3409"/>
      <c r="S298" s="3409"/>
      <c r="T298" s="3409"/>
      <c r="U298" s="3409"/>
      <c r="AH298" s="3410"/>
      <c r="AI298" s="3411"/>
    </row>
    <row r="299" spans="5:35" s="3405" customFormat="1" x14ac:dyDescent="0.2">
      <c r="E299" s="3406"/>
      <c r="G299" s="3406"/>
      <c r="M299" s="3407"/>
      <c r="N299" s="3408"/>
      <c r="R299" s="3409"/>
      <c r="S299" s="3409"/>
      <c r="T299" s="3409"/>
      <c r="U299" s="3409"/>
      <c r="AH299" s="3410"/>
      <c r="AI299" s="3411"/>
    </row>
    <row r="300" spans="5:35" s="3405" customFormat="1" x14ac:dyDescent="0.2">
      <c r="E300" s="3406"/>
      <c r="G300" s="3406"/>
      <c r="M300" s="3407"/>
      <c r="N300" s="3408"/>
      <c r="R300" s="3409"/>
      <c r="S300" s="3409"/>
      <c r="T300" s="3409"/>
      <c r="U300" s="3409"/>
      <c r="AH300" s="3410"/>
      <c r="AI300" s="3411"/>
    </row>
    <row r="301" spans="5:35" s="3405" customFormat="1" x14ac:dyDescent="0.2">
      <c r="E301" s="3406"/>
      <c r="G301" s="3406"/>
      <c r="M301" s="3407"/>
      <c r="N301" s="3408"/>
      <c r="R301" s="3409"/>
      <c r="S301" s="3409"/>
      <c r="T301" s="3409"/>
      <c r="U301" s="3409"/>
      <c r="AH301" s="3410"/>
      <c r="AI301" s="3411"/>
    </row>
    <row r="302" spans="5:35" s="3405" customFormat="1" x14ac:dyDescent="0.2">
      <c r="E302" s="3406"/>
      <c r="G302" s="3406"/>
      <c r="M302" s="3407"/>
      <c r="N302" s="3408"/>
      <c r="R302" s="3409"/>
      <c r="S302" s="3409"/>
      <c r="T302" s="3409"/>
      <c r="U302" s="3409"/>
      <c r="AH302" s="3410"/>
      <c r="AI302" s="3411"/>
    </row>
    <row r="303" spans="5:35" s="3405" customFormat="1" x14ac:dyDescent="0.2">
      <c r="E303" s="3406"/>
      <c r="G303" s="3406"/>
      <c r="M303" s="3407"/>
      <c r="N303" s="3408"/>
      <c r="R303" s="3409"/>
      <c r="S303" s="3409"/>
      <c r="T303" s="3409"/>
      <c r="U303" s="3409"/>
      <c r="AH303" s="3410"/>
      <c r="AI303" s="3411"/>
    </row>
    <row r="304" spans="5:35" s="3405" customFormat="1" x14ac:dyDescent="0.2">
      <c r="E304" s="3406"/>
      <c r="G304" s="3406"/>
      <c r="M304" s="3407"/>
      <c r="N304" s="3408"/>
      <c r="R304" s="3409"/>
      <c r="S304" s="3409"/>
      <c r="T304" s="3409"/>
      <c r="U304" s="3409"/>
      <c r="AH304" s="3410"/>
      <c r="AI304" s="3411"/>
    </row>
    <row r="305" spans="5:35" s="3405" customFormat="1" x14ac:dyDescent="0.2">
      <c r="E305" s="3406"/>
      <c r="G305" s="3406"/>
      <c r="M305" s="3407"/>
      <c r="N305" s="3408"/>
      <c r="R305" s="3409"/>
      <c r="S305" s="3409"/>
      <c r="T305" s="3409"/>
      <c r="U305" s="3409"/>
      <c r="AH305" s="3410"/>
      <c r="AI305" s="3411"/>
    </row>
    <row r="306" spans="5:35" s="3405" customFormat="1" x14ac:dyDescent="0.2">
      <c r="E306" s="3406"/>
      <c r="G306" s="3406"/>
      <c r="M306" s="3407"/>
      <c r="N306" s="3408"/>
      <c r="R306" s="3409"/>
      <c r="S306" s="3409"/>
      <c r="T306" s="3409"/>
      <c r="U306" s="3409"/>
      <c r="AH306" s="3410"/>
      <c r="AI306" s="3411"/>
    </row>
    <row r="307" spans="5:35" s="3405" customFormat="1" x14ac:dyDescent="0.2">
      <c r="E307" s="3406"/>
      <c r="G307" s="3406"/>
      <c r="M307" s="3407"/>
      <c r="N307" s="3408"/>
      <c r="R307" s="3409"/>
      <c r="S307" s="3409"/>
      <c r="T307" s="3409"/>
      <c r="U307" s="3409"/>
      <c r="AH307" s="3410"/>
      <c r="AI307" s="3411"/>
    </row>
    <row r="308" spans="5:35" s="3405" customFormat="1" x14ac:dyDescent="0.2">
      <c r="E308" s="3406"/>
      <c r="G308" s="3406"/>
      <c r="M308" s="3407"/>
      <c r="N308" s="3408"/>
      <c r="R308" s="3409"/>
      <c r="S308" s="3409"/>
      <c r="T308" s="3409"/>
      <c r="U308" s="3409"/>
      <c r="AH308" s="3410"/>
      <c r="AI308" s="3411"/>
    </row>
    <row r="309" spans="5:35" s="3405" customFormat="1" x14ac:dyDescent="0.2">
      <c r="E309" s="3406"/>
      <c r="G309" s="3406"/>
      <c r="M309" s="3407"/>
      <c r="N309" s="3408"/>
      <c r="R309" s="3409"/>
      <c r="S309" s="3409"/>
      <c r="T309" s="3409"/>
      <c r="U309" s="3409"/>
      <c r="AH309" s="3410"/>
      <c r="AI309" s="3411"/>
    </row>
    <row r="310" spans="5:35" s="3405" customFormat="1" x14ac:dyDescent="0.2">
      <c r="E310" s="3406"/>
      <c r="G310" s="3406"/>
      <c r="M310" s="3407"/>
      <c r="N310" s="3408"/>
      <c r="R310" s="3409"/>
      <c r="S310" s="3409"/>
      <c r="T310" s="3409"/>
      <c r="U310" s="3409"/>
      <c r="AH310" s="3410"/>
      <c r="AI310" s="3411"/>
    </row>
    <row r="311" spans="5:35" s="3405" customFormat="1" x14ac:dyDescent="0.2">
      <c r="E311" s="3406"/>
      <c r="G311" s="3406"/>
      <c r="M311" s="3407"/>
      <c r="N311" s="3408"/>
      <c r="R311" s="3409"/>
      <c r="S311" s="3409"/>
      <c r="T311" s="3409"/>
      <c r="U311" s="3409"/>
      <c r="AH311" s="3410"/>
      <c r="AI311" s="3411"/>
    </row>
    <row r="312" spans="5:35" s="3405" customFormat="1" x14ac:dyDescent="0.2">
      <c r="E312" s="3406"/>
      <c r="G312" s="3406"/>
      <c r="M312" s="3407"/>
      <c r="N312" s="3408"/>
      <c r="R312" s="3409"/>
      <c r="S312" s="3409"/>
      <c r="T312" s="3409"/>
      <c r="U312" s="3409"/>
      <c r="AH312" s="3410"/>
      <c r="AI312" s="3411"/>
    </row>
    <row r="313" spans="5:35" s="3405" customFormat="1" x14ac:dyDescent="0.2">
      <c r="E313" s="3406"/>
      <c r="G313" s="3406"/>
      <c r="M313" s="3407"/>
      <c r="N313" s="3408"/>
      <c r="R313" s="3409"/>
      <c r="S313" s="3409"/>
      <c r="T313" s="3409"/>
      <c r="U313" s="3409"/>
      <c r="AH313" s="3410"/>
      <c r="AI313" s="3411"/>
    </row>
    <row r="314" spans="5:35" s="3405" customFormat="1" x14ac:dyDescent="0.2">
      <c r="E314" s="3406"/>
      <c r="G314" s="3406"/>
      <c r="M314" s="3407"/>
      <c r="N314" s="3408"/>
      <c r="R314" s="3409"/>
      <c r="S314" s="3409"/>
      <c r="T314" s="3409"/>
      <c r="U314" s="3409"/>
      <c r="AH314" s="3410"/>
      <c r="AI314" s="3411"/>
    </row>
    <row r="315" spans="5:35" s="3405" customFormat="1" x14ac:dyDescent="0.2">
      <c r="E315" s="3406"/>
      <c r="G315" s="3406"/>
      <c r="M315" s="3407"/>
      <c r="N315" s="3408"/>
      <c r="R315" s="3409"/>
      <c r="S315" s="3409"/>
      <c r="T315" s="3409"/>
      <c r="U315" s="3409"/>
      <c r="AH315" s="3410"/>
      <c r="AI315" s="3411"/>
    </row>
    <row r="316" spans="5:35" s="3405" customFormat="1" x14ac:dyDescent="0.2">
      <c r="E316" s="3406"/>
      <c r="G316" s="3406"/>
      <c r="M316" s="3407"/>
      <c r="N316" s="3408"/>
      <c r="R316" s="3409"/>
      <c r="S316" s="3409"/>
      <c r="T316" s="3409"/>
      <c r="U316" s="3409"/>
      <c r="AH316" s="3410"/>
      <c r="AI316" s="3411"/>
    </row>
    <row r="317" spans="5:35" s="3405" customFormat="1" x14ac:dyDescent="0.2">
      <c r="E317" s="3406"/>
      <c r="G317" s="3406"/>
      <c r="M317" s="3407"/>
      <c r="N317" s="3408"/>
      <c r="R317" s="3409"/>
      <c r="S317" s="3409"/>
      <c r="T317" s="3409"/>
      <c r="U317" s="3409"/>
      <c r="AH317" s="3410"/>
      <c r="AI317" s="3411"/>
    </row>
    <row r="318" spans="5:35" s="3405" customFormat="1" x14ac:dyDescent="0.2">
      <c r="E318" s="3406"/>
      <c r="G318" s="3406"/>
      <c r="M318" s="3407"/>
      <c r="N318" s="3408"/>
      <c r="R318" s="3409"/>
      <c r="S318" s="3409"/>
      <c r="T318" s="3409"/>
      <c r="U318" s="3409"/>
      <c r="AH318" s="3410"/>
      <c r="AI318" s="3411"/>
    </row>
    <row r="319" spans="5:35" s="3405" customFormat="1" x14ac:dyDescent="0.2">
      <c r="E319" s="3406"/>
      <c r="G319" s="3406"/>
      <c r="M319" s="3407"/>
      <c r="N319" s="3408"/>
      <c r="R319" s="3409"/>
      <c r="S319" s="3409"/>
      <c r="T319" s="3409"/>
      <c r="U319" s="3409"/>
      <c r="AH319" s="3410"/>
      <c r="AI319" s="3411"/>
    </row>
    <row r="320" spans="5:35" s="3405" customFormat="1" x14ac:dyDescent="0.2">
      <c r="E320" s="3406"/>
      <c r="G320" s="3406"/>
      <c r="M320" s="3407"/>
      <c r="N320" s="3408"/>
      <c r="R320" s="3409"/>
      <c r="S320" s="3409"/>
      <c r="T320" s="3409"/>
      <c r="U320" s="3409"/>
      <c r="AH320" s="3410"/>
      <c r="AI320" s="3411"/>
    </row>
    <row r="321" spans="5:35" s="3405" customFormat="1" x14ac:dyDescent="0.2">
      <c r="E321" s="3406"/>
      <c r="G321" s="3406"/>
      <c r="M321" s="3407"/>
      <c r="N321" s="3408"/>
      <c r="R321" s="3409"/>
      <c r="S321" s="3409"/>
      <c r="T321" s="3409"/>
      <c r="U321" s="3409"/>
      <c r="AH321" s="3410"/>
      <c r="AI321" s="3411"/>
    </row>
    <row r="322" spans="5:35" s="3405" customFormat="1" x14ac:dyDescent="0.2">
      <c r="E322" s="3406"/>
      <c r="G322" s="3406"/>
      <c r="M322" s="3407"/>
      <c r="N322" s="3408"/>
      <c r="R322" s="3409"/>
      <c r="S322" s="3409"/>
      <c r="T322" s="3409"/>
      <c r="U322" s="3409"/>
      <c r="AH322" s="3410"/>
      <c r="AI322" s="3411"/>
    </row>
    <row r="323" spans="5:35" s="3405" customFormat="1" x14ac:dyDescent="0.2">
      <c r="E323" s="3406"/>
      <c r="G323" s="3406"/>
      <c r="M323" s="3407"/>
      <c r="N323" s="3408"/>
      <c r="R323" s="3409"/>
      <c r="S323" s="3409"/>
      <c r="T323" s="3409"/>
      <c r="U323" s="3409"/>
      <c r="AH323" s="3410"/>
      <c r="AI323" s="3411"/>
    </row>
    <row r="324" spans="5:35" s="3405" customFormat="1" x14ac:dyDescent="0.2">
      <c r="E324" s="3406"/>
      <c r="G324" s="3406"/>
      <c r="M324" s="3407"/>
      <c r="N324" s="3408"/>
      <c r="R324" s="3409"/>
      <c r="S324" s="3409"/>
      <c r="T324" s="3409"/>
      <c r="U324" s="3409"/>
      <c r="AH324" s="3410"/>
      <c r="AI324" s="3411"/>
    </row>
    <row r="325" spans="5:35" s="3405" customFormat="1" x14ac:dyDescent="0.2">
      <c r="E325" s="3406"/>
      <c r="G325" s="3406"/>
      <c r="M325" s="3407"/>
      <c r="N325" s="3408"/>
      <c r="R325" s="3409"/>
      <c r="S325" s="3409"/>
      <c r="T325" s="3409"/>
      <c r="U325" s="3409"/>
      <c r="AH325" s="3410"/>
      <c r="AI325" s="3411"/>
    </row>
    <row r="326" spans="5:35" s="3405" customFormat="1" x14ac:dyDescent="0.2">
      <c r="E326" s="3406"/>
      <c r="G326" s="3406"/>
      <c r="M326" s="3407"/>
      <c r="N326" s="3408"/>
      <c r="R326" s="3409"/>
      <c r="S326" s="3409"/>
      <c r="T326" s="3409"/>
      <c r="U326" s="3409"/>
      <c r="AH326" s="3410"/>
      <c r="AI326" s="3411"/>
    </row>
    <row r="327" spans="5:35" s="3405" customFormat="1" x14ac:dyDescent="0.2">
      <c r="E327" s="3406"/>
      <c r="G327" s="3406"/>
      <c r="M327" s="3407"/>
      <c r="N327" s="3408"/>
      <c r="R327" s="3409"/>
      <c r="S327" s="3409"/>
      <c r="T327" s="3409"/>
      <c r="U327" s="3409"/>
      <c r="AH327" s="3410"/>
      <c r="AI327" s="3411"/>
    </row>
    <row r="328" spans="5:35" s="3405" customFormat="1" x14ac:dyDescent="0.2">
      <c r="E328" s="3406"/>
      <c r="G328" s="3406"/>
      <c r="M328" s="3407"/>
      <c r="N328" s="3408"/>
      <c r="R328" s="3409"/>
      <c r="S328" s="3409"/>
      <c r="T328" s="3409"/>
      <c r="U328" s="3409"/>
      <c r="AH328" s="3410"/>
      <c r="AI328" s="3411"/>
    </row>
    <row r="329" spans="5:35" s="3405" customFormat="1" x14ac:dyDescent="0.2">
      <c r="E329" s="3406"/>
      <c r="G329" s="3406"/>
      <c r="M329" s="3407"/>
      <c r="N329" s="3408"/>
      <c r="R329" s="3409"/>
      <c r="S329" s="3409"/>
      <c r="T329" s="3409"/>
      <c r="U329" s="3409"/>
      <c r="AH329" s="3410"/>
      <c r="AI329" s="3411"/>
    </row>
    <row r="330" spans="5:35" s="3405" customFormat="1" x14ac:dyDescent="0.2">
      <c r="E330" s="3406"/>
      <c r="G330" s="3406"/>
      <c r="M330" s="3407"/>
      <c r="N330" s="3408"/>
      <c r="R330" s="3409"/>
      <c r="S330" s="3409"/>
      <c r="T330" s="3409"/>
      <c r="U330" s="3409"/>
      <c r="AH330" s="3410"/>
      <c r="AI330" s="3411"/>
    </row>
    <row r="331" spans="5:35" s="3405" customFormat="1" x14ac:dyDescent="0.2">
      <c r="E331" s="3406"/>
      <c r="G331" s="3406"/>
      <c r="M331" s="3407"/>
      <c r="N331" s="3408"/>
      <c r="R331" s="3409"/>
      <c r="S331" s="3409"/>
      <c r="T331" s="3409"/>
      <c r="U331" s="3409"/>
      <c r="AH331" s="3410"/>
      <c r="AI331" s="3411"/>
    </row>
    <row r="332" spans="5:35" s="3405" customFormat="1" x14ac:dyDescent="0.2">
      <c r="E332" s="3406"/>
      <c r="G332" s="3406"/>
      <c r="M332" s="3407"/>
      <c r="N332" s="3408"/>
      <c r="R332" s="3409"/>
      <c r="S332" s="3409"/>
      <c r="T332" s="3409"/>
      <c r="U332" s="3409"/>
      <c r="AH332" s="3410"/>
      <c r="AI332" s="3411"/>
    </row>
    <row r="333" spans="5:35" s="3405" customFormat="1" x14ac:dyDescent="0.2">
      <c r="E333" s="3406"/>
      <c r="G333" s="3406"/>
      <c r="M333" s="3407"/>
      <c r="N333" s="3408"/>
      <c r="R333" s="3409"/>
      <c r="S333" s="3409"/>
      <c r="T333" s="3409"/>
      <c r="U333" s="3409"/>
      <c r="AH333" s="3410"/>
      <c r="AI333" s="3411"/>
    </row>
    <row r="334" spans="5:35" s="3405" customFormat="1" x14ac:dyDescent="0.2">
      <c r="E334" s="3406"/>
      <c r="G334" s="3406"/>
      <c r="M334" s="3407"/>
      <c r="N334" s="3408"/>
      <c r="R334" s="3409"/>
      <c r="S334" s="3409"/>
      <c r="T334" s="3409"/>
      <c r="U334" s="3409"/>
      <c r="AH334" s="3410"/>
      <c r="AI334" s="3411"/>
    </row>
    <row r="335" spans="5:35" s="3405" customFormat="1" x14ac:dyDescent="0.2">
      <c r="E335" s="3406"/>
      <c r="G335" s="3406"/>
      <c r="M335" s="3407"/>
      <c r="N335" s="3408"/>
      <c r="R335" s="3409"/>
      <c r="S335" s="3409"/>
      <c r="T335" s="3409"/>
      <c r="U335" s="3409"/>
      <c r="AH335" s="3410"/>
      <c r="AI335" s="3411"/>
    </row>
    <row r="336" spans="5:35" s="3405" customFormat="1" x14ac:dyDescent="0.2">
      <c r="E336" s="3406"/>
      <c r="G336" s="3406"/>
      <c r="M336" s="3407"/>
      <c r="N336" s="3408"/>
      <c r="R336" s="3409"/>
      <c r="S336" s="3409"/>
      <c r="T336" s="3409"/>
      <c r="U336" s="3409"/>
      <c r="AH336" s="3410"/>
      <c r="AI336" s="3411"/>
    </row>
    <row r="337" spans="5:35" s="3405" customFormat="1" x14ac:dyDescent="0.2">
      <c r="E337" s="3406"/>
      <c r="G337" s="3406"/>
      <c r="M337" s="3407"/>
      <c r="N337" s="3408"/>
      <c r="R337" s="3409"/>
      <c r="S337" s="3409"/>
      <c r="T337" s="3409"/>
      <c r="U337" s="3409"/>
      <c r="AH337" s="3410"/>
      <c r="AI337" s="3411"/>
    </row>
    <row r="338" spans="5:35" s="3405" customFormat="1" x14ac:dyDescent="0.2">
      <c r="E338" s="3406"/>
      <c r="G338" s="3406"/>
      <c r="M338" s="3407"/>
      <c r="N338" s="3408"/>
      <c r="R338" s="3409"/>
      <c r="S338" s="3409"/>
      <c r="T338" s="3409"/>
      <c r="U338" s="3409"/>
      <c r="AH338" s="3410"/>
      <c r="AI338" s="3411"/>
    </row>
    <row r="339" spans="5:35" s="3405" customFormat="1" x14ac:dyDescent="0.2">
      <c r="E339" s="3406"/>
      <c r="G339" s="3406"/>
      <c r="M339" s="3407"/>
      <c r="N339" s="3408"/>
      <c r="R339" s="3409"/>
      <c r="S339" s="3409"/>
      <c r="T339" s="3409"/>
      <c r="U339" s="3409"/>
      <c r="AH339" s="3410"/>
      <c r="AI339" s="3411"/>
    </row>
    <row r="340" spans="5:35" s="3405" customFormat="1" x14ac:dyDescent="0.2">
      <c r="E340" s="3406"/>
      <c r="G340" s="3406"/>
      <c r="M340" s="3407"/>
      <c r="N340" s="3408"/>
      <c r="R340" s="3409"/>
      <c r="S340" s="3409"/>
      <c r="T340" s="3409"/>
      <c r="U340" s="3409"/>
      <c r="AH340" s="3410"/>
      <c r="AI340" s="3411"/>
    </row>
    <row r="341" spans="5:35" s="3405" customFormat="1" x14ac:dyDescent="0.2">
      <c r="E341" s="3406"/>
      <c r="G341" s="3406"/>
      <c r="M341" s="3407"/>
      <c r="N341" s="3408"/>
      <c r="R341" s="3409"/>
      <c r="S341" s="3409"/>
      <c r="T341" s="3409"/>
      <c r="U341" s="3409"/>
      <c r="AH341" s="3410"/>
      <c r="AI341" s="3411"/>
    </row>
    <row r="342" spans="5:35" s="3405" customFormat="1" x14ac:dyDescent="0.2">
      <c r="E342" s="3406"/>
      <c r="G342" s="3406"/>
      <c r="M342" s="3407"/>
      <c r="N342" s="3408"/>
      <c r="R342" s="3409"/>
      <c r="S342" s="3409"/>
      <c r="T342" s="3409"/>
      <c r="U342" s="3409"/>
      <c r="AH342" s="3410"/>
      <c r="AI342" s="3411"/>
    </row>
    <row r="343" spans="5:35" s="3405" customFormat="1" x14ac:dyDescent="0.2">
      <c r="E343" s="3406"/>
      <c r="G343" s="3406"/>
      <c r="M343" s="3407"/>
      <c r="N343" s="3408"/>
      <c r="R343" s="3409"/>
      <c r="S343" s="3409"/>
      <c r="T343" s="3409"/>
      <c r="U343" s="3409"/>
      <c r="AH343" s="3410"/>
      <c r="AI343" s="3411"/>
    </row>
    <row r="344" spans="5:35" s="3405" customFormat="1" x14ac:dyDescent="0.2">
      <c r="E344" s="3406"/>
      <c r="G344" s="3406"/>
      <c r="M344" s="3407"/>
      <c r="N344" s="3408"/>
      <c r="R344" s="3409"/>
      <c r="S344" s="3409"/>
      <c r="T344" s="3409"/>
      <c r="U344" s="3409"/>
      <c r="AH344" s="3410"/>
      <c r="AI344" s="3411"/>
    </row>
    <row r="345" spans="5:35" s="3405" customFormat="1" x14ac:dyDescent="0.2">
      <c r="E345" s="3406"/>
      <c r="G345" s="3406"/>
      <c r="M345" s="3407"/>
      <c r="N345" s="3408"/>
      <c r="R345" s="3409"/>
      <c r="S345" s="3409"/>
      <c r="T345" s="3409"/>
      <c r="U345" s="3409"/>
      <c r="AH345" s="3410"/>
      <c r="AI345" s="3411"/>
    </row>
    <row r="346" spans="5:35" s="3405" customFormat="1" x14ac:dyDescent="0.2">
      <c r="E346" s="3406"/>
      <c r="G346" s="3406"/>
      <c r="M346" s="3407"/>
      <c r="N346" s="3408"/>
      <c r="R346" s="3409"/>
      <c r="S346" s="3409"/>
      <c r="T346" s="3409"/>
      <c r="U346" s="3409"/>
      <c r="AH346" s="3410"/>
      <c r="AI346" s="3411"/>
    </row>
    <row r="347" spans="5:35" s="3405" customFormat="1" x14ac:dyDescent="0.2">
      <c r="E347" s="3406"/>
      <c r="G347" s="3406"/>
      <c r="M347" s="3407"/>
      <c r="N347" s="3408"/>
      <c r="R347" s="3409"/>
      <c r="S347" s="3409"/>
      <c r="T347" s="3409"/>
      <c r="U347" s="3409"/>
      <c r="AH347" s="3410"/>
      <c r="AI347" s="3411"/>
    </row>
    <row r="348" spans="5:35" s="3405" customFormat="1" x14ac:dyDescent="0.2">
      <c r="E348" s="3406"/>
      <c r="G348" s="3406"/>
      <c r="M348" s="3407"/>
      <c r="N348" s="3408"/>
      <c r="R348" s="3409"/>
      <c r="S348" s="3409"/>
      <c r="T348" s="3409"/>
      <c r="U348" s="3409"/>
      <c r="AH348" s="3410"/>
      <c r="AI348" s="3411"/>
    </row>
    <row r="349" spans="5:35" s="3405" customFormat="1" x14ac:dyDescent="0.2">
      <c r="E349" s="3406"/>
      <c r="G349" s="3406"/>
      <c r="M349" s="3407"/>
      <c r="N349" s="3408"/>
      <c r="R349" s="3409"/>
      <c r="S349" s="3409"/>
      <c r="T349" s="3409"/>
      <c r="U349" s="3409"/>
      <c r="AH349" s="3410"/>
      <c r="AI349" s="3411"/>
    </row>
    <row r="350" spans="5:35" s="3405" customFormat="1" x14ac:dyDescent="0.2">
      <c r="E350" s="3406"/>
      <c r="G350" s="3406"/>
      <c r="M350" s="3407"/>
      <c r="N350" s="3408"/>
      <c r="R350" s="3409"/>
      <c r="S350" s="3409"/>
      <c r="T350" s="3409"/>
      <c r="U350" s="3409"/>
      <c r="AH350" s="3410"/>
      <c r="AI350" s="3411"/>
    </row>
    <row r="351" spans="5:35" s="3405" customFormat="1" x14ac:dyDescent="0.2">
      <c r="E351" s="3406"/>
      <c r="G351" s="3406"/>
      <c r="M351" s="3407"/>
      <c r="N351" s="3408"/>
      <c r="R351" s="3409"/>
      <c r="S351" s="3409"/>
      <c r="T351" s="3409"/>
      <c r="U351" s="3409"/>
      <c r="AH351" s="3410"/>
      <c r="AI351" s="3411"/>
    </row>
    <row r="352" spans="5:35" s="3405" customFormat="1" x14ac:dyDescent="0.2">
      <c r="E352" s="3406"/>
      <c r="G352" s="3406"/>
      <c r="M352" s="3407"/>
      <c r="N352" s="3408"/>
      <c r="R352" s="3409"/>
      <c r="S352" s="3409"/>
      <c r="T352" s="3409"/>
      <c r="U352" s="3409"/>
      <c r="AH352" s="3410"/>
      <c r="AI352" s="3411"/>
    </row>
    <row r="353" spans="5:35" s="3405" customFormat="1" x14ac:dyDescent="0.2">
      <c r="E353" s="3406"/>
      <c r="G353" s="3406"/>
      <c r="M353" s="3407"/>
      <c r="N353" s="3408"/>
      <c r="R353" s="3409"/>
      <c r="S353" s="3409"/>
      <c r="T353" s="3409"/>
      <c r="U353" s="3409"/>
      <c r="AH353" s="3410"/>
      <c r="AI353" s="3411"/>
    </row>
    <row r="354" spans="5:35" s="3405" customFormat="1" x14ac:dyDescent="0.2">
      <c r="E354" s="3406"/>
      <c r="G354" s="3406"/>
      <c r="M354" s="3407"/>
      <c r="N354" s="3408"/>
      <c r="R354" s="3409"/>
      <c r="S354" s="3409"/>
      <c r="T354" s="3409"/>
      <c r="U354" s="3409"/>
      <c r="AH354" s="3410"/>
      <c r="AI354" s="3411"/>
    </row>
    <row r="355" spans="5:35" s="3405" customFormat="1" x14ac:dyDescent="0.2">
      <c r="E355" s="3406"/>
      <c r="G355" s="3406"/>
      <c r="M355" s="3407"/>
      <c r="N355" s="3408"/>
      <c r="R355" s="3409"/>
      <c r="S355" s="3409"/>
      <c r="T355" s="3409"/>
      <c r="U355" s="3409"/>
      <c r="AH355" s="3410"/>
      <c r="AI355" s="3411"/>
    </row>
    <row r="356" spans="5:35" s="3405" customFormat="1" x14ac:dyDescent="0.2">
      <c r="E356" s="3406"/>
      <c r="G356" s="3406"/>
      <c r="M356" s="3407"/>
      <c r="N356" s="3408"/>
      <c r="R356" s="3409"/>
      <c r="S356" s="3409"/>
      <c r="T356" s="3409"/>
      <c r="U356" s="3409"/>
      <c r="AH356" s="3410"/>
      <c r="AI356" s="3411"/>
    </row>
    <row r="357" spans="5:35" s="3405" customFormat="1" x14ac:dyDescent="0.2">
      <c r="E357" s="3406"/>
      <c r="G357" s="3406"/>
      <c r="M357" s="3407"/>
      <c r="N357" s="3408"/>
      <c r="R357" s="3409"/>
      <c r="S357" s="3409"/>
      <c r="T357" s="3409"/>
      <c r="U357" s="3409"/>
      <c r="AH357" s="3410"/>
      <c r="AI357" s="3411"/>
    </row>
    <row r="358" spans="5:35" s="3405" customFormat="1" x14ac:dyDescent="0.2">
      <c r="E358" s="3406"/>
      <c r="G358" s="3406"/>
      <c r="M358" s="3407"/>
      <c r="N358" s="3408"/>
      <c r="R358" s="3409"/>
      <c r="S358" s="3409"/>
      <c r="T358" s="3409"/>
      <c r="U358" s="3409"/>
      <c r="AH358" s="3410"/>
      <c r="AI358" s="3411"/>
    </row>
    <row r="359" spans="5:35" s="3405" customFormat="1" x14ac:dyDescent="0.2">
      <c r="E359" s="3406"/>
      <c r="G359" s="3406"/>
      <c r="M359" s="3407"/>
      <c r="N359" s="3408"/>
      <c r="R359" s="3409"/>
      <c r="S359" s="3409"/>
      <c r="T359" s="3409"/>
      <c r="U359" s="3409"/>
      <c r="AH359" s="3410"/>
      <c r="AI359" s="3411"/>
    </row>
    <row r="360" spans="5:35" s="3405" customFormat="1" x14ac:dyDescent="0.2">
      <c r="E360" s="3406"/>
      <c r="G360" s="3406"/>
      <c r="M360" s="3407"/>
      <c r="N360" s="3408"/>
      <c r="R360" s="3409"/>
      <c r="S360" s="3409"/>
      <c r="T360" s="3409"/>
      <c r="U360" s="3409"/>
      <c r="AH360" s="3410"/>
      <c r="AI360" s="3411"/>
    </row>
    <row r="361" spans="5:35" s="3405" customFormat="1" x14ac:dyDescent="0.2">
      <c r="E361" s="3406"/>
      <c r="G361" s="3406"/>
      <c r="M361" s="3407"/>
      <c r="N361" s="3408"/>
      <c r="R361" s="3409"/>
      <c r="S361" s="3409"/>
      <c r="T361" s="3409"/>
      <c r="U361" s="3409"/>
      <c r="AH361" s="3410"/>
      <c r="AI361" s="3411"/>
    </row>
    <row r="362" spans="5:35" s="3405" customFormat="1" x14ac:dyDescent="0.2">
      <c r="E362" s="3406"/>
      <c r="G362" s="3406"/>
      <c r="M362" s="3407"/>
      <c r="N362" s="3408"/>
      <c r="R362" s="3409"/>
      <c r="S362" s="3409"/>
      <c r="T362" s="3409"/>
      <c r="U362" s="3409"/>
      <c r="AH362" s="3410"/>
      <c r="AI362" s="3411"/>
    </row>
    <row r="363" spans="5:35" s="3405" customFormat="1" x14ac:dyDescent="0.2">
      <c r="E363" s="3406"/>
      <c r="G363" s="3406"/>
      <c r="M363" s="3407"/>
      <c r="N363" s="3408"/>
      <c r="R363" s="3409"/>
      <c r="S363" s="3409"/>
      <c r="T363" s="3409"/>
      <c r="U363" s="3409"/>
      <c r="AH363" s="3410"/>
      <c r="AI363" s="3411"/>
    </row>
    <row r="364" spans="5:35" s="3405" customFormat="1" x14ac:dyDescent="0.2">
      <c r="E364" s="3406"/>
      <c r="G364" s="3406"/>
      <c r="M364" s="3407"/>
      <c r="N364" s="3408"/>
      <c r="R364" s="3409"/>
      <c r="S364" s="3409"/>
      <c r="T364" s="3409"/>
      <c r="U364" s="3409"/>
      <c r="AH364" s="3410"/>
      <c r="AI364" s="3411"/>
    </row>
    <row r="365" spans="5:35" s="3405" customFormat="1" x14ac:dyDescent="0.2">
      <c r="E365" s="3406"/>
      <c r="G365" s="3406"/>
      <c r="M365" s="3407"/>
      <c r="N365" s="3408"/>
      <c r="R365" s="3409"/>
      <c r="S365" s="3409"/>
      <c r="T365" s="3409"/>
      <c r="U365" s="3409"/>
      <c r="AH365" s="3410"/>
      <c r="AI365" s="3411"/>
    </row>
    <row r="366" spans="5:35" s="3405" customFormat="1" x14ac:dyDescent="0.2">
      <c r="E366" s="3406"/>
      <c r="G366" s="3406"/>
      <c r="M366" s="3407"/>
      <c r="N366" s="3408"/>
      <c r="R366" s="3409"/>
      <c r="S366" s="3409"/>
      <c r="T366" s="3409"/>
      <c r="U366" s="3409"/>
      <c r="AH366" s="3410"/>
      <c r="AI366" s="3411"/>
    </row>
    <row r="367" spans="5:35" s="3405" customFormat="1" x14ac:dyDescent="0.2">
      <c r="E367" s="3406"/>
      <c r="G367" s="3406"/>
      <c r="M367" s="3407"/>
      <c r="N367" s="3408"/>
      <c r="R367" s="3409"/>
      <c r="S367" s="3409"/>
      <c r="T367" s="3409"/>
      <c r="U367" s="3409"/>
      <c r="AH367" s="3410"/>
      <c r="AI367" s="3411"/>
    </row>
    <row r="368" spans="5:35" s="3405" customFormat="1" x14ac:dyDescent="0.2">
      <c r="E368" s="3406"/>
      <c r="G368" s="3406"/>
      <c r="M368" s="3407"/>
      <c r="N368" s="3408"/>
      <c r="R368" s="3409"/>
      <c r="S368" s="3409"/>
      <c r="T368" s="3409"/>
      <c r="U368" s="3409"/>
      <c r="AH368" s="3410"/>
      <c r="AI368" s="3411"/>
    </row>
    <row r="369" spans="5:35" s="3405" customFormat="1" x14ac:dyDescent="0.2">
      <c r="E369" s="3406"/>
      <c r="G369" s="3406"/>
      <c r="M369" s="3407"/>
      <c r="N369" s="3408"/>
      <c r="R369" s="3409"/>
      <c r="S369" s="3409"/>
      <c r="T369" s="3409"/>
      <c r="U369" s="3409"/>
      <c r="AH369" s="3410"/>
      <c r="AI369" s="3411"/>
    </row>
    <row r="370" spans="5:35" s="3405" customFormat="1" x14ac:dyDescent="0.2">
      <c r="E370" s="3406"/>
      <c r="G370" s="3406"/>
      <c r="M370" s="3407"/>
      <c r="N370" s="3408"/>
      <c r="R370" s="3409"/>
      <c r="S370" s="3409"/>
      <c r="T370" s="3409"/>
      <c r="U370" s="3409"/>
      <c r="AH370" s="3410"/>
      <c r="AI370" s="3411"/>
    </row>
    <row r="371" spans="5:35" s="3405" customFormat="1" x14ac:dyDescent="0.2">
      <c r="E371" s="3406"/>
      <c r="G371" s="3406"/>
      <c r="M371" s="3407"/>
      <c r="N371" s="3408"/>
      <c r="R371" s="3409"/>
      <c r="S371" s="3409"/>
      <c r="T371" s="3409"/>
      <c r="U371" s="3409"/>
      <c r="AH371" s="3410"/>
      <c r="AI371" s="3411"/>
    </row>
    <row r="372" spans="5:35" s="3405" customFormat="1" x14ac:dyDescent="0.2">
      <c r="E372" s="3406"/>
      <c r="G372" s="3406"/>
      <c r="M372" s="3407"/>
      <c r="N372" s="3408"/>
      <c r="R372" s="3409"/>
      <c r="S372" s="3409"/>
      <c r="T372" s="3409"/>
      <c r="U372" s="3409"/>
      <c r="AH372" s="3410"/>
      <c r="AI372" s="3411"/>
    </row>
    <row r="373" spans="5:35" s="3405" customFormat="1" x14ac:dyDescent="0.2">
      <c r="E373" s="3406"/>
      <c r="G373" s="3406"/>
      <c r="M373" s="3407"/>
      <c r="N373" s="3408"/>
      <c r="R373" s="3409"/>
      <c r="S373" s="3409"/>
      <c r="T373" s="3409"/>
      <c r="U373" s="3409"/>
      <c r="AH373" s="3410"/>
      <c r="AI373" s="3411"/>
    </row>
    <row r="374" spans="5:35" s="3405" customFormat="1" x14ac:dyDescent="0.2">
      <c r="E374" s="3406"/>
      <c r="G374" s="3406"/>
      <c r="M374" s="3407"/>
      <c r="N374" s="3408"/>
      <c r="R374" s="3409"/>
      <c r="S374" s="3409"/>
      <c r="T374" s="3409"/>
      <c r="U374" s="3409"/>
      <c r="AH374" s="3410"/>
      <c r="AI374" s="3411"/>
    </row>
    <row r="375" spans="5:35" s="3405" customFormat="1" x14ac:dyDescent="0.2">
      <c r="E375" s="3406"/>
      <c r="G375" s="3406"/>
      <c r="M375" s="3407"/>
      <c r="N375" s="3408"/>
      <c r="R375" s="3409"/>
      <c r="S375" s="3409"/>
      <c r="T375" s="3409"/>
      <c r="U375" s="3409"/>
      <c r="AH375" s="3410"/>
      <c r="AI375" s="3411"/>
    </row>
    <row r="376" spans="5:35" s="3405" customFormat="1" x14ac:dyDescent="0.2">
      <c r="E376" s="3406"/>
      <c r="G376" s="3406"/>
      <c r="M376" s="3407"/>
      <c r="N376" s="3408"/>
      <c r="R376" s="3409"/>
      <c r="S376" s="3409"/>
      <c r="T376" s="3409"/>
      <c r="U376" s="3409"/>
      <c r="AH376" s="3410"/>
      <c r="AI376" s="3411"/>
    </row>
    <row r="377" spans="5:35" s="3405" customFormat="1" x14ac:dyDescent="0.2">
      <c r="E377" s="3406"/>
      <c r="G377" s="3406"/>
      <c r="M377" s="3407"/>
      <c r="N377" s="3408"/>
      <c r="R377" s="3409"/>
      <c r="S377" s="3409"/>
      <c r="T377" s="3409"/>
      <c r="U377" s="3409"/>
      <c r="AH377" s="3410"/>
      <c r="AI377" s="3411"/>
    </row>
    <row r="378" spans="5:35" s="3405" customFormat="1" x14ac:dyDescent="0.2">
      <c r="E378" s="3406"/>
      <c r="G378" s="3406"/>
      <c r="M378" s="3407"/>
      <c r="N378" s="3408"/>
      <c r="R378" s="3409"/>
      <c r="S378" s="3409"/>
      <c r="T378" s="3409"/>
      <c r="U378" s="3409"/>
      <c r="AH378" s="3410"/>
      <c r="AI378" s="3411"/>
    </row>
    <row r="379" spans="5:35" s="3405" customFormat="1" x14ac:dyDescent="0.2">
      <c r="E379" s="3406"/>
      <c r="G379" s="3406"/>
      <c r="M379" s="3407"/>
      <c r="N379" s="3408"/>
      <c r="R379" s="3409"/>
      <c r="S379" s="3409"/>
      <c r="T379" s="3409"/>
      <c r="U379" s="3409"/>
      <c r="AH379" s="3410"/>
      <c r="AI379" s="3411"/>
    </row>
    <row r="380" spans="5:35" s="3405" customFormat="1" x14ac:dyDescent="0.2">
      <c r="E380" s="3406"/>
      <c r="G380" s="3406"/>
      <c r="M380" s="3407"/>
      <c r="N380" s="3408"/>
      <c r="R380" s="3409"/>
      <c r="S380" s="3409"/>
      <c r="T380" s="3409"/>
      <c r="U380" s="3409"/>
      <c r="AH380" s="3410"/>
      <c r="AI380" s="3411"/>
    </row>
    <row r="381" spans="5:35" s="3405" customFormat="1" x14ac:dyDescent="0.2">
      <c r="E381" s="3406"/>
      <c r="G381" s="3406"/>
      <c r="M381" s="3407"/>
      <c r="N381" s="3408"/>
      <c r="R381" s="3409"/>
      <c r="S381" s="3409"/>
      <c r="T381" s="3409"/>
      <c r="U381" s="3409"/>
      <c r="AH381" s="3410"/>
      <c r="AI381" s="3411"/>
    </row>
    <row r="382" spans="5:35" s="3405" customFormat="1" x14ac:dyDescent="0.2">
      <c r="E382" s="3406"/>
      <c r="G382" s="3406"/>
      <c r="M382" s="3407"/>
      <c r="N382" s="3408"/>
      <c r="R382" s="3409"/>
      <c r="S382" s="3409"/>
      <c r="T382" s="3409"/>
      <c r="U382" s="3409"/>
      <c r="AH382" s="3410"/>
      <c r="AI382" s="3411"/>
    </row>
    <row r="383" spans="5:35" s="3405" customFormat="1" x14ac:dyDescent="0.2">
      <c r="E383" s="3406"/>
      <c r="G383" s="3406"/>
      <c r="M383" s="3407"/>
      <c r="N383" s="3408"/>
      <c r="R383" s="3409"/>
      <c r="S383" s="3409"/>
      <c r="T383" s="3409"/>
      <c r="U383" s="3409"/>
      <c r="AH383" s="3410"/>
      <c r="AI383" s="3411"/>
    </row>
    <row r="384" spans="5:35" s="3405" customFormat="1" x14ac:dyDescent="0.2">
      <c r="E384" s="3406"/>
      <c r="G384" s="3406"/>
      <c r="M384" s="3407"/>
      <c r="N384" s="3408"/>
      <c r="R384" s="3409"/>
      <c r="S384" s="3409"/>
      <c r="T384" s="3409"/>
      <c r="U384" s="3409"/>
      <c r="AH384" s="3410"/>
      <c r="AI384" s="3411"/>
    </row>
    <row r="385" spans="5:35" s="3405" customFormat="1" x14ac:dyDescent="0.2">
      <c r="E385" s="3406"/>
      <c r="G385" s="3406"/>
      <c r="M385" s="3407"/>
      <c r="N385" s="3408"/>
      <c r="R385" s="3409"/>
      <c r="S385" s="3409"/>
      <c r="T385" s="3409"/>
      <c r="U385" s="3409"/>
      <c r="AH385" s="3410"/>
      <c r="AI385" s="3411"/>
    </row>
    <row r="386" spans="5:35" s="3405" customFormat="1" x14ac:dyDescent="0.2">
      <c r="E386" s="3406"/>
      <c r="G386" s="3406"/>
      <c r="M386" s="3407"/>
      <c r="N386" s="3408"/>
      <c r="R386" s="3409"/>
      <c r="S386" s="3409"/>
      <c r="T386" s="3409"/>
      <c r="U386" s="3409"/>
      <c r="AH386" s="3410"/>
      <c r="AI386" s="3411"/>
    </row>
    <row r="387" spans="5:35" s="3405" customFormat="1" x14ac:dyDescent="0.2">
      <c r="E387" s="3406"/>
      <c r="G387" s="3406"/>
      <c r="M387" s="3407"/>
      <c r="N387" s="3408"/>
      <c r="R387" s="3409"/>
      <c r="S387" s="3409"/>
      <c r="T387" s="3409"/>
      <c r="U387" s="3409"/>
      <c r="AH387" s="3410"/>
      <c r="AI387" s="3411"/>
    </row>
    <row r="388" spans="5:35" s="3405" customFormat="1" x14ac:dyDescent="0.2">
      <c r="E388" s="3406"/>
      <c r="G388" s="3406"/>
      <c r="M388" s="3407"/>
      <c r="N388" s="3408"/>
      <c r="R388" s="3409"/>
      <c r="S388" s="3409"/>
      <c r="T388" s="3409"/>
      <c r="U388" s="3409"/>
      <c r="AH388" s="3410"/>
      <c r="AI388" s="3411"/>
    </row>
    <row r="389" spans="5:35" s="3405" customFormat="1" x14ac:dyDescent="0.2">
      <c r="E389" s="3406"/>
      <c r="G389" s="3406"/>
      <c r="M389" s="3407"/>
      <c r="N389" s="3408"/>
      <c r="R389" s="3409"/>
      <c r="S389" s="3409"/>
      <c r="T389" s="3409"/>
      <c r="U389" s="3409"/>
      <c r="AH389" s="3410"/>
      <c r="AI389" s="3411"/>
    </row>
    <row r="390" spans="5:35" s="3405" customFormat="1" x14ac:dyDescent="0.2">
      <c r="E390" s="3406"/>
      <c r="G390" s="3406"/>
      <c r="M390" s="3407"/>
      <c r="N390" s="3408"/>
      <c r="R390" s="3409"/>
      <c r="S390" s="3409"/>
      <c r="T390" s="3409"/>
      <c r="U390" s="3409"/>
      <c r="AH390" s="3410"/>
      <c r="AI390" s="3411"/>
    </row>
    <row r="391" spans="5:35" s="3405" customFormat="1" x14ac:dyDescent="0.2">
      <c r="E391" s="3406"/>
      <c r="G391" s="3406"/>
      <c r="M391" s="3407"/>
      <c r="N391" s="3408"/>
      <c r="R391" s="3409"/>
      <c r="S391" s="3409"/>
      <c r="T391" s="3409"/>
      <c r="U391" s="3409"/>
      <c r="AH391" s="3410"/>
      <c r="AI391" s="3411"/>
    </row>
    <row r="392" spans="5:35" s="3405" customFormat="1" x14ac:dyDescent="0.2">
      <c r="E392" s="3406"/>
      <c r="G392" s="3406"/>
      <c r="M392" s="3407"/>
      <c r="N392" s="3408"/>
      <c r="R392" s="3409"/>
      <c r="S392" s="3409"/>
      <c r="T392" s="3409"/>
      <c r="U392" s="3409"/>
      <c r="AH392" s="3410"/>
      <c r="AI392" s="3411"/>
    </row>
    <row r="393" spans="5:35" s="3405" customFormat="1" x14ac:dyDescent="0.2">
      <c r="E393" s="3406"/>
      <c r="G393" s="3406"/>
      <c r="M393" s="3407"/>
      <c r="N393" s="3408"/>
      <c r="R393" s="3409"/>
      <c r="S393" s="3409"/>
      <c r="T393" s="3409"/>
      <c r="U393" s="3409"/>
      <c r="AH393" s="3410"/>
      <c r="AI393" s="3411"/>
    </row>
    <row r="394" spans="5:35" s="3405" customFormat="1" x14ac:dyDescent="0.2">
      <c r="E394" s="3406"/>
      <c r="G394" s="3406"/>
      <c r="M394" s="3407"/>
      <c r="N394" s="3408"/>
      <c r="R394" s="3409"/>
      <c r="S394" s="3409"/>
      <c r="T394" s="3409"/>
      <c r="U394" s="3409"/>
      <c r="AH394" s="3410"/>
      <c r="AI394" s="3411"/>
    </row>
    <row r="395" spans="5:35" s="3405" customFormat="1" x14ac:dyDescent="0.2">
      <c r="E395" s="3406"/>
      <c r="G395" s="3406"/>
      <c r="M395" s="3407"/>
      <c r="N395" s="3408"/>
      <c r="R395" s="3409"/>
      <c r="S395" s="3409"/>
      <c r="T395" s="3409"/>
      <c r="U395" s="3409"/>
      <c r="AH395" s="3410"/>
      <c r="AI395" s="3411"/>
    </row>
    <row r="396" spans="5:35" s="3405" customFormat="1" x14ac:dyDescent="0.2">
      <c r="E396" s="3406"/>
      <c r="G396" s="3406"/>
      <c r="M396" s="3407"/>
      <c r="N396" s="3408"/>
      <c r="R396" s="3409"/>
      <c r="S396" s="3409"/>
      <c r="T396" s="3409"/>
      <c r="U396" s="3409"/>
      <c r="AH396" s="3410"/>
      <c r="AI396" s="3411"/>
    </row>
    <row r="397" spans="5:35" s="3405" customFormat="1" x14ac:dyDescent="0.2">
      <c r="E397" s="3406"/>
      <c r="G397" s="3406"/>
      <c r="M397" s="3407"/>
      <c r="N397" s="3408"/>
      <c r="R397" s="3409"/>
      <c r="S397" s="3409"/>
      <c r="T397" s="3409"/>
      <c r="U397" s="3409"/>
      <c r="AH397" s="3410"/>
      <c r="AI397" s="3411"/>
    </row>
    <row r="398" spans="5:35" s="3405" customFormat="1" x14ac:dyDescent="0.2">
      <c r="E398" s="3406"/>
      <c r="G398" s="3406"/>
      <c r="M398" s="3407"/>
      <c r="N398" s="3408"/>
      <c r="R398" s="3409"/>
      <c r="S398" s="3409"/>
      <c r="T398" s="3409"/>
      <c r="U398" s="3409"/>
      <c r="AH398" s="3410"/>
      <c r="AI398" s="3411"/>
    </row>
    <row r="399" spans="5:35" s="3405" customFormat="1" x14ac:dyDescent="0.2">
      <c r="E399" s="3406"/>
      <c r="G399" s="3406"/>
      <c r="M399" s="3407"/>
      <c r="N399" s="3408"/>
      <c r="R399" s="3409"/>
      <c r="S399" s="3409"/>
      <c r="T399" s="3409"/>
      <c r="U399" s="3409"/>
      <c r="AH399" s="3410"/>
      <c r="AI399" s="3411"/>
    </row>
    <row r="400" spans="5:35" s="3405" customFormat="1" x14ac:dyDescent="0.2">
      <c r="E400" s="3406"/>
      <c r="G400" s="3406"/>
      <c r="M400" s="3407"/>
      <c r="N400" s="3408"/>
      <c r="R400" s="3409"/>
      <c r="S400" s="3409"/>
      <c r="T400" s="3409"/>
      <c r="U400" s="3409"/>
      <c r="AH400" s="3410"/>
      <c r="AI400" s="3411"/>
    </row>
    <row r="401" spans="5:35" s="3405" customFormat="1" x14ac:dyDescent="0.2">
      <c r="E401" s="3406"/>
      <c r="G401" s="3406"/>
      <c r="M401" s="3407"/>
      <c r="N401" s="3408"/>
      <c r="R401" s="3409"/>
      <c r="S401" s="3409"/>
      <c r="T401" s="3409"/>
      <c r="U401" s="3409"/>
      <c r="AH401" s="3410"/>
      <c r="AI401" s="3411"/>
    </row>
    <row r="402" spans="5:35" s="3405" customFormat="1" x14ac:dyDescent="0.2">
      <c r="E402" s="3406"/>
      <c r="G402" s="3406"/>
      <c r="M402" s="3407"/>
      <c r="N402" s="3408"/>
      <c r="R402" s="3409"/>
      <c r="S402" s="3409"/>
      <c r="T402" s="3409"/>
      <c r="U402" s="3409"/>
      <c r="AH402" s="3410"/>
      <c r="AI402" s="3411"/>
    </row>
    <row r="403" spans="5:35" s="3405" customFormat="1" x14ac:dyDescent="0.2">
      <c r="E403" s="3406"/>
      <c r="G403" s="3406"/>
      <c r="M403" s="3407"/>
      <c r="N403" s="3408"/>
      <c r="R403" s="3409"/>
      <c r="S403" s="3409"/>
      <c r="T403" s="3409"/>
      <c r="U403" s="3409"/>
      <c r="AH403" s="3410"/>
      <c r="AI403" s="3411"/>
    </row>
    <row r="404" spans="5:35" s="3405" customFormat="1" x14ac:dyDescent="0.2">
      <c r="E404" s="3406"/>
      <c r="G404" s="3406"/>
      <c r="M404" s="3407"/>
      <c r="N404" s="3408"/>
      <c r="R404" s="3409"/>
      <c r="S404" s="3409"/>
      <c r="T404" s="3409"/>
      <c r="U404" s="3409"/>
      <c r="AH404" s="3410"/>
      <c r="AI404" s="3411"/>
    </row>
    <row r="405" spans="5:35" s="3405" customFormat="1" x14ac:dyDescent="0.2">
      <c r="E405" s="3406"/>
      <c r="G405" s="3406"/>
      <c r="M405" s="3407"/>
      <c r="N405" s="3408"/>
      <c r="R405" s="3409"/>
      <c r="S405" s="3409"/>
      <c r="T405" s="3409"/>
      <c r="U405" s="3409"/>
      <c r="AH405" s="3410"/>
      <c r="AI405" s="3411"/>
    </row>
    <row r="406" spans="5:35" s="3405" customFormat="1" x14ac:dyDescent="0.2">
      <c r="E406" s="3406"/>
      <c r="G406" s="3406"/>
      <c r="M406" s="3407"/>
      <c r="N406" s="3408"/>
      <c r="R406" s="3409"/>
      <c r="S406" s="3409"/>
      <c r="T406" s="3409"/>
      <c r="U406" s="3409"/>
      <c r="AH406" s="3410"/>
      <c r="AI406" s="3411"/>
    </row>
    <row r="407" spans="5:35" s="3405" customFormat="1" x14ac:dyDescent="0.2">
      <c r="E407" s="3406"/>
      <c r="G407" s="3406"/>
      <c r="M407" s="3407"/>
      <c r="N407" s="3408"/>
      <c r="R407" s="3409"/>
      <c r="S407" s="3409"/>
      <c r="T407" s="3409"/>
      <c r="U407" s="3409"/>
      <c r="AH407" s="3410"/>
      <c r="AI407" s="3411"/>
    </row>
    <row r="408" spans="5:35" s="3405" customFormat="1" x14ac:dyDescent="0.2">
      <c r="E408" s="3406"/>
      <c r="G408" s="3406"/>
      <c r="M408" s="3407"/>
      <c r="N408" s="3408"/>
      <c r="R408" s="3409"/>
      <c r="S408" s="3409"/>
      <c r="T408" s="3409"/>
      <c r="U408" s="3409"/>
      <c r="AH408" s="3410"/>
      <c r="AI408" s="3411"/>
    </row>
    <row r="409" spans="5:35" s="3405" customFormat="1" x14ac:dyDescent="0.2">
      <c r="E409" s="3406"/>
      <c r="G409" s="3406"/>
      <c r="M409" s="3407"/>
      <c r="N409" s="3408"/>
      <c r="R409" s="3409"/>
      <c r="S409" s="3409"/>
      <c r="T409" s="3409"/>
      <c r="U409" s="3409"/>
      <c r="AH409" s="3410"/>
      <c r="AI409" s="3411"/>
    </row>
    <row r="410" spans="5:35" s="3405" customFormat="1" x14ac:dyDescent="0.2">
      <c r="E410" s="3406"/>
      <c r="G410" s="3406"/>
      <c r="M410" s="3407"/>
      <c r="N410" s="3408"/>
      <c r="R410" s="3409"/>
      <c r="S410" s="3409"/>
      <c r="T410" s="3409"/>
      <c r="U410" s="3409"/>
      <c r="AH410" s="3410"/>
      <c r="AI410" s="3411"/>
    </row>
    <row r="411" spans="5:35" s="3405" customFormat="1" x14ac:dyDescent="0.2">
      <c r="E411" s="3406"/>
      <c r="G411" s="3406"/>
      <c r="M411" s="3407"/>
      <c r="N411" s="3408"/>
      <c r="R411" s="3409"/>
      <c r="S411" s="3409"/>
      <c r="T411" s="3409"/>
      <c r="U411" s="3409"/>
      <c r="AH411" s="3410"/>
      <c r="AI411" s="3411"/>
    </row>
    <row r="412" spans="5:35" s="3405" customFormat="1" x14ac:dyDescent="0.2">
      <c r="E412" s="3406"/>
      <c r="G412" s="3406"/>
      <c r="M412" s="3407"/>
      <c r="N412" s="3408"/>
      <c r="R412" s="3409"/>
      <c r="S412" s="3409"/>
      <c r="T412" s="3409"/>
      <c r="U412" s="3409"/>
      <c r="AH412" s="3410"/>
      <c r="AI412" s="3411"/>
    </row>
    <row r="413" spans="5:35" s="3405" customFormat="1" x14ac:dyDescent="0.2">
      <c r="E413" s="3406"/>
      <c r="G413" s="3406"/>
      <c r="M413" s="3407"/>
      <c r="N413" s="3408"/>
      <c r="R413" s="3409"/>
      <c r="S413" s="3409"/>
      <c r="T413" s="3409"/>
      <c r="U413" s="3409"/>
      <c r="AH413" s="3410"/>
      <c r="AI413" s="3411"/>
    </row>
    <row r="414" spans="5:35" s="3405" customFormat="1" x14ac:dyDescent="0.2">
      <c r="E414" s="3406"/>
      <c r="G414" s="3406"/>
      <c r="M414" s="3407"/>
      <c r="N414" s="3408"/>
      <c r="R414" s="3409"/>
      <c r="S414" s="3409"/>
      <c r="T414" s="3409"/>
      <c r="U414" s="3409"/>
      <c r="AH414" s="3410"/>
      <c r="AI414" s="3411"/>
    </row>
    <row r="415" spans="5:35" s="3405" customFormat="1" x14ac:dyDescent="0.2">
      <c r="E415" s="3406"/>
      <c r="G415" s="3406"/>
      <c r="M415" s="3407"/>
      <c r="N415" s="3408"/>
      <c r="R415" s="3409"/>
      <c r="S415" s="3409"/>
      <c r="T415" s="3409"/>
      <c r="U415" s="3409"/>
      <c r="AH415" s="3410"/>
      <c r="AI415" s="3411"/>
    </row>
    <row r="416" spans="5:35" s="3405" customFormat="1" x14ac:dyDescent="0.2">
      <c r="E416" s="3406"/>
      <c r="G416" s="3406"/>
      <c r="M416" s="3407"/>
      <c r="N416" s="3408"/>
      <c r="R416" s="3409"/>
      <c r="S416" s="3409"/>
      <c r="T416" s="3409"/>
      <c r="U416" s="3409"/>
      <c r="AH416" s="3410"/>
      <c r="AI416" s="3411"/>
    </row>
    <row r="417" spans="5:35" s="3405" customFormat="1" x14ac:dyDescent="0.2">
      <c r="E417" s="3406"/>
      <c r="G417" s="3406"/>
      <c r="M417" s="3407"/>
      <c r="N417" s="3408"/>
      <c r="R417" s="3409"/>
      <c r="S417" s="3409"/>
      <c r="T417" s="3409"/>
      <c r="U417" s="3409"/>
      <c r="AH417" s="3410"/>
      <c r="AI417" s="3411"/>
    </row>
    <row r="418" spans="5:35" s="3405" customFormat="1" x14ac:dyDescent="0.2">
      <c r="E418" s="3406"/>
      <c r="G418" s="3406"/>
      <c r="M418" s="3407"/>
      <c r="N418" s="3408"/>
      <c r="R418" s="3409"/>
      <c r="S418" s="3409"/>
      <c r="T418" s="3409"/>
      <c r="U418" s="3409"/>
      <c r="AH418" s="3410"/>
      <c r="AI418" s="3411"/>
    </row>
    <row r="419" spans="5:35" s="3405" customFormat="1" x14ac:dyDescent="0.2">
      <c r="E419" s="3406"/>
      <c r="G419" s="3406"/>
      <c r="M419" s="3407"/>
      <c r="N419" s="3408"/>
      <c r="R419" s="3409"/>
      <c r="S419" s="3409"/>
      <c r="T419" s="3409"/>
      <c r="U419" s="3409"/>
      <c r="AH419" s="3410"/>
      <c r="AI419" s="3411"/>
    </row>
    <row r="420" spans="5:35" s="3405" customFormat="1" x14ac:dyDescent="0.2">
      <c r="E420" s="3406"/>
      <c r="G420" s="3406"/>
      <c r="M420" s="3407"/>
      <c r="N420" s="3408"/>
      <c r="R420" s="3409"/>
      <c r="S420" s="3409"/>
      <c r="T420" s="3409"/>
      <c r="U420" s="3409"/>
      <c r="AH420" s="3410"/>
      <c r="AI420" s="3411"/>
    </row>
    <row r="421" spans="5:35" s="3405" customFormat="1" x14ac:dyDescent="0.2">
      <c r="E421" s="3406"/>
      <c r="G421" s="3406"/>
      <c r="M421" s="3407"/>
      <c r="N421" s="3408"/>
      <c r="R421" s="3409"/>
      <c r="S421" s="3409"/>
      <c r="T421" s="3409"/>
      <c r="U421" s="3409"/>
      <c r="AH421" s="3410"/>
      <c r="AI421" s="3411"/>
    </row>
    <row r="422" spans="5:35" s="3405" customFormat="1" x14ac:dyDescent="0.2">
      <c r="E422" s="3406"/>
      <c r="G422" s="3406"/>
      <c r="M422" s="3407"/>
      <c r="N422" s="3408"/>
      <c r="R422" s="3409"/>
      <c r="S422" s="3409"/>
      <c r="T422" s="3409"/>
      <c r="U422" s="3409"/>
      <c r="AH422" s="3410"/>
      <c r="AI422" s="3411"/>
    </row>
    <row r="423" spans="5:35" s="3405" customFormat="1" x14ac:dyDescent="0.2">
      <c r="E423" s="3406"/>
      <c r="G423" s="3406"/>
      <c r="M423" s="3407"/>
      <c r="N423" s="3408"/>
      <c r="R423" s="3409"/>
      <c r="S423" s="3409"/>
      <c r="T423" s="3409"/>
      <c r="U423" s="3409"/>
      <c r="AH423" s="3410"/>
      <c r="AI423" s="3411"/>
    </row>
    <row r="424" spans="5:35" s="3405" customFormat="1" x14ac:dyDescent="0.2">
      <c r="E424" s="3406"/>
      <c r="G424" s="3406"/>
      <c r="M424" s="3407"/>
      <c r="N424" s="3408"/>
      <c r="R424" s="3409"/>
      <c r="S424" s="3409"/>
      <c r="T424" s="3409"/>
      <c r="U424" s="3409"/>
      <c r="AH424" s="3410"/>
      <c r="AI424" s="3411"/>
    </row>
    <row r="425" spans="5:35" s="3405" customFormat="1" x14ac:dyDescent="0.2">
      <c r="E425" s="3406"/>
      <c r="G425" s="3406"/>
      <c r="M425" s="3407"/>
      <c r="N425" s="3408"/>
      <c r="R425" s="3409"/>
      <c r="S425" s="3409"/>
      <c r="T425" s="3409"/>
      <c r="U425" s="3409"/>
      <c r="AH425" s="3410"/>
      <c r="AI425" s="3411"/>
    </row>
    <row r="426" spans="5:35" s="3405" customFormat="1" x14ac:dyDescent="0.2">
      <c r="E426" s="3406"/>
      <c r="G426" s="3406"/>
      <c r="M426" s="3407"/>
      <c r="N426" s="3408"/>
      <c r="R426" s="3409"/>
      <c r="S426" s="3409"/>
      <c r="T426" s="3409"/>
      <c r="U426" s="3409"/>
      <c r="AH426" s="3410"/>
      <c r="AI426" s="3411"/>
    </row>
    <row r="427" spans="5:35" s="3405" customFormat="1" x14ac:dyDescent="0.2">
      <c r="E427" s="3406"/>
      <c r="G427" s="3406"/>
      <c r="M427" s="3407"/>
      <c r="N427" s="3408"/>
      <c r="R427" s="3409"/>
      <c r="S427" s="3409"/>
      <c r="T427" s="3409"/>
      <c r="U427" s="3409"/>
      <c r="AH427" s="3410"/>
      <c r="AI427" s="3411"/>
    </row>
    <row r="428" spans="5:35" s="3405" customFormat="1" x14ac:dyDescent="0.2">
      <c r="E428" s="3406"/>
      <c r="G428" s="3406"/>
      <c r="M428" s="3407"/>
      <c r="N428" s="3408"/>
      <c r="R428" s="3409"/>
      <c r="S428" s="3409"/>
      <c r="T428" s="3409"/>
      <c r="U428" s="3409"/>
      <c r="AH428" s="3410"/>
      <c r="AI428" s="3411"/>
    </row>
    <row r="429" spans="5:35" s="3405" customFormat="1" x14ac:dyDescent="0.2">
      <c r="E429" s="3406"/>
      <c r="G429" s="3406"/>
      <c r="M429" s="3407"/>
      <c r="N429" s="3408"/>
      <c r="R429" s="3409"/>
      <c r="S429" s="3409"/>
      <c r="T429" s="3409"/>
      <c r="U429" s="3409"/>
      <c r="AH429" s="3410"/>
      <c r="AI429" s="3411"/>
    </row>
    <row r="430" spans="5:35" s="3405" customFormat="1" x14ac:dyDescent="0.2">
      <c r="E430" s="3406"/>
      <c r="G430" s="3406"/>
      <c r="M430" s="3407"/>
      <c r="N430" s="3408"/>
      <c r="R430" s="3409"/>
      <c r="S430" s="3409"/>
      <c r="T430" s="3409"/>
      <c r="U430" s="3409"/>
      <c r="AH430" s="3410"/>
      <c r="AI430" s="3411"/>
    </row>
    <row r="431" spans="5:35" s="3405" customFormat="1" x14ac:dyDescent="0.2">
      <c r="E431" s="3406"/>
      <c r="G431" s="3406"/>
      <c r="M431" s="3407"/>
      <c r="N431" s="3408"/>
      <c r="R431" s="3409"/>
      <c r="S431" s="3409"/>
      <c r="T431" s="3409"/>
      <c r="U431" s="3409"/>
      <c r="AH431" s="3410"/>
      <c r="AI431" s="3411"/>
    </row>
    <row r="432" spans="5:35" s="3405" customFormat="1" x14ac:dyDescent="0.2">
      <c r="E432" s="3406"/>
      <c r="G432" s="3406"/>
      <c r="M432" s="3407"/>
      <c r="N432" s="3408"/>
      <c r="R432" s="3409"/>
      <c r="S432" s="3409"/>
      <c r="T432" s="3409"/>
      <c r="U432" s="3409"/>
      <c r="AH432" s="3410"/>
      <c r="AI432" s="3411"/>
    </row>
    <row r="433" spans="5:35" s="3405" customFormat="1" x14ac:dyDescent="0.2">
      <c r="E433" s="3406"/>
      <c r="G433" s="3406"/>
      <c r="M433" s="3407"/>
      <c r="N433" s="3408"/>
      <c r="R433" s="3409"/>
      <c r="S433" s="3409"/>
      <c r="T433" s="3409"/>
      <c r="U433" s="3409"/>
      <c r="AH433" s="3410"/>
      <c r="AI433" s="3411"/>
    </row>
    <row r="434" spans="5:35" s="3405" customFormat="1" x14ac:dyDescent="0.2">
      <c r="E434" s="3406"/>
      <c r="G434" s="3406"/>
      <c r="M434" s="3407"/>
      <c r="N434" s="3408"/>
      <c r="R434" s="3409"/>
      <c r="S434" s="3409"/>
      <c r="T434" s="3409"/>
      <c r="U434" s="3409"/>
      <c r="AH434" s="3410"/>
      <c r="AI434" s="3411"/>
    </row>
    <row r="435" spans="5:35" s="3405" customFormat="1" x14ac:dyDescent="0.2">
      <c r="E435" s="3406"/>
      <c r="G435" s="3406"/>
      <c r="M435" s="3407"/>
      <c r="N435" s="3408"/>
      <c r="R435" s="3409"/>
      <c r="S435" s="3409"/>
      <c r="T435" s="3409"/>
      <c r="U435" s="3409"/>
      <c r="AH435" s="3410"/>
      <c r="AI435" s="3411"/>
    </row>
    <row r="436" spans="5:35" s="3405" customFormat="1" x14ac:dyDescent="0.2">
      <c r="E436" s="3406"/>
      <c r="G436" s="3406"/>
      <c r="M436" s="3407"/>
      <c r="N436" s="3408"/>
      <c r="R436" s="3409"/>
      <c r="S436" s="3409"/>
      <c r="T436" s="3409"/>
      <c r="U436" s="3409"/>
      <c r="AH436" s="3410"/>
      <c r="AI436" s="3411"/>
    </row>
    <row r="437" spans="5:35" s="3405" customFormat="1" x14ac:dyDescent="0.2">
      <c r="E437" s="3406"/>
      <c r="G437" s="3406"/>
      <c r="M437" s="3407"/>
      <c r="N437" s="3408"/>
      <c r="R437" s="3409"/>
      <c r="S437" s="3409"/>
      <c r="T437" s="3409"/>
      <c r="U437" s="3409"/>
      <c r="AH437" s="3410"/>
      <c r="AI437" s="3411"/>
    </row>
    <row r="438" spans="5:35" s="3405" customFormat="1" x14ac:dyDescent="0.2">
      <c r="E438" s="3406"/>
      <c r="G438" s="3406"/>
      <c r="M438" s="3407"/>
      <c r="N438" s="3408"/>
      <c r="R438" s="3409"/>
      <c r="S438" s="3409"/>
      <c r="T438" s="3409"/>
      <c r="U438" s="3409"/>
      <c r="AH438" s="3410"/>
      <c r="AI438" s="3411"/>
    </row>
    <row r="439" spans="5:35" s="3405" customFormat="1" x14ac:dyDescent="0.2">
      <c r="E439" s="3406"/>
      <c r="G439" s="3406"/>
      <c r="M439" s="3407"/>
      <c r="N439" s="3408"/>
      <c r="R439" s="3409"/>
      <c r="S439" s="3409"/>
      <c r="T439" s="3409"/>
      <c r="U439" s="3409"/>
      <c r="AH439" s="3410"/>
      <c r="AI439" s="3411"/>
    </row>
    <row r="440" spans="5:35" s="3405" customFormat="1" x14ac:dyDescent="0.2">
      <c r="E440" s="3406"/>
      <c r="G440" s="3406"/>
      <c r="M440" s="3407"/>
      <c r="N440" s="3408"/>
      <c r="R440" s="3409"/>
      <c r="S440" s="3409"/>
      <c r="T440" s="3409"/>
      <c r="U440" s="3409"/>
      <c r="AH440" s="3410"/>
      <c r="AI440" s="3411"/>
    </row>
    <row r="441" spans="5:35" s="3405" customFormat="1" x14ac:dyDescent="0.2">
      <c r="E441" s="3406"/>
      <c r="G441" s="3406"/>
      <c r="M441" s="3407"/>
      <c r="N441" s="3408"/>
      <c r="R441" s="3409"/>
      <c r="S441" s="3409"/>
      <c r="T441" s="3409"/>
      <c r="U441" s="3409"/>
      <c r="AH441" s="3410"/>
      <c r="AI441" s="3411"/>
    </row>
    <row r="442" spans="5:35" s="3405" customFormat="1" x14ac:dyDescent="0.2">
      <c r="E442" s="3406"/>
      <c r="G442" s="3406"/>
      <c r="M442" s="3407"/>
      <c r="N442" s="3408"/>
      <c r="R442" s="3409"/>
      <c r="S442" s="3409"/>
      <c r="T442" s="3409"/>
      <c r="U442" s="3409"/>
      <c r="AH442" s="3410"/>
      <c r="AI442" s="3411"/>
    </row>
    <row r="443" spans="5:35" s="3405" customFormat="1" x14ac:dyDescent="0.2">
      <c r="E443" s="3406"/>
      <c r="G443" s="3406"/>
      <c r="M443" s="3407"/>
      <c r="N443" s="3408"/>
      <c r="R443" s="3409"/>
      <c r="S443" s="3409"/>
      <c r="T443" s="3409"/>
      <c r="U443" s="3409"/>
      <c r="AH443" s="3410"/>
      <c r="AI443" s="3411"/>
    </row>
    <row r="444" spans="5:35" s="3405" customFormat="1" x14ac:dyDescent="0.2">
      <c r="E444" s="3406"/>
      <c r="G444" s="3406"/>
      <c r="M444" s="3407"/>
      <c r="N444" s="3408"/>
      <c r="R444" s="3409"/>
      <c r="S444" s="3409"/>
      <c r="T444" s="3409"/>
      <c r="U444" s="3409"/>
      <c r="AH444" s="3410"/>
      <c r="AI444" s="3411"/>
    </row>
    <row r="445" spans="5:35" s="3405" customFormat="1" x14ac:dyDescent="0.2">
      <c r="E445" s="3406"/>
      <c r="G445" s="3406"/>
      <c r="M445" s="3407"/>
      <c r="N445" s="3408"/>
      <c r="R445" s="3409"/>
      <c r="S445" s="3409"/>
      <c r="T445" s="3409"/>
      <c r="U445" s="3409"/>
      <c r="AH445" s="3410"/>
      <c r="AI445" s="3411"/>
    </row>
    <row r="446" spans="5:35" s="3405" customFormat="1" x14ac:dyDescent="0.2">
      <c r="E446" s="3406"/>
      <c r="G446" s="3406"/>
      <c r="M446" s="3407"/>
      <c r="N446" s="3408"/>
      <c r="R446" s="3409"/>
      <c r="S446" s="3409"/>
      <c r="T446" s="3409"/>
      <c r="U446" s="3409"/>
      <c r="AH446" s="3410"/>
      <c r="AI446" s="3411"/>
    </row>
    <row r="447" spans="5:35" s="3405" customFormat="1" x14ac:dyDescent="0.2">
      <c r="E447" s="3406"/>
      <c r="G447" s="3406"/>
      <c r="M447" s="3407"/>
      <c r="N447" s="3408"/>
      <c r="R447" s="3409"/>
      <c r="S447" s="3409"/>
      <c r="T447" s="3409"/>
      <c r="U447" s="3409"/>
      <c r="AH447" s="3410"/>
      <c r="AI447" s="3411"/>
    </row>
    <row r="448" spans="5:35" s="3405" customFormat="1" x14ac:dyDescent="0.2">
      <c r="E448" s="3406"/>
      <c r="G448" s="3406"/>
      <c r="M448" s="3407"/>
      <c r="N448" s="3408"/>
      <c r="R448" s="3409"/>
      <c r="S448" s="3409"/>
      <c r="T448" s="3409"/>
      <c r="U448" s="3409"/>
      <c r="AH448" s="3410"/>
      <c r="AI448" s="3411"/>
    </row>
    <row r="449" spans="5:35" s="3405" customFormat="1" x14ac:dyDescent="0.2">
      <c r="E449" s="3406"/>
      <c r="G449" s="3406"/>
      <c r="M449" s="3407"/>
      <c r="N449" s="3408"/>
      <c r="R449" s="3409"/>
      <c r="S449" s="3409"/>
      <c r="T449" s="3409"/>
      <c r="U449" s="3409"/>
      <c r="AH449" s="3410"/>
      <c r="AI449" s="3411"/>
    </row>
    <row r="450" spans="5:35" s="3405" customFormat="1" x14ac:dyDescent="0.2">
      <c r="E450" s="3406"/>
      <c r="G450" s="3406"/>
      <c r="M450" s="3407"/>
      <c r="N450" s="3408"/>
      <c r="R450" s="3409"/>
      <c r="S450" s="3409"/>
      <c r="T450" s="3409"/>
      <c r="U450" s="3409"/>
      <c r="AH450" s="3410"/>
      <c r="AI450" s="3411"/>
    </row>
    <row r="451" spans="5:35" s="3405" customFormat="1" x14ac:dyDescent="0.2">
      <c r="E451" s="3406"/>
      <c r="G451" s="3406"/>
      <c r="M451" s="3407"/>
      <c r="N451" s="3408"/>
      <c r="R451" s="3409"/>
      <c r="S451" s="3409"/>
      <c r="T451" s="3409"/>
      <c r="U451" s="3409"/>
      <c r="AH451" s="3410"/>
      <c r="AI451" s="3411"/>
    </row>
    <row r="452" spans="5:35" s="3405" customFormat="1" x14ac:dyDescent="0.2">
      <c r="E452" s="3406"/>
      <c r="G452" s="3406"/>
      <c r="M452" s="3407"/>
      <c r="N452" s="3408"/>
      <c r="R452" s="3409"/>
      <c r="S452" s="3409"/>
      <c r="T452" s="3409"/>
      <c r="U452" s="3409"/>
      <c r="AH452" s="3410"/>
      <c r="AI452" s="3411"/>
    </row>
    <row r="453" spans="5:35" s="3405" customFormat="1" x14ac:dyDescent="0.2">
      <c r="E453" s="3406"/>
      <c r="G453" s="3406"/>
      <c r="M453" s="3407"/>
      <c r="N453" s="3408"/>
      <c r="R453" s="3409"/>
      <c r="S453" s="3409"/>
      <c r="T453" s="3409"/>
      <c r="U453" s="3409"/>
      <c r="AH453" s="3410"/>
      <c r="AI453" s="3411"/>
    </row>
    <row r="454" spans="5:35" s="3405" customFormat="1" x14ac:dyDescent="0.2">
      <c r="E454" s="3406"/>
      <c r="G454" s="3406"/>
      <c r="M454" s="3407"/>
      <c r="N454" s="3408"/>
      <c r="R454" s="3409"/>
      <c r="S454" s="3409"/>
      <c r="T454" s="3409"/>
      <c r="U454" s="3409"/>
      <c r="AH454" s="3410"/>
      <c r="AI454" s="3411"/>
    </row>
    <row r="455" spans="5:35" s="3405" customFormat="1" x14ac:dyDescent="0.2">
      <c r="E455" s="3406"/>
      <c r="G455" s="3406"/>
      <c r="M455" s="3407"/>
      <c r="N455" s="3408"/>
      <c r="R455" s="3409"/>
      <c r="S455" s="3409"/>
      <c r="T455" s="3409"/>
      <c r="U455" s="3409"/>
      <c r="AH455" s="3410"/>
      <c r="AI455" s="3411"/>
    </row>
    <row r="456" spans="5:35" s="3405" customFormat="1" x14ac:dyDescent="0.2">
      <c r="E456" s="3406"/>
      <c r="G456" s="3406"/>
      <c r="M456" s="3407"/>
      <c r="N456" s="3408"/>
      <c r="R456" s="3409"/>
      <c r="S456" s="3409"/>
      <c r="T456" s="3409"/>
      <c r="U456" s="3409"/>
      <c r="AH456" s="3410"/>
      <c r="AI456" s="3411"/>
    </row>
    <row r="457" spans="5:35" s="3405" customFormat="1" x14ac:dyDescent="0.2">
      <c r="E457" s="3406"/>
      <c r="G457" s="3406"/>
      <c r="M457" s="3407"/>
      <c r="N457" s="3408"/>
      <c r="R457" s="3409"/>
      <c r="S457" s="3409"/>
      <c r="T457" s="3409"/>
      <c r="U457" s="3409"/>
      <c r="AH457" s="3410"/>
      <c r="AI457" s="3411"/>
    </row>
    <row r="458" spans="5:35" s="3405" customFormat="1" x14ac:dyDescent="0.2">
      <c r="E458" s="3406"/>
      <c r="G458" s="3406"/>
      <c r="M458" s="3407"/>
      <c r="N458" s="3408"/>
      <c r="R458" s="3409"/>
      <c r="S458" s="3409"/>
      <c r="T458" s="3409"/>
      <c r="U458" s="3409"/>
      <c r="AH458" s="3410"/>
      <c r="AI458" s="3411"/>
    </row>
    <row r="459" spans="5:35" s="3405" customFormat="1" x14ac:dyDescent="0.2">
      <c r="E459" s="3406"/>
      <c r="G459" s="3406"/>
      <c r="M459" s="3407"/>
      <c r="N459" s="3408"/>
      <c r="R459" s="3409"/>
      <c r="S459" s="3409"/>
      <c r="T459" s="3409"/>
      <c r="U459" s="3409"/>
      <c r="AH459" s="3410"/>
      <c r="AI459" s="3411"/>
    </row>
    <row r="460" spans="5:35" s="3405" customFormat="1" x14ac:dyDescent="0.2">
      <c r="E460" s="3406"/>
      <c r="G460" s="3406"/>
      <c r="M460" s="3407"/>
      <c r="N460" s="3408"/>
      <c r="R460" s="3409"/>
      <c r="S460" s="3409"/>
      <c r="T460" s="3409"/>
      <c r="U460" s="3409"/>
      <c r="AH460" s="3410"/>
      <c r="AI460" s="3411"/>
    </row>
    <row r="461" spans="5:35" s="3405" customFormat="1" x14ac:dyDescent="0.2">
      <c r="E461" s="3406"/>
      <c r="G461" s="3406"/>
      <c r="M461" s="3407"/>
      <c r="N461" s="3408"/>
      <c r="R461" s="3409"/>
      <c r="S461" s="3409"/>
      <c r="T461" s="3409"/>
      <c r="U461" s="3409"/>
      <c r="AH461" s="3410"/>
      <c r="AI461" s="3411"/>
    </row>
    <row r="462" spans="5:35" s="3405" customFormat="1" x14ac:dyDescent="0.2">
      <c r="E462" s="3406"/>
      <c r="G462" s="3406"/>
      <c r="M462" s="3407"/>
      <c r="N462" s="3408"/>
      <c r="R462" s="3409"/>
      <c r="S462" s="3409"/>
      <c r="T462" s="3409"/>
      <c r="U462" s="3409"/>
      <c r="AH462" s="3410"/>
      <c r="AI462" s="3411"/>
    </row>
    <row r="463" spans="5:35" s="3405" customFormat="1" x14ac:dyDescent="0.2">
      <c r="E463" s="3406"/>
      <c r="G463" s="3406"/>
      <c r="M463" s="3407"/>
      <c r="N463" s="3408"/>
      <c r="R463" s="3409"/>
      <c r="S463" s="3409"/>
      <c r="T463" s="3409"/>
      <c r="U463" s="3409"/>
      <c r="AH463" s="3410"/>
      <c r="AI463" s="3411"/>
    </row>
    <row r="464" spans="5:35" s="3405" customFormat="1" x14ac:dyDescent="0.2">
      <c r="E464" s="3406"/>
      <c r="G464" s="3406"/>
      <c r="M464" s="3407"/>
      <c r="N464" s="3408"/>
      <c r="R464" s="3409"/>
      <c r="S464" s="3409"/>
      <c r="T464" s="3409"/>
      <c r="U464" s="3409"/>
      <c r="AH464" s="3410"/>
      <c r="AI464" s="3411"/>
    </row>
    <row r="465" spans="5:35" s="3405" customFormat="1" x14ac:dyDescent="0.2">
      <c r="E465" s="3406"/>
      <c r="G465" s="3406"/>
      <c r="M465" s="3407"/>
      <c r="N465" s="3408"/>
      <c r="R465" s="3409"/>
      <c r="S465" s="3409"/>
      <c r="T465" s="3409"/>
      <c r="U465" s="3409"/>
      <c r="AH465" s="3410"/>
      <c r="AI465" s="3411"/>
    </row>
    <row r="466" spans="5:35" s="3405" customFormat="1" x14ac:dyDescent="0.2">
      <c r="E466" s="3406"/>
      <c r="G466" s="3406"/>
      <c r="M466" s="3407"/>
      <c r="N466" s="3408"/>
      <c r="R466" s="3409"/>
      <c r="S466" s="3409"/>
      <c r="T466" s="3409"/>
      <c r="U466" s="3409"/>
      <c r="AH466" s="3410"/>
      <c r="AI466" s="3411"/>
    </row>
    <row r="467" spans="5:35" s="3405" customFormat="1" x14ac:dyDescent="0.2">
      <c r="E467" s="3406"/>
      <c r="G467" s="3406"/>
      <c r="M467" s="3407"/>
      <c r="N467" s="3408"/>
      <c r="R467" s="3409"/>
      <c r="S467" s="3409"/>
      <c r="T467" s="3409"/>
      <c r="U467" s="3409"/>
      <c r="AH467" s="3410"/>
      <c r="AI467" s="3411"/>
    </row>
    <row r="468" spans="5:35" s="3405" customFormat="1" x14ac:dyDescent="0.2">
      <c r="E468" s="3406"/>
      <c r="G468" s="3406"/>
      <c r="M468" s="3407"/>
      <c r="N468" s="3408"/>
      <c r="R468" s="3409"/>
      <c r="S468" s="3409"/>
      <c r="T468" s="3409"/>
      <c r="U468" s="3409"/>
      <c r="AH468" s="3410"/>
      <c r="AI468" s="3411"/>
    </row>
    <row r="469" spans="5:35" s="3405" customFormat="1" x14ac:dyDescent="0.2">
      <c r="E469" s="3406"/>
      <c r="G469" s="3406"/>
      <c r="M469" s="3407"/>
      <c r="N469" s="3408"/>
      <c r="R469" s="3409"/>
      <c r="S469" s="3409"/>
      <c r="T469" s="3409"/>
      <c r="U469" s="3409"/>
      <c r="AH469" s="3410"/>
      <c r="AI469" s="3411"/>
    </row>
    <row r="470" spans="5:35" s="3405" customFormat="1" x14ac:dyDescent="0.2">
      <c r="E470" s="3406"/>
      <c r="G470" s="3406"/>
      <c r="M470" s="3407"/>
      <c r="N470" s="3408"/>
      <c r="R470" s="3409"/>
      <c r="S470" s="3409"/>
      <c r="T470" s="3409"/>
      <c r="U470" s="3409"/>
      <c r="AH470" s="3410"/>
      <c r="AI470" s="3411"/>
    </row>
    <row r="471" spans="5:35" s="3405" customFormat="1" x14ac:dyDescent="0.2">
      <c r="E471" s="3406"/>
      <c r="G471" s="3406"/>
      <c r="M471" s="3407"/>
      <c r="N471" s="3408"/>
      <c r="R471" s="3409"/>
      <c r="S471" s="3409"/>
      <c r="T471" s="3409"/>
      <c r="U471" s="3409"/>
      <c r="AH471" s="3410"/>
      <c r="AI471" s="3411"/>
    </row>
    <row r="472" spans="5:35" s="3405" customFormat="1" x14ac:dyDescent="0.2">
      <c r="E472" s="3406"/>
      <c r="G472" s="3406"/>
      <c r="M472" s="3407"/>
      <c r="N472" s="3408"/>
      <c r="R472" s="3409"/>
      <c r="S472" s="3409"/>
      <c r="T472" s="3409"/>
      <c r="U472" s="3409"/>
      <c r="AH472" s="3410"/>
      <c r="AI472" s="3411"/>
    </row>
    <row r="473" spans="5:35" s="3405" customFormat="1" x14ac:dyDescent="0.2">
      <c r="E473" s="3406"/>
      <c r="G473" s="3406"/>
      <c r="M473" s="3407"/>
      <c r="N473" s="3408"/>
      <c r="R473" s="3409"/>
      <c r="S473" s="3409"/>
      <c r="T473" s="3409"/>
      <c r="U473" s="3409"/>
      <c r="AH473" s="3410"/>
      <c r="AI473" s="3411"/>
    </row>
    <row r="474" spans="5:35" s="3405" customFormat="1" x14ac:dyDescent="0.2">
      <c r="E474" s="3406"/>
      <c r="G474" s="3406"/>
      <c r="M474" s="3407"/>
      <c r="N474" s="3408"/>
      <c r="R474" s="3409"/>
      <c r="S474" s="3409"/>
      <c r="T474" s="3409"/>
      <c r="U474" s="3409"/>
      <c r="AH474" s="3410"/>
      <c r="AI474" s="3411"/>
    </row>
    <row r="475" spans="5:35" s="3405" customFormat="1" x14ac:dyDescent="0.2">
      <c r="E475" s="3406"/>
      <c r="G475" s="3406"/>
      <c r="M475" s="3407"/>
      <c r="N475" s="3408"/>
      <c r="R475" s="3409"/>
      <c r="S475" s="3409"/>
      <c r="T475" s="3409"/>
      <c r="U475" s="3409"/>
      <c r="AH475" s="3410"/>
      <c r="AI475" s="3411"/>
    </row>
    <row r="476" spans="5:35" s="3405" customFormat="1" x14ac:dyDescent="0.2">
      <c r="E476" s="3406"/>
      <c r="G476" s="3406"/>
      <c r="M476" s="3407"/>
      <c r="N476" s="3408"/>
      <c r="R476" s="3409"/>
      <c r="S476" s="3409"/>
      <c r="T476" s="3409"/>
      <c r="U476" s="3409"/>
      <c r="AH476" s="3410"/>
      <c r="AI476" s="3411"/>
    </row>
    <row r="477" spans="5:35" s="3405" customFormat="1" x14ac:dyDescent="0.2">
      <c r="E477" s="3406"/>
      <c r="G477" s="3406"/>
      <c r="M477" s="3407"/>
      <c r="N477" s="3408"/>
      <c r="R477" s="3409"/>
      <c r="S477" s="3409"/>
      <c r="T477" s="3409"/>
      <c r="U477" s="3409"/>
      <c r="AH477" s="3410"/>
      <c r="AI477" s="3411"/>
    </row>
    <row r="478" spans="5:35" s="3405" customFormat="1" x14ac:dyDescent="0.2">
      <c r="E478" s="3406"/>
      <c r="G478" s="3406"/>
      <c r="M478" s="3407"/>
      <c r="N478" s="3408"/>
      <c r="R478" s="3409"/>
      <c r="S478" s="3409"/>
      <c r="T478" s="3409"/>
      <c r="U478" s="3409"/>
      <c r="AH478" s="3410"/>
      <c r="AI478" s="3411"/>
    </row>
    <row r="479" spans="5:35" s="3405" customFormat="1" x14ac:dyDescent="0.2">
      <c r="E479" s="3406"/>
      <c r="G479" s="3406"/>
      <c r="M479" s="3407"/>
      <c r="N479" s="3408"/>
      <c r="R479" s="3409"/>
      <c r="S479" s="3409"/>
      <c r="T479" s="3409"/>
      <c r="U479" s="3409"/>
      <c r="AH479" s="3410"/>
      <c r="AI479" s="3411"/>
    </row>
    <row r="480" spans="5:35" s="3405" customFormat="1" x14ac:dyDescent="0.2">
      <c r="E480" s="3406"/>
      <c r="G480" s="3406"/>
      <c r="M480" s="3407"/>
      <c r="N480" s="3408"/>
      <c r="R480" s="3409"/>
      <c r="S480" s="3409"/>
      <c r="T480" s="3409"/>
      <c r="U480" s="3409"/>
      <c r="AH480" s="3410"/>
      <c r="AI480" s="3411"/>
    </row>
    <row r="481" spans="5:35" s="3405" customFormat="1" x14ac:dyDescent="0.2">
      <c r="E481" s="3406"/>
      <c r="G481" s="3406"/>
      <c r="M481" s="3407"/>
      <c r="N481" s="3408"/>
      <c r="R481" s="3409"/>
      <c r="S481" s="3409"/>
      <c r="T481" s="3409"/>
      <c r="U481" s="3409"/>
      <c r="AH481" s="3410"/>
      <c r="AI481" s="3411"/>
    </row>
    <row r="482" spans="5:35" s="3405" customFormat="1" x14ac:dyDescent="0.2">
      <c r="E482" s="3406"/>
      <c r="G482" s="3406"/>
      <c r="M482" s="3407"/>
      <c r="N482" s="3408"/>
      <c r="R482" s="3409"/>
      <c r="S482" s="3409"/>
      <c r="T482" s="3409"/>
      <c r="U482" s="3409"/>
      <c r="AH482" s="3410"/>
      <c r="AI482" s="3411"/>
    </row>
    <row r="483" spans="5:35" s="3405" customFormat="1" x14ac:dyDescent="0.2">
      <c r="E483" s="3406"/>
      <c r="G483" s="3406"/>
      <c r="M483" s="3407"/>
      <c r="N483" s="3408"/>
      <c r="R483" s="3409"/>
      <c r="S483" s="3409"/>
      <c r="T483" s="3409"/>
      <c r="U483" s="3409"/>
      <c r="AH483" s="3410"/>
      <c r="AI483" s="3411"/>
    </row>
    <row r="484" spans="5:35" s="3405" customFormat="1" x14ac:dyDescent="0.2">
      <c r="E484" s="3406"/>
      <c r="G484" s="3406"/>
      <c r="M484" s="3407"/>
      <c r="N484" s="3408"/>
      <c r="R484" s="3409"/>
      <c r="S484" s="3409"/>
      <c r="T484" s="3409"/>
      <c r="U484" s="3409"/>
      <c r="AH484" s="3410"/>
      <c r="AI484" s="3411"/>
    </row>
    <row r="485" spans="5:35" s="3405" customFormat="1" x14ac:dyDescent="0.2">
      <c r="E485" s="3406"/>
      <c r="G485" s="3406"/>
      <c r="M485" s="3407"/>
      <c r="N485" s="3408"/>
      <c r="R485" s="3409"/>
      <c r="S485" s="3409"/>
      <c r="T485" s="3409"/>
      <c r="U485" s="3409"/>
      <c r="AH485" s="3410"/>
      <c r="AI485" s="3411"/>
    </row>
    <row r="486" spans="5:35" s="3405" customFormat="1" x14ac:dyDescent="0.2">
      <c r="E486" s="3406"/>
      <c r="G486" s="3406"/>
      <c r="M486" s="3407"/>
      <c r="N486" s="3408"/>
      <c r="R486" s="3409"/>
      <c r="S486" s="3409"/>
      <c r="T486" s="3409"/>
      <c r="U486" s="3409"/>
      <c r="AH486" s="3410"/>
      <c r="AI486" s="3411"/>
    </row>
    <row r="487" spans="5:35" s="3405" customFormat="1" x14ac:dyDescent="0.2">
      <c r="E487" s="3406"/>
      <c r="G487" s="3406"/>
      <c r="M487" s="3407"/>
      <c r="N487" s="3408"/>
      <c r="R487" s="3409"/>
      <c r="S487" s="3409"/>
      <c r="T487" s="3409"/>
      <c r="U487" s="3409"/>
      <c r="AH487" s="3410"/>
      <c r="AI487" s="3411"/>
    </row>
    <row r="488" spans="5:35" s="3405" customFormat="1" x14ac:dyDescent="0.2">
      <c r="E488" s="3406"/>
      <c r="G488" s="3406"/>
      <c r="M488" s="3407"/>
      <c r="N488" s="3408"/>
      <c r="R488" s="3409"/>
      <c r="S488" s="3409"/>
      <c r="T488" s="3409"/>
      <c r="U488" s="3409"/>
      <c r="AH488" s="3410"/>
      <c r="AI488" s="3411"/>
    </row>
    <row r="489" spans="5:35" s="3405" customFormat="1" x14ac:dyDescent="0.2">
      <c r="E489" s="3406"/>
      <c r="G489" s="3406"/>
      <c r="M489" s="3407"/>
      <c r="N489" s="3408"/>
      <c r="R489" s="3409"/>
      <c r="S489" s="3409"/>
      <c r="T489" s="3409"/>
      <c r="U489" s="3409"/>
      <c r="AH489" s="3410"/>
      <c r="AI489" s="3411"/>
    </row>
    <row r="490" spans="5:35" s="3405" customFormat="1" x14ac:dyDescent="0.2">
      <c r="E490" s="3406"/>
      <c r="G490" s="3406"/>
      <c r="M490" s="3407"/>
      <c r="N490" s="3408"/>
      <c r="R490" s="3409"/>
      <c r="S490" s="3409"/>
      <c r="T490" s="3409"/>
      <c r="U490" s="3409"/>
      <c r="AH490" s="3410"/>
      <c r="AI490" s="3411"/>
    </row>
    <row r="491" spans="5:35" s="3405" customFormat="1" x14ac:dyDescent="0.2">
      <c r="E491" s="3406"/>
      <c r="G491" s="3406"/>
      <c r="M491" s="3407"/>
      <c r="N491" s="3408"/>
      <c r="R491" s="3409"/>
      <c r="S491" s="3409"/>
      <c r="T491" s="3409"/>
      <c r="U491" s="3409"/>
      <c r="AH491" s="3410"/>
      <c r="AI491" s="3411"/>
    </row>
    <row r="492" spans="5:35" s="3405" customFormat="1" x14ac:dyDescent="0.2">
      <c r="E492" s="3406"/>
      <c r="G492" s="3406"/>
      <c r="M492" s="3407"/>
      <c r="N492" s="3408"/>
      <c r="R492" s="3409"/>
      <c r="S492" s="3409"/>
      <c r="T492" s="3409"/>
      <c r="U492" s="3409"/>
      <c r="AH492" s="3410"/>
      <c r="AI492" s="3411"/>
    </row>
    <row r="493" spans="5:35" s="3405" customFormat="1" x14ac:dyDescent="0.2">
      <c r="E493" s="3406"/>
      <c r="G493" s="3406"/>
      <c r="M493" s="3407"/>
      <c r="N493" s="3408"/>
      <c r="R493" s="3409"/>
      <c r="S493" s="3409"/>
      <c r="T493" s="3409"/>
      <c r="U493" s="3409"/>
      <c r="AH493" s="3410"/>
      <c r="AI493" s="3411"/>
    </row>
    <row r="494" spans="5:35" s="3405" customFormat="1" x14ac:dyDescent="0.2">
      <c r="E494" s="3406"/>
      <c r="G494" s="3406"/>
      <c r="M494" s="3407"/>
      <c r="N494" s="3408"/>
      <c r="R494" s="3409"/>
      <c r="S494" s="3409"/>
      <c r="T494" s="3409"/>
      <c r="U494" s="3409"/>
      <c r="AH494" s="3410"/>
      <c r="AI494" s="3411"/>
    </row>
    <row r="495" spans="5:35" s="3405" customFormat="1" x14ac:dyDescent="0.2">
      <c r="E495" s="3406"/>
      <c r="G495" s="3406"/>
      <c r="M495" s="3407"/>
      <c r="N495" s="3408"/>
      <c r="R495" s="3409"/>
      <c r="S495" s="3409"/>
      <c r="T495" s="3409"/>
      <c r="U495" s="3409"/>
      <c r="AH495" s="3410"/>
      <c r="AI495" s="3411"/>
    </row>
    <row r="496" spans="5:35" s="3405" customFormat="1" x14ac:dyDescent="0.2">
      <c r="E496" s="3406"/>
      <c r="G496" s="3406"/>
      <c r="M496" s="3407"/>
      <c r="N496" s="3408"/>
      <c r="R496" s="3409"/>
      <c r="S496" s="3409"/>
      <c r="T496" s="3409"/>
      <c r="U496" s="3409"/>
      <c r="AH496" s="3410"/>
      <c r="AI496" s="3411"/>
    </row>
    <row r="497" spans="5:35" s="3405" customFormat="1" x14ac:dyDescent="0.2">
      <c r="E497" s="3406"/>
      <c r="G497" s="3406"/>
      <c r="M497" s="3407"/>
      <c r="N497" s="3408"/>
      <c r="R497" s="3409"/>
      <c r="S497" s="3409"/>
      <c r="T497" s="3409"/>
      <c r="U497" s="3409"/>
      <c r="AH497" s="3410"/>
      <c r="AI497" s="3411"/>
    </row>
    <row r="498" spans="5:35" s="3405" customFormat="1" x14ac:dyDescent="0.2">
      <c r="E498" s="3406"/>
      <c r="G498" s="3406"/>
      <c r="M498" s="3407"/>
      <c r="N498" s="3408"/>
      <c r="R498" s="3409"/>
      <c r="S498" s="3409"/>
      <c r="T498" s="3409"/>
      <c r="U498" s="3409"/>
      <c r="AH498" s="3410"/>
      <c r="AI498" s="3411"/>
    </row>
    <row r="499" spans="5:35" s="3405" customFormat="1" x14ac:dyDescent="0.2">
      <c r="E499" s="3406"/>
      <c r="G499" s="3406"/>
      <c r="M499" s="3407"/>
      <c r="N499" s="3408"/>
      <c r="R499" s="3409"/>
      <c r="S499" s="3409"/>
      <c r="T499" s="3409"/>
      <c r="U499" s="3409"/>
      <c r="AH499" s="3410"/>
      <c r="AI499" s="3411"/>
    </row>
    <row r="500" spans="5:35" s="3405" customFormat="1" x14ac:dyDescent="0.2">
      <c r="E500" s="3406"/>
      <c r="G500" s="3406"/>
      <c r="M500" s="3407"/>
      <c r="N500" s="3408"/>
      <c r="R500" s="3409"/>
      <c r="S500" s="3409"/>
      <c r="T500" s="3409"/>
      <c r="U500" s="3409"/>
      <c r="AH500" s="3410"/>
      <c r="AI500" s="3411"/>
    </row>
    <row r="501" spans="5:35" s="3405" customFormat="1" x14ac:dyDescent="0.2">
      <c r="E501" s="3406"/>
      <c r="G501" s="3406"/>
      <c r="M501" s="3407"/>
      <c r="N501" s="3408"/>
      <c r="R501" s="3409"/>
      <c r="S501" s="3409"/>
      <c r="T501" s="3409"/>
      <c r="U501" s="3409"/>
      <c r="AH501" s="3410"/>
      <c r="AI501" s="3411"/>
    </row>
    <row r="502" spans="5:35" s="3405" customFormat="1" x14ac:dyDescent="0.2">
      <c r="E502" s="3406"/>
      <c r="G502" s="3406"/>
      <c r="M502" s="3407"/>
      <c r="N502" s="3408"/>
      <c r="R502" s="3409"/>
      <c r="S502" s="3409"/>
      <c r="T502" s="3409"/>
      <c r="U502" s="3409"/>
      <c r="AH502" s="3410"/>
      <c r="AI502" s="3411"/>
    </row>
    <row r="503" spans="5:35" s="3405" customFormat="1" x14ac:dyDescent="0.2">
      <c r="E503" s="3406"/>
      <c r="G503" s="3406"/>
      <c r="M503" s="3407"/>
      <c r="N503" s="3408"/>
      <c r="R503" s="3409"/>
      <c r="S503" s="3409"/>
      <c r="T503" s="3409"/>
      <c r="U503" s="3409"/>
      <c r="AH503" s="3410"/>
      <c r="AI503" s="3411"/>
    </row>
    <row r="504" spans="5:35" s="3405" customFormat="1" x14ac:dyDescent="0.2">
      <c r="E504" s="3406"/>
      <c r="G504" s="3406"/>
      <c r="M504" s="3407"/>
      <c r="N504" s="3408"/>
      <c r="R504" s="3409"/>
      <c r="S504" s="3409"/>
      <c r="T504" s="3409"/>
      <c r="U504" s="3409"/>
      <c r="AH504" s="3410"/>
      <c r="AI504" s="3411"/>
    </row>
    <row r="505" spans="5:35" s="3405" customFormat="1" x14ac:dyDescent="0.2">
      <c r="E505" s="3406"/>
      <c r="G505" s="3406"/>
      <c r="M505" s="3407"/>
      <c r="N505" s="3408"/>
      <c r="R505" s="3409"/>
      <c r="S505" s="3409"/>
      <c r="T505" s="3409"/>
      <c r="U505" s="3409"/>
      <c r="AH505" s="3410"/>
      <c r="AI505" s="3411"/>
    </row>
    <row r="506" spans="5:35" s="3405" customFormat="1" x14ac:dyDescent="0.2">
      <c r="E506" s="3406"/>
      <c r="G506" s="3406"/>
      <c r="M506" s="3407"/>
      <c r="N506" s="3408"/>
      <c r="R506" s="3409"/>
      <c r="S506" s="3409"/>
      <c r="T506" s="3409"/>
      <c r="U506" s="3409"/>
      <c r="AH506" s="3410"/>
      <c r="AI506" s="3411"/>
    </row>
    <row r="507" spans="5:35" s="3405" customFormat="1" x14ac:dyDescent="0.2">
      <c r="E507" s="3406"/>
      <c r="G507" s="3406"/>
      <c r="M507" s="3407"/>
      <c r="N507" s="3408"/>
      <c r="R507" s="3409"/>
      <c r="S507" s="3409"/>
      <c r="T507" s="3409"/>
      <c r="U507" s="3409"/>
      <c r="AH507" s="3410"/>
      <c r="AI507" s="3411"/>
    </row>
    <row r="508" spans="5:35" s="3405" customFormat="1" x14ac:dyDescent="0.2">
      <c r="E508" s="3406"/>
      <c r="G508" s="3406"/>
      <c r="M508" s="3407"/>
      <c r="N508" s="3408"/>
      <c r="R508" s="3409"/>
      <c r="S508" s="3409"/>
      <c r="T508" s="3409"/>
      <c r="U508" s="3409"/>
      <c r="AH508" s="3410"/>
      <c r="AI508" s="3411"/>
    </row>
    <row r="509" spans="5:35" s="3405" customFormat="1" x14ac:dyDescent="0.2">
      <c r="E509" s="3406"/>
      <c r="G509" s="3406"/>
      <c r="M509" s="3407"/>
      <c r="N509" s="3408"/>
      <c r="R509" s="3409"/>
      <c r="S509" s="3409"/>
      <c r="T509" s="3409"/>
      <c r="U509" s="3409"/>
      <c r="AH509" s="3410"/>
      <c r="AI509" s="3411"/>
    </row>
    <row r="510" spans="5:35" s="3405" customFormat="1" x14ac:dyDescent="0.2">
      <c r="E510" s="3406"/>
      <c r="G510" s="3406"/>
      <c r="M510" s="3407"/>
      <c r="N510" s="3408"/>
      <c r="R510" s="3409"/>
      <c r="S510" s="3409"/>
      <c r="T510" s="3409"/>
      <c r="U510" s="3409"/>
      <c r="AH510" s="3410"/>
      <c r="AI510" s="3411"/>
    </row>
    <row r="511" spans="5:35" s="3405" customFormat="1" x14ac:dyDescent="0.2">
      <c r="E511" s="3406"/>
      <c r="G511" s="3406"/>
      <c r="M511" s="3407"/>
      <c r="N511" s="3408"/>
      <c r="R511" s="3409"/>
      <c r="S511" s="3409"/>
      <c r="T511" s="3409"/>
      <c r="U511" s="3409"/>
      <c r="AH511" s="3410"/>
      <c r="AI511" s="3411"/>
    </row>
    <row r="512" spans="5:35" s="3405" customFormat="1" x14ac:dyDescent="0.2">
      <c r="E512" s="3406"/>
      <c r="G512" s="3406"/>
      <c r="M512" s="3407"/>
      <c r="N512" s="3408"/>
      <c r="R512" s="3409"/>
      <c r="S512" s="3409"/>
      <c r="T512" s="3409"/>
      <c r="U512" s="3409"/>
      <c r="AH512" s="3410"/>
      <c r="AI512" s="3411"/>
    </row>
    <row r="513" spans="5:35" s="3405" customFormat="1" x14ac:dyDescent="0.2">
      <c r="E513" s="3406"/>
      <c r="G513" s="3406"/>
      <c r="M513" s="3407"/>
      <c r="N513" s="3408"/>
      <c r="R513" s="3409"/>
      <c r="S513" s="3409"/>
      <c r="T513" s="3409"/>
      <c r="U513" s="3409"/>
      <c r="AH513" s="3410"/>
      <c r="AI513" s="3411"/>
    </row>
    <row r="514" spans="5:35" s="3405" customFormat="1" x14ac:dyDescent="0.2">
      <c r="E514" s="3406"/>
      <c r="G514" s="3406"/>
      <c r="M514" s="3407"/>
      <c r="N514" s="3408"/>
      <c r="R514" s="3409"/>
      <c r="S514" s="3409"/>
      <c r="T514" s="3409"/>
      <c r="U514" s="3409"/>
      <c r="AH514" s="3410"/>
      <c r="AI514" s="3411"/>
    </row>
    <row r="515" spans="5:35" s="3405" customFormat="1" x14ac:dyDescent="0.2">
      <c r="E515" s="3406"/>
      <c r="G515" s="3406"/>
      <c r="M515" s="3407"/>
      <c r="N515" s="3408"/>
      <c r="R515" s="3409"/>
      <c r="S515" s="3409"/>
      <c r="T515" s="3409"/>
      <c r="U515" s="3409"/>
      <c r="AH515" s="3410"/>
      <c r="AI515" s="3411"/>
    </row>
    <row r="516" spans="5:35" s="3405" customFormat="1" x14ac:dyDescent="0.2">
      <c r="E516" s="3406"/>
      <c r="G516" s="3406"/>
      <c r="M516" s="3407"/>
      <c r="N516" s="3408"/>
      <c r="R516" s="3409"/>
      <c r="S516" s="3409"/>
      <c r="T516" s="3409"/>
      <c r="U516" s="3409"/>
      <c r="AH516" s="3410"/>
      <c r="AI516" s="3411"/>
    </row>
    <row r="517" spans="5:35" s="3405" customFormat="1" x14ac:dyDescent="0.2">
      <c r="E517" s="3406"/>
      <c r="G517" s="3406"/>
      <c r="M517" s="3407"/>
      <c r="N517" s="3408"/>
      <c r="R517" s="3409"/>
      <c r="S517" s="3409"/>
      <c r="T517" s="3409"/>
      <c r="U517" s="3409"/>
      <c r="AH517" s="3410"/>
      <c r="AI517" s="3411"/>
    </row>
    <row r="518" spans="5:35" s="3405" customFormat="1" x14ac:dyDescent="0.2">
      <c r="E518" s="3406"/>
      <c r="G518" s="3406"/>
      <c r="M518" s="3407"/>
      <c r="N518" s="3408"/>
      <c r="R518" s="3409"/>
      <c r="S518" s="3409"/>
      <c r="T518" s="3409"/>
      <c r="U518" s="3409"/>
      <c r="AH518" s="3410"/>
      <c r="AI518" s="3411"/>
    </row>
    <row r="519" spans="5:35" s="3405" customFormat="1" x14ac:dyDescent="0.2">
      <c r="E519" s="3406"/>
      <c r="G519" s="3406"/>
      <c r="M519" s="3407"/>
      <c r="N519" s="3408"/>
      <c r="R519" s="3409"/>
      <c r="S519" s="3409"/>
      <c r="T519" s="3409"/>
      <c r="U519" s="3409"/>
      <c r="AH519" s="3410"/>
      <c r="AI519" s="3411"/>
    </row>
    <row r="520" spans="5:35" s="3405" customFormat="1" x14ac:dyDescent="0.2">
      <c r="E520" s="3406"/>
      <c r="G520" s="3406"/>
      <c r="M520" s="3407"/>
      <c r="N520" s="3408"/>
      <c r="R520" s="3409"/>
      <c r="S520" s="3409"/>
      <c r="T520" s="3409"/>
      <c r="U520" s="3409"/>
      <c r="AH520" s="3410"/>
      <c r="AI520" s="3411"/>
    </row>
    <row r="521" spans="5:35" s="3405" customFormat="1" x14ac:dyDescent="0.2">
      <c r="E521" s="3406"/>
      <c r="G521" s="3406"/>
      <c r="M521" s="3407"/>
      <c r="N521" s="3408"/>
      <c r="R521" s="3409"/>
      <c r="S521" s="3409"/>
      <c r="T521" s="3409"/>
      <c r="U521" s="3409"/>
      <c r="AH521" s="3410"/>
      <c r="AI521" s="3411"/>
    </row>
    <row r="522" spans="5:35" s="3405" customFormat="1" x14ac:dyDescent="0.2">
      <c r="E522" s="3406"/>
      <c r="G522" s="3406"/>
      <c r="M522" s="3407"/>
      <c r="N522" s="3408"/>
      <c r="R522" s="3409"/>
      <c r="S522" s="3409"/>
      <c r="T522" s="3409"/>
      <c r="U522" s="3409"/>
      <c r="AH522" s="3410"/>
      <c r="AI522" s="3411"/>
    </row>
    <row r="523" spans="5:35" s="3405" customFormat="1" x14ac:dyDescent="0.2">
      <c r="E523" s="3406"/>
      <c r="G523" s="3406"/>
      <c r="M523" s="3407"/>
      <c r="N523" s="3408"/>
      <c r="R523" s="3409"/>
      <c r="S523" s="3409"/>
      <c r="T523" s="3409"/>
      <c r="U523" s="3409"/>
      <c r="AH523" s="3410"/>
      <c r="AI523" s="3411"/>
    </row>
    <row r="524" spans="5:35" s="3405" customFormat="1" x14ac:dyDescent="0.2">
      <c r="E524" s="3406"/>
      <c r="G524" s="3406"/>
      <c r="M524" s="3407"/>
      <c r="N524" s="3408"/>
      <c r="R524" s="3409"/>
      <c r="S524" s="3409"/>
      <c r="T524" s="3409"/>
      <c r="U524" s="3409"/>
      <c r="AH524" s="3410"/>
      <c r="AI524" s="3411"/>
    </row>
    <row r="525" spans="5:35" s="3405" customFormat="1" x14ac:dyDescent="0.2">
      <c r="E525" s="3406"/>
      <c r="G525" s="3406"/>
      <c r="M525" s="3407"/>
      <c r="N525" s="3408"/>
      <c r="R525" s="3409"/>
      <c r="S525" s="3409"/>
      <c r="T525" s="3409"/>
      <c r="U525" s="3409"/>
      <c r="AH525" s="3410"/>
      <c r="AI525" s="3411"/>
    </row>
    <row r="526" spans="5:35" s="3405" customFormat="1" x14ac:dyDescent="0.2">
      <c r="E526" s="3406"/>
      <c r="G526" s="3406"/>
      <c r="M526" s="3407"/>
      <c r="N526" s="3408"/>
      <c r="R526" s="3409"/>
      <c r="S526" s="3409"/>
      <c r="T526" s="3409"/>
      <c r="U526" s="3409"/>
      <c r="AH526" s="3410"/>
      <c r="AI526" s="3411"/>
    </row>
    <row r="527" spans="5:35" s="3405" customFormat="1" x14ac:dyDescent="0.2">
      <c r="E527" s="3406"/>
      <c r="G527" s="3406"/>
      <c r="M527" s="3407"/>
      <c r="N527" s="3408"/>
      <c r="R527" s="3409"/>
      <c r="S527" s="3409"/>
      <c r="T527" s="3409"/>
      <c r="U527" s="3409"/>
      <c r="AH527" s="3410"/>
      <c r="AI527" s="3411"/>
    </row>
    <row r="528" spans="5:35" s="3405" customFormat="1" x14ac:dyDescent="0.2">
      <c r="E528" s="3406"/>
      <c r="G528" s="3406"/>
      <c r="M528" s="3407"/>
      <c r="N528" s="3408"/>
      <c r="R528" s="3409"/>
      <c r="S528" s="3409"/>
      <c r="T528" s="3409"/>
      <c r="U528" s="3409"/>
      <c r="AH528" s="3410"/>
      <c r="AI528" s="3411"/>
    </row>
    <row r="529" spans="5:35" s="3405" customFormat="1" x14ac:dyDescent="0.2">
      <c r="E529" s="3406"/>
      <c r="G529" s="3406"/>
      <c r="M529" s="3407"/>
      <c r="N529" s="3408"/>
      <c r="R529" s="3409"/>
      <c r="S529" s="3409"/>
      <c r="T529" s="3409"/>
      <c r="U529" s="3409"/>
      <c r="AH529" s="3410"/>
      <c r="AI529" s="3411"/>
    </row>
    <row r="530" spans="5:35" s="3405" customFormat="1" x14ac:dyDescent="0.2">
      <c r="E530" s="3406"/>
      <c r="G530" s="3406"/>
      <c r="M530" s="3407"/>
      <c r="N530" s="3408"/>
      <c r="R530" s="3409"/>
      <c r="S530" s="3409"/>
      <c r="T530" s="3409"/>
      <c r="U530" s="3409"/>
      <c r="AH530" s="3410"/>
      <c r="AI530" s="3411"/>
    </row>
    <row r="531" spans="5:35" s="3405" customFormat="1" x14ac:dyDescent="0.2">
      <c r="E531" s="3406"/>
      <c r="G531" s="3406"/>
      <c r="M531" s="3407"/>
      <c r="N531" s="3408"/>
      <c r="R531" s="3409"/>
      <c r="S531" s="3409"/>
      <c r="T531" s="3409"/>
      <c r="U531" s="3409"/>
      <c r="AH531" s="3410"/>
      <c r="AI531" s="3411"/>
    </row>
    <row r="532" spans="5:35" s="3405" customFormat="1" x14ac:dyDescent="0.2">
      <c r="E532" s="3406"/>
      <c r="G532" s="3406"/>
      <c r="M532" s="3407"/>
      <c r="N532" s="3408"/>
      <c r="R532" s="3409"/>
      <c r="S532" s="3409"/>
      <c r="T532" s="3409"/>
      <c r="U532" s="3409"/>
      <c r="AH532" s="3410"/>
      <c r="AI532" s="3411"/>
    </row>
    <row r="533" spans="5:35" s="3405" customFormat="1" x14ac:dyDescent="0.2">
      <c r="E533" s="3406"/>
      <c r="G533" s="3406"/>
      <c r="M533" s="3407"/>
      <c r="N533" s="3408"/>
      <c r="R533" s="3409"/>
      <c r="S533" s="3409"/>
      <c r="T533" s="3409"/>
      <c r="U533" s="3409"/>
      <c r="AH533" s="3410"/>
      <c r="AI533" s="3411"/>
    </row>
    <row r="534" spans="5:35" s="3405" customFormat="1" x14ac:dyDescent="0.2">
      <c r="E534" s="3406"/>
      <c r="G534" s="3406"/>
      <c r="M534" s="3407"/>
      <c r="N534" s="3408"/>
      <c r="R534" s="3409"/>
      <c r="S534" s="3409"/>
      <c r="T534" s="3409"/>
      <c r="U534" s="3409"/>
      <c r="AH534" s="3410"/>
      <c r="AI534" s="3411"/>
    </row>
    <row r="535" spans="5:35" s="3405" customFormat="1" x14ac:dyDescent="0.2">
      <c r="E535" s="3406"/>
      <c r="G535" s="3406"/>
      <c r="M535" s="3407"/>
      <c r="N535" s="3408"/>
      <c r="R535" s="3409"/>
      <c r="S535" s="3409"/>
      <c r="T535" s="3409"/>
      <c r="U535" s="3409"/>
      <c r="AH535" s="3410"/>
      <c r="AI535" s="3411"/>
    </row>
    <row r="536" spans="5:35" s="3405" customFormat="1" x14ac:dyDescent="0.2">
      <c r="E536" s="3406"/>
      <c r="G536" s="3406"/>
      <c r="M536" s="3407"/>
      <c r="N536" s="3408"/>
      <c r="R536" s="3409"/>
      <c r="S536" s="3409"/>
      <c r="T536" s="3409"/>
      <c r="U536" s="3409"/>
      <c r="AH536" s="3410"/>
      <c r="AI536" s="3411"/>
    </row>
    <row r="537" spans="5:35" s="3405" customFormat="1" x14ac:dyDescent="0.2">
      <c r="E537" s="3406"/>
      <c r="G537" s="3406"/>
      <c r="M537" s="3407"/>
      <c r="N537" s="3408"/>
      <c r="R537" s="3409"/>
      <c r="S537" s="3409"/>
      <c r="T537" s="3409"/>
      <c r="U537" s="3409"/>
      <c r="AH537" s="3410"/>
      <c r="AI537" s="3411"/>
    </row>
    <row r="538" spans="5:35" s="3405" customFormat="1" x14ac:dyDescent="0.2">
      <c r="E538" s="3406"/>
      <c r="G538" s="3406"/>
      <c r="M538" s="3407"/>
      <c r="N538" s="3408"/>
      <c r="R538" s="3409"/>
      <c r="S538" s="3409"/>
      <c r="T538" s="3409"/>
      <c r="U538" s="3409"/>
      <c r="AH538" s="3410"/>
      <c r="AI538" s="3411"/>
    </row>
    <row r="539" spans="5:35" s="3405" customFormat="1" x14ac:dyDescent="0.2">
      <c r="E539" s="3406"/>
      <c r="G539" s="3406"/>
      <c r="M539" s="3407"/>
      <c r="N539" s="3408"/>
      <c r="R539" s="3409"/>
      <c r="S539" s="3409"/>
      <c r="T539" s="3409"/>
      <c r="U539" s="3409"/>
      <c r="AH539" s="3410"/>
      <c r="AI539" s="3411"/>
    </row>
    <row r="540" spans="5:35" s="3405" customFormat="1" x14ac:dyDescent="0.2">
      <c r="E540" s="3406"/>
      <c r="G540" s="3406"/>
      <c r="M540" s="3407"/>
      <c r="N540" s="3408"/>
      <c r="R540" s="3409"/>
      <c r="S540" s="3409"/>
      <c r="T540" s="3409"/>
      <c r="U540" s="3409"/>
      <c r="AH540" s="3410"/>
      <c r="AI540" s="3411"/>
    </row>
    <row r="541" spans="5:35" s="3405" customFormat="1" x14ac:dyDescent="0.2">
      <c r="E541" s="3406"/>
      <c r="G541" s="3406"/>
      <c r="M541" s="3407"/>
      <c r="N541" s="3408"/>
      <c r="R541" s="3409"/>
      <c r="S541" s="3409"/>
      <c r="T541" s="3409"/>
      <c r="U541" s="3409"/>
      <c r="AH541" s="3410"/>
      <c r="AI541" s="3411"/>
    </row>
    <row r="542" spans="5:35" s="3405" customFormat="1" x14ac:dyDescent="0.2">
      <c r="E542" s="3406"/>
      <c r="G542" s="3406"/>
      <c r="M542" s="3407"/>
      <c r="N542" s="3408"/>
      <c r="R542" s="3409"/>
      <c r="S542" s="3409"/>
      <c r="T542" s="3409"/>
      <c r="U542" s="3409"/>
      <c r="AH542" s="3410"/>
      <c r="AI542" s="3411"/>
    </row>
    <row r="543" spans="5:35" s="3405" customFormat="1" x14ac:dyDescent="0.2">
      <c r="E543" s="3406"/>
      <c r="G543" s="3406"/>
      <c r="M543" s="3407"/>
      <c r="N543" s="3408"/>
      <c r="R543" s="3409"/>
      <c r="S543" s="3409"/>
      <c r="T543" s="3409"/>
      <c r="U543" s="3409"/>
      <c r="AH543" s="3410"/>
      <c r="AI543" s="3411"/>
    </row>
    <row r="544" spans="5:35" s="3405" customFormat="1" x14ac:dyDescent="0.2">
      <c r="E544" s="3406"/>
      <c r="G544" s="3406"/>
      <c r="M544" s="3407"/>
      <c r="N544" s="3408"/>
      <c r="R544" s="3409"/>
      <c r="S544" s="3409"/>
      <c r="T544" s="3409"/>
      <c r="U544" s="3409"/>
      <c r="AH544" s="3410"/>
      <c r="AI544" s="3411"/>
    </row>
    <row r="545" spans="5:35" s="3405" customFormat="1" x14ac:dyDescent="0.2">
      <c r="E545" s="3406"/>
      <c r="G545" s="3406"/>
      <c r="M545" s="3407"/>
      <c r="N545" s="3408"/>
      <c r="R545" s="3409"/>
      <c r="S545" s="3409"/>
      <c r="T545" s="3409"/>
      <c r="U545" s="3409"/>
      <c r="AH545" s="3410"/>
      <c r="AI545" s="3411"/>
    </row>
    <row r="546" spans="5:35" s="3405" customFormat="1" x14ac:dyDescent="0.2">
      <c r="E546" s="3406"/>
      <c r="G546" s="3406"/>
      <c r="M546" s="3407"/>
      <c r="N546" s="3408"/>
      <c r="R546" s="3409"/>
      <c r="S546" s="3409"/>
      <c r="T546" s="3409"/>
      <c r="U546" s="3409"/>
      <c r="AH546" s="3410"/>
      <c r="AI546" s="3411"/>
    </row>
    <row r="547" spans="5:35" s="3405" customFormat="1" x14ac:dyDescent="0.2">
      <c r="E547" s="3406"/>
      <c r="G547" s="3406"/>
      <c r="M547" s="3407"/>
      <c r="N547" s="3408"/>
      <c r="R547" s="3409"/>
      <c r="S547" s="3409"/>
      <c r="T547" s="3409"/>
      <c r="U547" s="3409"/>
      <c r="AH547" s="3410"/>
      <c r="AI547" s="3411"/>
    </row>
    <row r="548" spans="5:35" s="3405" customFormat="1" x14ac:dyDescent="0.2">
      <c r="E548" s="3406"/>
      <c r="G548" s="3406"/>
      <c r="M548" s="3407"/>
      <c r="N548" s="3408"/>
      <c r="R548" s="3409"/>
      <c r="S548" s="3409"/>
      <c r="T548" s="3409"/>
      <c r="U548" s="3409"/>
      <c r="AH548" s="3410"/>
      <c r="AI548" s="3411"/>
    </row>
    <row r="549" spans="5:35" s="3405" customFormat="1" x14ac:dyDescent="0.2">
      <c r="E549" s="3406"/>
      <c r="G549" s="3406"/>
      <c r="M549" s="3407"/>
      <c r="N549" s="3408"/>
      <c r="R549" s="3409"/>
      <c r="S549" s="3409"/>
      <c r="T549" s="3409"/>
      <c r="U549" s="3409"/>
      <c r="AH549" s="3410"/>
      <c r="AI549" s="3411"/>
    </row>
    <row r="550" spans="5:35" s="3405" customFormat="1" x14ac:dyDescent="0.2">
      <c r="E550" s="3406"/>
      <c r="G550" s="3406"/>
      <c r="M550" s="3407"/>
      <c r="N550" s="3408"/>
      <c r="R550" s="3409"/>
      <c r="S550" s="3409"/>
      <c r="T550" s="3409"/>
      <c r="U550" s="3409"/>
      <c r="AH550" s="3410"/>
      <c r="AI550" s="3411"/>
    </row>
    <row r="551" spans="5:35" s="3405" customFormat="1" x14ac:dyDescent="0.2">
      <c r="E551" s="3406"/>
      <c r="G551" s="3406"/>
      <c r="M551" s="3407"/>
      <c r="N551" s="3408"/>
      <c r="R551" s="3409"/>
      <c r="S551" s="3409"/>
      <c r="T551" s="3409"/>
      <c r="U551" s="3409"/>
      <c r="AH551" s="3410"/>
      <c r="AI551" s="3411"/>
    </row>
    <row r="552" spans="5:35" s="3405" customFormat="1" x14ac:dyDescent="0.2">
      <c r="E552" s="3406"/>
      <c r="G552" s="3406"/>
      <c r="M552" s="3407"/>
      <c r="N552" s="3408"/>
      <c r="R552" s="3409"/>
      <c r="S552" s="3409"/>
      <c r="T552" s="3409"/>
      <c r="U552" s="3409"/>
      <c r="AH552" s="3410"/>
      <c r="AI552" s="3411"/>
    </row>
    <row r="553" spans="5:35" s="3405" customFormat="1" x14ac:dyDescent="0.2">
      <c r="E553" s="3406"/>
      <c r="G553" s="3406"/>
      <c r="M553" s="3407"/>
      <c r="N553" s="3408"/>
      <c r="R553" s="3409"/>
      <c r="S553" s="3409"/>
      <c r="T553" s="3409"/>
      <c r="U553" s="3409"/>
      <c r="AH553" s="3410"/>
      <c r="AI553" s="3411"/>
    </row>
    <row r="554" spans="5:35" s="3405" customFormat="1" x14ac:dyDescent="0.2">
      <c r="E554" s="3406"/>
      <c r="G554" s="3406"/>
      <c r="M554" s="3407"/>
      <c r="N554" s="3408"/>
      <c r="R554" s="3409"/>
      <c r="S554" s="3409"/>
      <c r="T554" s="3409"/>
      <c r="U554" s="3409"/>
      <c r="AH554" s="3410"/>
      <c r="AI554" s="3411"/>
    </row>
    <row r="555" spans="5:35" s="3405" customFormat="1" x14ac:dyDescent="0.2">
      <c r="E555" s="3406"/>
      <c r="G555" s="3406"/>
      <c r="M555" s="3407"/>
      <c r="N555" s="3408"/>
      <c r="R555" s="3409"/>
      <c r="S555" s="3409"/>
      <c r="T555" s="3409"/>
      <c r="U555" s="3409"/>
      <c r="AH555" s="3410"/>
      <c r="AI555" s="3411"/>
    </row>
    <row r="556" spans="5:35" s="3405" customFormat="1" x14ac:dyDescent="0.2">
      <c r="E556" s="3406"/>
      <c r="G556" s="3406"/>
      <c r="M556" s="3407"/>
      <c r="N556" s="3408"/>
      <c r="R556" s="3409"/>
      <c r="S556" s="3409"/>
      <c r="T556" s="3409"/>
      <c r="U556" s="3409"/>
      <c r="AH556" s="3410"/>
      <c r="AI556" s="3411"/>
    </row>
    <row r="557" spans="5:35" s="3405" customFormat="1" x14ac:dyDescent="0.2">
      <c r="E557" s="3406"/>
      <c r="G557" s="3406"/>
      <c r="M557" s="3407"/>
      <c r="N557" s="3408"/>
      <c r="R557" s="3409"/>
      <c r="S557" s="3409"/>
      <c r="T557" s="3409"/>
      <c r="U557" s="3409"/>
      <c r="AH557" s="3410"/>
      <c r="AI557" s="3411"/>
    </row>
    <row r="558" spans="5:35" s="3405" customFormat="1" x14ac:dyDescent="0.2">
      <c r="E558" s="3406"/>
      <c r="G558" s="3406"/>
      <c r="M558" s="3407"/>
      <c r="N558" s="3408"/>
      <c r="R558" s="3409"/>
      <c r="S558" s="3409"/>
      <c r="T558" s="3409"/>
      <c r="U558" s="3409"/>
      <c r="AH558" s="3410"/>
      <c r="AI558" s="3411"/>
    </row>
    <row r="559" spans="5:35" s="3405" customFormat="1" x14ac:dyDescent="0.2">
      <c r="E559" s="3406"/>
      <c r="G559" s="3406"/>
      <c r="M559" s="3407"/>
      <c r="N559" s="3408"/>
      <c r="R559" s="3409"/>
      <c r="S559" s="3409"/>
      <c r="T559" s="3409"/>
      <c r="U559" s="3409"/>
      <c r="AH559" s="3410"/>
      <c r="AI559" s="3411"/>
    </row>
    <row r="560" spans="5:35" s="3405" customFormat="1" x14ac:dyDescent="0.2">
      <c r="E560" s="3406"/>
      <c r="G560" s="3406"/>
      <c r="M560" s="3407"/>
      <c r="N560" s="3408"/>
      <c r="R560" s="3409"/>
      <c r="S560" s="3409"/>
      <c r="T560" s="3409"/>
      <c r="U560" s="3409"/>
      <c r="AH560" s="3410"/>
      <c r="AI560" s="3411"/>
    </row>
    <row r="561" spans="5:35" s="3405" customFormat="1" x14ac:dyDescent="0.2">
      <c r="E561" s="3406"/>
      <c r="G561" s="3406"/>
      <c r="M561" s="3407"/>
      <c r="N561" s="3408"/>
      <c r="R561" s="3409"/>
      <c r="S561" s="3409"/>
      <c r="T561" s="3409"/>
      <c r="U561" s="3409"/>
      <c r="AH561" s="3410"/>
      <c r="AI561" s="3411"/>
    </row>
    <row r="562" spans="5:35" s="3405" customFormat="1" x14ac:dyDescent="0.2">
      <c r="E562" s="3406"/>
      <c r="G562" s="3406"/>
      <c r="M562" s="3407"/>
      <c r="N562" s="3408"/>
      <c r="R562" s="3409"/>
      <c r="S562" s="3409"/>
      <c r="T562" s="3409"/>
      <c r="U562" s="3409"/>
      <c r="AH562" s="3410"/>
      <c r="AI562" s="3411"/>
    </row>
    <row r="563" spans="5:35" s="3405" customFormat="1" x14ac:dyDescent="0.2">
      <c r="E563" s="3406"/>
      <c r="G563" s="3406"/>
      <c r="M563" s="3407"/>
      <c r="N563" s="3408"/>
      <c r="R563" s="3409"/>
      <c r="S563" s="3409"/>
      <c r="T563" s="3409"/>
      <c r="U563" s="3409"/>
      <c r="AH563" s="3410"/>
      <c r="AI563" s="3411"/>
    </row>
    <row r="564" spans="5:35" s="3405" customFormat="1" x14ac:dyDescent="0.2">
      <c r="E564" s="3406"/>
      <c r="G564" s="3406"/>
      <c r="M564" s="3407"/>
      <c r="N564" s="3408"/>
      <c r="R564" s="3409"/>
      <c r="S564" s="3409"/>
      <c r="T564" s="3409"/>
      <c r="U564" s="3409"/>
      <c r="AH564" s="3410"/>
      <c r="AI564" s="3411"/>
    </row>
    <row r="565" spans="5:35" s="3405" customFormat="1" x14ac:dyDescent="0.2">
      <c r="E565" s="3406"/>
      <c r="G565" s="3406"/>
      <c r="M565" s="3407"/>
      <c r="N565" s="3408"/>
      <c r="R565" s="3409"/>
      <c r="S565" s="3409"/>
      <c r="T565" s="3409"/>
      <c r="U565" s="3409"/>
      <c r="AH565" s="3410"/>
      <c r="AI565" s="3411"/>
    </row>
    <row r="566" spans="5:35" s="3405" customFormat="1" x14ac:dyDescent="0.2">
      <c r="E566" s="3406"/>
      <c r="G566" s="3406"/>
      <c r="M566" s="3407"/>
      <c r="N566" s="3408"/>
      <c r="R566" s="3409"/>
      <c r="S566" s="3409"/>
      <c r="T566" s="3409"/>
      <c r="U566" s="3409"/>
      <c r="AH566" s="3410"/>
      <c r="AI566" s="3411"/>
    </row>
    <row r="567" spans="5:35" s="3405" customFormat="1" x14ac:dyDescent="0.2">
      <c r="E567" s="3406"/>
      <c r="G567" s="3406"/>
      <c r="M567" s="3407"/>
      <c r="N567" s="3408"/>
      <c r="R567" s="3409"/>
      <c r="S567" s="3409"/>
      <c r="T567" s="3409"/>
      <c r="U567" s="3409"/>
      <c r="AH567" s="3410"/>
      <c r="AI567" s="3411"/>
    </row>
    <row r="568" spans="5:35" s="3405" customFormat="1" x14ac:dyDescent="0.2">
      <c r="E568" s="3406"/>
      <c r="G568" s="3406"/>
      <c r="M568" s="3407"/>
      <c r="N568" s="3408"/>
      <c r="R568" s="3409"/>
      <c r="S568" s="3409"/>
      <c r="T568" s="3409"/>
      <c r="U568" s="3409"/>
      <c r="AH568" s="3410"/>
      <c r="AI568" s="3411"/>
    </row>
    <row r="569" spans="5:35" s="3405" customFormat="1" x14ac:dyDescent="0.2">
      <c r="E569" s="3406"/>
      <c r="G569" s="3406"/>
      <c r="M569" s="3407"/>
      <c r="N569" s="3408"/>
      <c r="R569" s="3409"/>
      <c r="S569" s="3409"/>
      <c r="T569" s="3409"/>
      <c r="U569" s="3409"/>
      <c r="AH569" s="3410"/>
      <c r="AI569" s="3411"/>
    </row>
    <row r="570" spans="5:35" s="3405" customFormat="1" x14ac:dyDescent="0.2">
      <c r="E570" s="3406"/>
      <c r="G570" s="3406"/>
      <c r="M570" s="3407"/>
      <c r="N570" s="3408"/>
      <c r="R570" s="3409"/>
      <c r="S570" s="3409"/>
      <c r="T570" s="3409"/>
      <c r="U570" s="3409"/>
      <c r="AH570" s="3410"/>
      <c r="AI570" s="3411"/>
    </row>
    <row r="571" spans="5:35" s="3405" customFormat="1" x14ac:dyDescent="0.2">
      <c r="E571" s="3406"/>
      <c r="G571" s="3406"/>
      <c r="M571" s="3407"/>
      <c r="N571" s="3408"/>
      <c r="R571" s="3409"/>
      <c r="S571" s="3409"/>
      <c r="T571" s="3409"/>
      <c r="U571" s="3409"/>
      <c r="AH571" s="3410"/>
      <c r="AI571" s="3411"/>
    </row>
    <row r="572" spans="5:35" s="3405" customFormat="1" x14ac:dyDescent="0.2">
      <c r="E572" s="3406"/>
      <c r="G572" s="3406"/>
      <c r="M572" s="3407"/>
      <c r="N572" s="3408"/>
      <c r="R572" s="3409"/>
      <c r="S572" s="3409"/>
      <c r="T572" s="3409"/>
      <c r="U572" s="3409"/>
      <c r="AH572" s="3410"/>
      <c r="AI572" s="3411"/>
    </row>
    <row r="573" spans="5:35" s="3405" customFormat="1" x14ac:dyDescent="0.2">
      <c r="E573" s="3406"/>
      <c r="G573" s="3406"/>
      <c r="M573" s="3407"/>
      <c r="N573" s="3408"/>
      <c r="R573" s="3409"/>
      <c r="S573" s="3409"/>
      <c r="T573" s="3409"/>
      <c r="U573" s="3409"/>
      <c r="AH573" s="3410"/>
      <c r="AI573" s="3411"/>
    </row>
    <row r="574" spans="5:35" s="3405" customFormat="1" x14ac:dyDescent="0.2">
      <c r="E574" s="3406"/>
      <c r="G574" s="3406"/>
      <c r="M574" s="3407"/>
      <c r="N574" s="3408"/>
      <c r="R574" s="3409"/>
      <c r="S574" s="3409"/>
      <c r="T574" s="3409"/>
      <c r="U574" s="3409"/>
      <c r="AH574" s="3410"/>
      <c r="AI574" s="3411"/>
    </row>
    <row r="575" spans="5:35" s="3405" customFormat="1" x14ac:dyDescent="0.2">
      <c r="E575" s="3406"/>
      <c r="G575" s="3406"/>
      <c r="M575" s="3407"/>
      <c r="N575" s="3408"/>
      <c r="R575" s="3409"/>
      <c r="S575" s="3409"/>
      <c r="T575" s="3409"/>
      <c r="U575" s="3409"/>
      <c r="AH575" s="3410"/>
      <c r="AI575" s="3411"/>
    </row>
    <row r="576" spans="5:35" s="3405" customFormat="1" x14ac:dyDescent="0.2">
      <c r="E576" s="3406"/>
      <c r="G576" s="3406"/>
      <c r="M576" s="3407"/>
      <c r="N576" s="3408"/>
      <c r="R576" s="3409"/>
      <c r="S576" s="3409"/>
      <c r="T576" s="3409"/>
      <c r="U576" s="3409"/>
      <c r="AH576" s="3410"/>
      <c r="AI576" s="3411"/>
    </row>
    <row r="577" spans="5:35" s="3405" customFormat="1" x14ac:dyDescent="0.2">
      <c r="E577" s="3406"/>
      <c r="G577" s="3406"/>
      <c r="M577" s="3407"/>
      <c r="N577" s="3408"/>
      <c r="R577" s="3409"/>
      <c r="S577" s="3409"/>
      <c r="T577" s="3409"/>
      <c r="U577" s="3409"/>
      <c r="AH577" s="3410"/>
      <c r="AI577" s="3411"/>
    </row>
    <row r="578" spans="5:35" s="3405" customFormat="1" x14ac:dyDescent="0.2">
      <c r="E578" s="3406"/>
      <c r="G578" s="3406"/>
      <c r="M578" s="3407"/>
      <c r="N578" s="3408"/>
      <c r="R578" s="3409"/>
      <c r="S578" s="3409"/>
      <c r="T578" s="3409"/>
      <c r="U578" s="3409"/>
      <c r="AH578" s="3410"/>
      <c r="AI578" s="3411"/>
    </row>
    <row r="579" spans="5:35" s="3405" customFormat="1" x14ac:dyDescent="0.2">
      <c r="E579" s="3406"/>
      <c r="G579" s="3406"/>
      <c r="M579" s="3407"/>
      <c r="N579" s="3408"/>
      <c r="R579" s="3409"/>
      <c r="S579" s="3409"/>
      <c r="T579" s="3409"/>
      <c r="U579" s="3409"/>
      <c r="AH579" s="3410"/>
      <c r="AI579" s="3411"/>
    </row>
    <row r="580" spans="5:35" s="3405" customFormat="1" x14ac:dyDescent="0.2">
      <c r="E580" s="3406"/>
      <c r="G580" s="3406"/>
      <c r="M580" s="3407"/>
      <c r="N580" s="3408"/>
      <c r="R580" s="3409"/>
      <c r="S580" s="3409"/>
      <c r="T580" s="3409"/>
      <c r="U580" s="3409"/>
      <c r="AH580" s="3410"/>
      <c r="AI580" s="3411"/>
    </row>
    <row r="581" spans="5:35" s="3405" customFormat="1" x14ac:dyDescent="0.2">
      <c r="E581" s="3406"/>
      <c r="G581" s="3406"/>
      <c r="M581" s="3407"/>
      <c r="N581" s="3408"/>
      <c r="R581" s="3409"/>
      <c r="S581" s="3409"/>
      <c r="T581" s="3409"/>
      <c r="U581" s="3409"/>
      <c r="AH581" s="3410"/>
      <c r="AI581" s="3411"/>
    </row>
    <row r="582" spans="5:35" s="3405" customFormat="1" x14ac:dyDescent="0.2">
      <c r="E582" s="3406"/>
      <c r="G582" s="3406"/>
      <c r="M582" s="3407"/>
      <c r="N582" s="3408"/>
      <c r="R582" s="3409"/>
      <c r="S582" s="3409"/>
      <c r="T582" s="3409"/>
      <c r="U582" s="3409"/>
      <c r="AH582" s="3410"/>
      <c r="AI582" s="3411"/>
    </row>
    <row r="583" spans="5:35" s="3405" customFormat="1" x14ac:dyDescent="0.2">
      <c r="E583" s="3406"/>
      <c r="G583" s="3406"/>
      <c r="M583" s="3407"/>
      <c r="N583" s="3408"/>
      <c r="R583" s="3409"/>
      <c r="S583" s="3409"/>
      <c r="T583" s="3409"/>
      <c r="U583" s="3409"/>
      <c r="AH583" s="3410"/>
      <c r="AI583" s="3411"/>
    </row>
    <row r="584" spans="5:35" s="3405" customFormat="1" x14ac:dyDescent="0.2">
      <c r="E584" s="3406"/>
      <c r="G584" s="3406"/>
      <c r="M584" s="3407"/>
      <c r="N584" s="3408"/>
      <c r="R584" s="3409"/>
      <c r="S584" s="3409"/>
      <c r="T584" s="3409"/>
      <c r="U584" s="3409"/>
      <c r="AH584" s="3410"/>
      <c r="AI584" s="3411"/>
    </row>
    <row r="585" spans="5:35" s="3405" customFormat="1" x14ac:dyDescent="0.2">
      <c r="E585" s="3406"/>
      <c r="G585" s="3406"/>
      <c r="M585" s="3407"/>
      <c r="N585" s="3408"/>
      <c r="R585" s="3409"/>
      <c r="S585" s="3409"/>
      <c r="T585" s="3409"/>
      <c r="U585" s="3409"/>
      <c r="AH585" s="3410"/>
      <c r="AI585" s="3411"/>
    </row>
    <row r="586" spans="5:35" s="3405" customFormat="1" x14ac:dyDescent="0.2">
      <c r="E586" s="3406"/>
      <c r="G586" s="3406"/>
      <c r="M586" s="3407"/>
      <c r="N586" s="3408"/>
      <c r="R586" s="3409"/>
      <c r="S586" s="3409"/>
      <c r="T586" s="3409"/>
      <c r="U586" s="3409"/>
      <c r="AH586" s="3410"/>
      <c r="AI586" s="3411"/>
    </row>
    <row r="587" spans="5:35" s="3405" customFormat="1" x14ac:dyDescent="0.2">
      <c r="E587" s="3406"/>
      <c r="G587" s="3406"/>
      <c r="M587" s="3407"/>
      <c r="N587" s="3408"/>
      <c r="R587" s="3409"/>
      <c r="S587" s="3409"/>
      <c r="T587" s="3409"/>
      <c r="U587" s="3409"/>
      <c r="AH587" s="3410"/>
      <c r="AI587" s="3411"/>
    </row>
    <row r="588" spans="5:35" s="3405" customFormat="1" x14ac:dyDescent="0.2">
      <c r="E588" s="3406"/>
      <c r="G588" s="3406"/>
      <c r="M588" s="3407"/>
      <c r="N588" s="3408"/>
      <c r="R588" s="3409"/>
      <c r="S588" s="3409"/>
      <c r="T588" s="3409"/>
      <c r="U588" s="3409"/>
      <c r="AH588" s="3410"/>
      <c r="AI588" s="3411"/>
    </row>
    <row r="589" spans="5:35" s="3405" customFormat="1" x14ac:dyDescent="0.2">
      <c r="E589" s="3406"/>
      <c r="G589" s="3406"/>
      <c r="M589" s="3407"/>
      <c r="N589" s="3408"/>
      <c r="R589" s="3409"/>
      <c r="S589" s="3409"/>
      <c r="T589" s="3409"/>
      <c r="U589" s="3409"/>
      <c r="AH589" s="3410"/>
      <c r="AI589" s="3411"/>
    </row>
    <row r="590" spans="5:35" s="3405" customFormat="1" x14ac:dyDescent="0.2">
      <c r="E590" s="3406"/>
      <c r="G590" s="3406"/>
      <c r="M590" s="3407"/>
      <c r="N590" s="3408"/>
      <c r="R590" s="3409"/>
      <c r="S590" s="3409"/>
      <c r="T590" s="3409"/>
      <c r="U590" s="3409"/>
      <c r="AH590" s="3410"/>
      <c r="AI590" s="3411"/>
    </row>
    <row r="591" spans="5:35" s="3405" customFormat="1" x14ac:dyDescent="0.2">
      <c r="E591" s="3406"/>
      <c r="G591" s="3406"/>
      <c r="M591" s="3407"/>
      <c r="N591" s="3408"/>
      <c r="R591" s="3409"/>
      <c r="S591" s="3409"/>
      <c r="T591" s="3409"/>
      <c r="U591" s="3409"/>
      <c r="AH591" s="3410"/>
      <c r="AI591" s="3411"/>
    </row>
    <row r="592" spans="5:35" s="3405" customFormat="1" x14ac:dyDescent="0.2">
      <c r="E592" s="3406"/>
      <c r="G592" s="3406"/>
      <c r="M592" s="3407"/>
      <c r="N592" s="3408"/>
      <c r="R592" s="3409"/>
      <c r="S592" s="3409"/>
      <c r="T592" s="3409"/>
      <c r="U592" s="3409"/>
      <c r="AH592" s="3410"/>
      <c r="AI592" s="3411"/>
    </row>
    <row r="593" spans="5:35" s="3405" customFormat="1" x14ac:dyDescent="0.2">
      <c r="E593" s="3406"/>
      <c r="G593" s="3406"/>
      <c r="M593" s="3407"/>
      <c r="N593" s="3408"/>
      <c r="R593" s="3409"/>
      <c r="S593" s="3409"/>
      <c r="T593" s="3409"/>
      <c r="U593" s="3409"/>
      <c r="AH593" s="3410"/>
      <c r="AI593" s="3411"/>
    </row>
    <row r="594" spans="5:35" s="3405" customFormat="1" x14ac:dyDescent="0.2">
      <c r="E594" s="3406"/>
      <c r="G594" s="3406"/>
      <c r="M594" s="3407"/>
      <c r="N594" s="3408"/>
      <c r="R594" s="3409"/>
      <c r="S594" s="3409"/>
      <c r="T594" s="3409"/>
      <c r="U594" s="3409"/>
      <c r="AH594" s="3410"/>
      <c r="AI594" s="3411"/>
    </row>
    <row r="595" spans="5:35" s="3405" customFormat="1" x14ac:dyDescent="0.2">
      <c r="E595" s="3406"/>
      <c r="G595" s="3406"/>
      <c r="M595" s="3407"/>
      <c r="N595" s="3408"/>
      <c r="R595" s="3409"/>
      <c r="S595" s="3409"/>
      <c r="T595" s="3409"/>
      <c r="U595" s="3409"/>
      <c r="AH595" s="3410"/>
      <c r="AI595" s="3411"/>
    </row>
    <row r="596" spans="5:35" s="3405" customFormat="1" x14ac:dyDescent="0.2">
      <c r="E596" s="3406"/>
      <c r="G596" s="3406"/>
      <c r="M596" s="3407"/>
      <c r="N596" s="3408"/>
      <c r="R596" s="3409"/>
      <c r="S596" s="3409"/>
      <c r="T596" s="3409"/>
      <c r="U596" s="3409"/>
      <c r="AH596" s="3410"/>
      <c r="AI596" s="3411"/>
    </row>
    <row r="597" spans="5:35" s="3405" customFormat="1" x14ac:dyDescent="0.2">
      <c r="E597" s="3406"/>
      <c r="G597" s="3406"/>
      <c r="M597" s="3407"/>
      <c r="N597" s="3408"/>
      <c r="R597" s="3409"/>
      <c r="S597" s="3409"/>
      <c r="T597" s="3409"/>
      <c r="U597" s="3409"/>
      <c r="AH597" s="3410"/>
      <c r="AI597" s="3411"/>
    </row>
    <row r="598" spans="5:35" s="3405" customFormat="1" x14ac:dyDescent="0.2">
      <c r="E598" s="3406"/>
      <c r="G598" s="3406"/>
      <c r="M598" s="3407"/>
      <c r="N598" s="3408"/>
      <c r="R598" s="3409"/>
      <c r="S598" s="3409"/>
      <c r="T598" s="3409"/>
      <c r="U598" s="3409"/>
      <c r="AH598" s="3410"/>
      <c r="AI598" s="3411"/>
    </row>
    <row r="599" spans="5:35" s="3405" customFormat="1" x14ac:dyDescent="0.2">
      <c r="E599" s="3406"/>
      <c r="G599" s="3406"/>
      <c r="M599" s="3407"/>
      <c r="N599" s="3408"/>
      <c r="R599" s="3409"/>
      <c r="S599" s="3409"/>
      <c r="T599" s="3409"/>
      <c r="U599" s="3409"/>
      <c r="AH599" s="3410"/>
      <c r="AI599" s="3411"/>
    </row>
    <row r="600" spans="5:35" s="3405" customFormat="1" x14ac:dyDescent="0.2">
      <c r="E600" s="3406"/>
      <c r="G600" s="3406"/>
      <c r="M600" s="3407"/>
      <c r="N600" s="3408"/>
      <c r="R600" s="3409"/>
      <c r="S600" s="3409"/>
      <c r="T600" s="3409"/>
      <c r="U600" s="3409"/>
      <c r="AH600" s="3410"/>
      <c r="AI600" s="3411"/>
    </row>
    <row r="601" spans="5:35" s="3405" customFormat="1" x14ac:dyDescent="0.2">
      <c r="E601" s="3406"/>
      <c r="G601" s="3406"/>
      <c r="M601" s="3407"/>
      <c r="N601" s="3408"/>
      <c r="R601" s="3409"/>
      <c r="S601" s="3409"/>
      <c r="T601" s="3409"/>
      <c r="U601" s="3409"/>
      <c r="AH601" s="3410"/>
      <c r="AI601" s="3411"/>
    </row>
    <row r="602" spans="5:35" s="3405" customFormat="1" x14ac:dyDescent="0.2">
      <c r="E602" s="3406"/>
      <c r="G602" s="3406"/>
      <c r="M602" s="3407"/>
      <c r="N602" s="3408"/>
      <c r="R602" s="3409"/>
      <c r="S602" s="3409"/>
      <c r="T602" s="3409"/>
      <c r="U602" s="3409"/>
      <c r="AH602" s="3410"/>
      <c r="AI602" s="3411"/>
    </row>
    <row r="603" spans="5:35" s="3405" customFormat="1" x14ac:dyDescent="0.2">
      <c r="E603" s="3406"/>
      <c r="G603" s="3406"/>
      <c r="M603" s="3407"/>
      <c r="N603" s="3408"/>
      <c r="R603" s="3409"/>
      <c r="S603" s="3409"/>
      <c r="T603" s="3409"/>
      <c r="U603" s="3409"/>
      <c r="AH603" s="3410"/>
      <c r="AI603" s="3411"/>
    </row>
    <row r="604" spans="5:35" s="3405" customFormat="1" x14ac:dyDescent="0.2">
      <c r="E604" s="3406"/>
      <c r="G604" s="3406"/>
      <c r="M604" s="3407"/>
      <c r="N604" s="3408"/>
      <c r="R604" s="3409"/>
      <c r="S604" s="3409"/>
      <c r="T604" s="3409"/>
      <c r="U604" s="3409"/>
      <c r="AH604" s="3410"/>
      <c r="AI604" s="3411"/>
    </row>
    <row r="605" spans="5:35" s="3405" customFormat="1" x14ac:dyDescent="0.2">
      <c r="E605" s="3406"/>
      <c r="G605" s="3406"/>
      <c r="M605" s="3407"/>
      <c r="N605" s="3408"/>
      <c r="R605" s="3409"/>
      <c r="S605" s="3409"/>
      <c r="T605" s="3409"/>
      <c r="U605" s="3409"/>
      <c r="AH605" s="3410"/>
      <c r="AI605" s="3411"/>
    </row>
    <row r="606" spans="5:35" s="3405" customFormat="1" x14ac:dyDescent="0.2">
      <c r="E606" s="3406"/>
      <c r="G606" s="3406"/>
      <c r="M606" s="3407"/>
      <c r="N606" s="3408"/>
      <c r="R606" s="3409"/>
      <c r="S606" s="3409"/>
      <c r="T606" s="3409"/>
      <c r="U606" s="3409"/>
      <c r="AH606" s="3410"/>
      <c r="AI606" s="3411"/>
    </row>
    <row r="607" spans="5:35" s="3405" customFormat="1" x14ac:dyDescent="0.2">
      <c r="E607" s="3406"/>
      <c r="G607" s="3406"/>
      <c r="M607" s="3407"/>
      <c r="N607" s="3408"/>
      <c r="R607" s="3409"/>
      <c r="S607" s="3409"/>
      <c r="T607" s="3409"/>
      <c r="U607" s="3409"/>
      <c r="AH607" s="3410"/>
      <c r="AI607" s="3411"/>
    </row>
    <row r="608" spans="5:35" s="3405" customFormat="1" x14ac:dyDescent="0.2">
      <c r="E608" s="3406"/>
      <c r="G608" s="3406"/>
      <c r="M608" s="3407"/>
      <c r="N608" s="3408"/>
      <c r="R608" s="3409"/>
      <c r="S608" s="3409"/>
      <c r="T608" s="3409"/>
      <c r="U608" s="3409"/>
      <c r="AH608" s="3410"/>
      <c r="AI608" s="3411"/>
    </row>
    <row r="609" spans="5:35" s="3405" customFormat="1" x14ac:dyDescent="0.2">
      <c r="E609" s="3406"/>
      <c r="G609" s="3406"/>
      <c r="M609" s="3407"/>
      <c r="N609" s="3408"/>
      <c r="R609" s="3409"/>
      <c r="S609" s="3409"/>
      <c r="T609" s="3409"/>
      <c r="U609" s="3409"/>
      <c r="AH609" s="3410"/>
      <c r="AI609" s="3411"/>
    </row>
    <row r="610" spans="5:35" s="3405" customFormat="1" x14ac:dyDescent="0.2">
      <c r="E610" s="3406"/>
      <c r="G610" s="3406"/>
      <c r="M610" s="3407"/>
      <c r="N610" s="3408"/>
      <c r="R610" s="3409"/>
      <c r="S610" s="3409"/>
      <c r="T610" s="3409"/>
      <c r="U610" s="3409"/>
      <c r="AH610" s="3410"/>
      <c r="AI610" s="3411"/>
    </row>
    <row r="611" spans="5:35" s="3405" customFormat="1" x14ac:dyDescent="0.2">
      <c r="E611" s="3406"/>
      <c r="G611" s="3406"/>
      <c r="M611" s="3407"/>
      <c r="N611" s="3408"/>
      <c r="R611" s="3409"/>
      <c r="S611" s="3409"/>
      <c r="T611" s="3409"/>
      <c r="U611" s="3409"/>
      <c r="AH611" s="3410"/>
      <c r="AI611" s="3411"/>
    </row>
    <row r="612" spans="5:35" s="3405" customFormat="1" x14ac:dyDescent="0.2">
      <c r="E612" s="3406"/>
      <c r="G612" s="3406"/>
      <c r="M612" s="3407"/>
      <c r="N612" s="3408"/>
      <c r="R612" s="3409"/>
      <c r="S612" s="3409"/>
      <c r="T612" s="3409"/>
      <c r="U612" s="3409"/>
      <c r="AH612" s="3410"/>
      <c r="AI612" s="3411"/>
    </row>
    <row r="613" spans="5:35" s="3405" customFormat="1" x14ac:dyDescent="0.2">
      <c r="E613" s="3406"/>
      <c r="G613" s="3406"/>
      <c r="M613" s="3407"/>
      <c r="N613" s="3408"/>
      <c r="R613" s="3409"/>
      <c r="S613" s="3409"/>
      <c r="T613" s="3409"/>
      <c r="U613" s="3409"/>
      <c r="AH613" s="3410"/>
      <c r="AI613" s="3411"/>
    </row>
    <row r="614" spans="5:35" s="3405" customFormat="1" x14ac:dyDescent="0.2">
      <c r="E614" s="3406"/>
      <c r="G614" s="3406"/>
      <c r="M614" s="3407"/>
      <c r="N614" s="3408"/>
      <c r="R614" s="3409"/>
      <c r="S614" s="3409"/>
      <c r="T614" s="3409"/>
      <c r="U614" s="3409"/>
      <c r="AH614" s="3410"/>
      <c r="AI614" s="3411"/>
    </row>
    <row r="615" spans="5:35" s="3405" customFormat="1" x14ac:dyDescent="0.2">
      <c r="E615" s="3406"/>
      <c r="G615" s="3406"/>
      <c r="M615" s="3407"/>
      <c r="N615" s="3408"/>
      <c r="R615" s="3409"/>
      <c r="S615" s="3409"/>
      <c r="T615" s="3409"/>
      <c r="U615" s="3409"/>
      <c r="AH615" s="3410"/>
      <c r="AI615" s="3411"/>
    </row>
    <row r="616" spans="5:35" s="3405" customFormat="1" x14ac:dyDescent="0.2">
      <c r="E616" s="3406"/>
      <c r="G616" s="3406"/>
      <c r="M616" s="3407"/>
      <c r="N616" s="3408"/>
      <c r="R616" s="3409"/>
      <c r="S616" s="3409"/>
      <c r="T616" s="3409"/>
      <c r="U616" s="3409"/>
      <c r="AH616" s="3410"/>
      <c r="AI616" s="3411"/>
    </row>
    <row r="617" spans="5:35" s="3405" customFormat="1" x14ac:dyDescent="0.2">
      <c r="E617" s="3406"/>
      <c r="G617" s="3406"/>
      <c r="M617" s="3407"/>
      <c r="N617" s="3408"/>
      <c r="R617" s="3409"/>
      <c r="S617" s="3409"/>
      <c r="T617" s="3409"/>
      <c r="U617" s="3409"/>
      <c r="AH617" s="3410"/>
      <c r="AI617" s="3411"/>
    </row>
    <row r="618" spans="5:35" s="3405" customFormat="1" x14ac:dyDescent="0.2">
      <c r="E618" s="3406"/>
      <c r="G618" s="3406"/>
      <c r="M618" s="3407"/>
      <c r="N618" s="3408"/>
      <c r="R618" s="3409"/>
      <c r="S618" s="3409"/>
      <c r="T618" s="3409"/>
      <c r="U618" s="3409"/>
      <c r="AH618" s="3410"/>
      <c r="AI618" s="3411"/>
    </row>
    <row r="619" spans="5:35" s="3405" customFormat="1" x14ac:dyDescent="0.2">
      <c r="E619" s="3406"/>
      <c r="G619" s="3406"/>
      <c r="M619" s="3407"/>
      <c r="N619" s="3408"/>
      <c r="R619" s="3409"/>
      <c r="S619" s="3409"/>
      <c r="T619" s="3409"/>
      <c r="U619" s="3409"/>
      <c r="AH619" s="3410"/>
      <c r="AI619" s="3411"/>
    </row>
    <row r="620" spans="5:35" s="3405" customFormat="1" x14ac:dyDescent="0.2">
      <c r="E620" s="3406"/>
      <c r="G620" s="3406"/>
      <c r="M620" s="3407"/>
      <c r="N620" s="3408"/>
      <c r="R620" s="3409"/>
      <c r="S620" s="3409"/>
      <c r="T620" s="3409"/>
      <c r="U620" s="3409"/>
      <c r="AH620" s="3410"/>
      <c r="AI620" s="3411"/>
    </row>
    <row r="621" spans="5:35" s="3405" customFormat="1" x14ac:dyDescent="0.2">
      <c r="E621" s="3406"/>
      <c r="G621" s="3406"/>
      <c r="M621" s="3407"/>
      <c r="N621" s="3408"/>
      <c r="R621" s="3409"/>
      <c r="S621" s="3409"/>
      <c r="T621" s="3409"/>
      <c r="U621" s="3409"/>
      <c r="AH621" s="3410"/>
      <c r="AI621" s="3411"/>
    </row>
    <row r="622" spans="5:35" s="3405" customFormat="1" x14ac:dyDescent="0.2">
      <c r="E622" s="3406"/>
      <c r="G622" s="3406"/>
      <c r="M622" s="3407"/>
      <c r="N622" s="3408"/>
      <c r="R622" s="3409"/>
      <c r="S622" s="3409"/>
      <c r="T622" s="3409"/>
      <c r="U622" s="3409"/>
      <c r="AH622" s="3410"/>
      <c r="AI622" s="3411"/>
    </row>
    <row r="623" spans="5:35" s="3405" customFormat="1" x14ac:dyDescent="0.2">
      <c r="E623" s="3406"/>
      <c r="G623" s="3406"/>
      <c r="M623" s="3407"/>
      <c r="N623" s="3408"/>
      <c r="R623" s="3409"/>
      <c r="S623" s="3409"/>
      <c r="T623" s="3409"/>
      <c r="U623" s="3409"/>
      <c r="AH623" s="3410"/>
      <c r="AI623" s="3411"/>
    </row>
    <row r="624" spans="5:35" s="3405" customFormat="1" x14ac:dyDescent="0.2">
      <c r="E624" s="3406"/>
      <c r="G624" s="3406"/>
      <c r="M624" s="3407"/>
      <c r="N624" s="3408"/>
      <c r="R624" s="3409"/>
      <c r="S624" s="3409"/>
      <c r="T624" s="3409"/>
      <c r="U624" s="3409"/>
      <c r="AH624" s="3410"/>
      <c r="AI624" s="3411"/>
    </row>
    <row r="625" spans="5:35" s="3405" customFormat="1" x14ac:dyDescent="0.2">
      <c r="E625" s="3406"/>
      <c r="G625" s="3406"/>
      <c r="M625" s="3407"/>
      <c r="N625" s="3408"/>
      <c r="R625" s="3409"/>
      <c r="S625" s="3409"/>
      <c r="T625" s="3409"/>
      <c r="U625" s="3409"/>
      <c r="AH625" s="3410"/>
      <c r="AI625" s="3411"/>
    </row>
    <row r="626" spans="5:35" s="3405" customFormat="1" x14ac:dyDescent="0.2">
      <c r="E626" s="3406"/>
      <c r="G626" s="3406"/>
      <c r="M626" s="3407"/>
      <c r="N626" s="3408"/>
      <c r="R626" s="3409"/>
      <c r="S626" s="3409"/>
      <c r="T626" s="3409"/>
      <c r="U626" s="3409"/>
      <c r="AH626" s="3410"/>
      <c r="AI626" s="3411"/>
    </row>
    <row r="627" spans="5:35" s="3405" customFormat="1" x14ac:dyDescent="0.2">
      <c r="E627" s="3406"/>
      <c r="G627" s="3406"/>
      <c r="M627" s="3407"/>
      <c r="N627" s="3408"/>
      <c r="R627" s="3409"/>
      <c r="S627" s="3409"/>
      <c r="T627" s="3409"/>
      <c r="U627" s="3409"/>
      <c r="AH627" s="3410"/>
      <c r="AI627" s="3411"/>
    </row>
    <row r="628" spans="5:35" s="3405" customFormat="1" x14ac:dyDescent="0.2">
      <c r="E628" s="3406"/>
      <c r="G628" s="3406"/>
      <c r="M628" s="3407"/>
      <c r="N628" s="3408"/>
      <c r="R628" s="3409"/>
      <c r="S628" s="3409"/>
      <c r="T628" s="3409"/>
      <c r="U628" s="3409"/>
      <c r="AH628" s="3410"/>
      <c r="AI628" s="3411"/>
    </row>
    <row r="629" spans="5:35" s="3405" customFormat="1" x14ac:dyDescent="0.2">
      <c r="E629" s="3406"/>
      <c r="G629" s="3406"/>
      <c r="M629" s="3407"/>
      <c r="N629" s="3408"/>
      <c r="R629" s="3409"/>
      <c r="S629" s="3409"/>
      <c r="T629" s="3409"/>
      <c r="U629" s="3409"/>
      <c r="AH629" s="3410"/>
      <c r="AI629" s="3411"/>
    </row>
    <row r="630" spans="5:35" s="3405" customFormat="1" x14ac:dyDescent="0.2">
      <c r="E630" s="3406"/>
      <c r="G630" s="3406"/>
      <c r="M630" s="3407"/>
      <c r="N630" s="3408"/>
      <c r="R630" s="3409"/>
      <c r="S630" s="3409"/>
      <c r="T630" s="3409"/>
      <c r="U630" s="3409"/>
      <c r="AH630" s="3410"/>
      <c r="AI630" s="3411"/>
    </row>
    <row r="631" spans="5:35" s="3405" customFormat="1" x14ac:dyDescent="0.2">
      <c r="E631" s="3406"/>
      <c r="G631" s="3406"/>
      <c r="M631" s="3407"/>
      <c r="N631" s="3408"/>
      <c r="R631" s="3409"/>
      <c r="S631" s="3409"/>
      <c r="T631" s="3409"/>
      <c r="U631" s="3409"/>
      <c r="AH631" s="3410"/>
      <c r="AI631" s="3411"/>
    </row>
    <row r="632" spans="5:35" s="3405" customFormat="1" x14ac:dyDescent="0.2">
      <c r="E632" s="3406"/>
      <c r="G632" s="3406"/>
      <c r="M632" s="3407"/>
      <c r="N632" s="3408"/>
      <c r="R632" s="3409"/>
      <c r="S632" s="3409"/>
      <c r="T632" s="3409"/>
      <c r="U632" s="3409"/>
      <c r="AH632" s="3410"/>
      <c r="AI632" s="3411"/>
    </row>
    <row r="633" spans="5:35" s="3405" customFormat="1" x14ac:dyDescent="0.2">
      <c r="E633" s="3406"/>
      <c r="G633" s="3406"/>
      <c r="M633" s="3407"/>
      <c r="N633" s="3408"/>
      <c r="R633" s="3409"/>
      <c r="S633" s="3409"/>
      <c r="T633" s="3409"/>
      <c r="U633" s="3409"/>
      <c r="AH633" s="3410"/>
      <c r="AI633" s="3411"/>
    </row>
    <row r="634" spans="5:35" s="3405" customFormat="1" x14ac:dyDescent="0.2">
      <c r="E634" s="3406"/>
      <c r="G634" s="3406"/>
      <c r="M634" s="3407"/>
      <c r="N634" s="3408"/>
      <c r="R634" s="3409"/>
      <c r="S634" s="3409"/>
      <c r="T634" s="3409"/>
      <c r="U634" s="3409"/>
      <c r="AH634" s="3410"/>
      <c r="AI634" s="3411"/>
    </row>
    <row r="635" spans="5:35" s="3405" customFormat="1" x14ac:dyDescent="0.2">
      <c r="E635" s="3406"/>
      <c r="G635" s="3406"/>
      <c r="M635" s="3407"/>
      <c r="N635" s="3408"/>
      <c r="R635" s="3409"/>
      <c r="S635" s="3409"/>
      <c r="T635" s="3409"/>
      <c r="U635" s="3409"/>
      <c r="AH635" s="3410"/>
      <c r="AI635" s="3411"/>
    </row>
    <row r="636" spans="5:35" s="3405" customFormat="1" x14ac:dyDescent="0.2">
      <c r="E636" s="3406"/>
      <c r="G636" s="3406"/>
      <c r="M636" s="3407"/>
      <c r="N636" s="3408"/>
      <c r="R636" s="3409"/>
      <c r="S636" s="3409"/>
      <c r="T636" s="3409"/>
      <c r="U636" s="3409"/>
      <c r="AH636" s="3410"/>
      <c r="AI636" s="3411"/>
    </row>
    <row r="637" spans="5:35" s="3405" customFormat="1" x14ac:dyDescent="0.2">
      <c r="E637" s="3406"/>
      <c r="G637" s="3406"/>
      <c r="M637" s="3407"/>
      <c r="N637" s="3408"/>
      <c r="R637" s="3409"/>
      <c r="S637" s="3409"/>
      <c r="T637" s="3409"/>
      <c r="U637" s="3409"/>
      <c r="AH637" s="3410"/>
      <c r="AI637" s="3411"/>
    </row>
    <row r="638" spans="5:35" s="3405" customFormat="1" x14ac:dyDescent="0.2">
      <c r="E638" s="3406"/>
      <c r="G638" s="3406"/>
      <c r="M638" s="3407"/>
      <c r="N638" s="3408"/>
      <c r="R638" s="3409"/>
      <c r="S638" s="3409"/>
      <c r="T638" s="3409"/>
      <c r="U638" s="3409"/>
      <c r="AH638" s="3410"/>
      <c r="AI638" s="3411"/>
    </row>
    <row r="639" spans="5:35" s="3405" customFormat="1" x14ac:dyDescent="0.2">
      <c r="E639" s="3406"/>
      <c r="G639" s="3406"/>
      <c r="M639" s="3407"/>
      <c r="N639" s="3408"/>
      <c r="R639" s="3409"/>
      <c r="S639" s="3409"/>
      <c r="T639" s="3409"/>
      <c r="U639" s="3409"/>
      <c r="AH639" s="3410"/>
      <c r="AI639" s="3411"/>
    </row>
    <row r="640" spans="5:35" s="3405" customFormat="1" x14ac:dyDescent="0.2">
      <c r="E640" s="3406"/>
      <c r="G640" s="3406"/>
      <c r="M640" s="3407"/>
      <c r="N640" s="3408"/>
      <c r="R640" s="3409"/>
      <c r="S640" s="3409"/>
      <c r="T640" s="3409"/>
      <c r="U640" s="3409"/>
      <c r="AH640" s="3410"/>
      <c r="AI640" s="3411"/>
    </row>
    <row r="641" spans="5:35" s="3405" customFormat="1" x14ac:dyDescent="0.2">
      <c r="E641" s="3406"/>
      <c r="G641" s="3406"/>
      <c r="M641" s="3407"/>
      <c r="N641" s="3408"/>
      <c r="R641" s="3409"/>
      <c r="S641" s="3409"/>
      <c r="T641" s="3409"/>
      <c r="U641" s="3409"/>
      <c r="AH641" s="3410"/>
      <c r="AI641" s="3411"/>
    </row>
    <row r="642" spans="5:35" s="3405" customFormat="1" x14ac:dyDescent="0.2">
      <c r="E642" s="3406"/>
      <c r="G642" s="3406"/>
      <c r="M642" s="3407"/>
      <c r="N642" s="3408"/>
      <c r="R642" s="3409"/>
      <c r="S642" s="3409"/>
      <c r="T642" s="3409"/>
      <c r="U642" s="3409"/>
      <c r="AH642" s="3410"/>
      <c r="AI642" s="3411"/>
    </row>
    <row r="643" spans="5:35" s="3405" customFormat="1" x14ac:dyDescent="0.2">
      <c r="E643" s="3406"/>
      <c r="G643" s="3406"/>
      <c r="M643" s="3407"/>
      <c r="N643" s="3408"/>
      <c r="R643" s="3409"/>
      <c r="S643" s="3409"/>
      <c r="T643" s="3409"/>
      <c r="U643" s="3409"/>
      <c r="AH643" s="3410"/>
      <c r="AI643" s="3411"/>
    </row>
    <row r="644" spans="5:35" s="3405" customFormat="1" x14ac:dyDescent="0.2">
      <c r="E644" s="3406"/>
      <c r="G644" s="3406"/>
      <c r="M644" s="3407"/>
      <c r="N644" s="3408"/>
      <c r="R644" s="3409"/>
      <c r="S644" s="3409"/>
      <c r="T644" s="3409"/>
      <c r="U644" s="3409"/>
      <c r="AH644" s="3410"/>
      <c r="AI644" s="3411"/>
    </row>
    <row r="645" spans="5:35" s="3405" customFormat="1" x14ac:dyDescent="0.2">
      <c r="E645" s="3406"/>
      <c r="G645" s="3406"/>
      <c r="M645" s="3407"/>
      <c r="N645" s="3408"/>
      <c r="R645" s="3409"/>
      <c r="S645" s="3409"/>
      <c r="T645" s="3409"/>
      <c r="U645" s="3409"/>
      <c r="AH645" s="3410"/>
      <c r="AI645" s="3411"/>
    </row>
    <row r="646" spans="5:35" s="3405" customFormat="1" x14ac:dyDescent="0.2">
      <c r="E646" s="3406"/>
      <c r="G646" s="3406"/>
      <c r="M646" s="3407"/>
      <c r="N646" s="3408"/>
      <c r="R646" s="3409"/>
      <c r="S646" s="3409"/>
      <c r="T646" s="3409"/>
      <c r="U646" s="3409"/>
      <c r="AH646" s="3410"/>
      <c r="AI646" s="3411"/>
    </row>
    <row r="647" spans="5:35" s="3405" customFormat="1" x14ac:dyDescent="0.2">
      <c r="E647" s="3406"/>
      <c r="G647" s="3406"/>
      <c r="M647" s="3407"/>
      <c r="N647" s="3408"/>
      <c r="R647" s="3409"/>
      <c r="S647" s="3409"/>
      <c r="T647" s="3409"/>
      <c r="U647" s="3409"/>
      <c r="AH647" s="3410"/>
      <c r="AI647" s="3411"/>
    </row>
    <row r="648" spans="5:35" s="3405" customFormat="1" x14ac:dyDescent="0.2">
      <c r="E648" s="3406"/>
      <c r="G648" s="3406"/>
      <c r="M648" s="3407"/>
      <c r="N648" s="3408"/>
      <c r="R648" s="3409"/>
      <c r="S648" s="3409"/>
      <c r="T648" s="3409"/>
      <c r="U648" s="3409"/>
      <c r="AH648" s="3410"/>
      <c r="AI648" s="3411"/>
    </row>
    <row r="649" spans="5:35" s="3405" customFormat="1" x14ac:dyDescent="0.2">
      <c r="E649" s="3406"/>
      <c r="G649" s="3406"/>
      <c r="M649" s="3407"/>
      <c r="N649" s="3408"/>
      <c r="R649" s="3409"/>
      <c r="S649" s="3409"/>
      <c r="T649" s="3409"/>
      <c r="U649" s="3409"/>
      <c r="AH649" s="3410"/>
      <c r="AI649" s="3411"/>
    </row>
    <row r="650" spans="5:35" s="3405" customFormat="1" x14ac:dyDescent="0.2">
      <c r="E650" s="3406"/>
      <c r="G650" s="3406"/>
      <c r="M650" s="3407"/>
      <c r="N650" s="3408"/>
      <c r="R650" s="3409"/>
      <c r="S650" s="3409"/>
      <c r="T650" s="3409"/>
      <c r="U650" s="3409"/>
      <c r="AH650" s="3410"/>
      <c r="AI650" s="3411"/>
    </row>
    <row r="651" spans="5:35" s="3405" customFormat="1" x14ac:dyDescent="0.2">
      <c r="E651" s="3406"/>
      <c r="G651" s="3406"/>
      <c r="M651" s="3407"/>
      <c r="N651" s="3408"/>
      <c r="R651" s="3409"/>
      <c r="S651" s="3409"/>
      <c r="T651" s="3409"/>
      <c r="U651" s="3409"/>
      <c r="AH651" s="3410"/>
      <c r="AI651" s="3411"/>
    </row>
    <row r="652" spans="5:35" s="3405" customFormat="1" x14ac:dyDescent="0.2">
      <c r="E652" s="3406"/>
      <c r="G652" s="3406"/>
      <c r="M652" s="3407"/>
      <c r="N652" s="3408"/>
      <c r="R652" s="3409"/>
      <c r="S652" s="3409"/>
      <c r="T652" s="3409"/>
      <c r="U652" s="3409"/>
      <c r="AH652" s="3410"/>
      <c r="AI652" s="3411"/>
    </row>
    <row r="653" spans="5:35" s="3405" customFormat="1" x14ac:dyDescent="0.2">
      <c r="E653" s="3406"/>
      <c r="G653" s="3406"/>
      <c r="M653" s="3407"/>
      <c r="N653" s="3408"/>
      <c r="R653" s="3409"/>
      <c r="S653" s="3409"/>
      <c r="T653" s="3409"/>
      <c r="U653" s="3409"/>
      <c r="AH653" s="3410"/>
      <c r="AI653" s="3411"/>
    </row>
    <row r="654" spans="5:35" s="3405" customFormat="1" x14ac:dyDescent="0.2">
      <c r="E654" s="3406"/>
      <c r="G654" s="3406"/>
      <c r="M654" s="3407"/>
      <c r="N654" s="3408"/>
      <c r="R654" s="3409"/>
      <c r="S654" s="3409"/>
      <c r="T654" s="3409"/>
      <c r="U654" s="3409"/>
      <c r="AH654" s="3410"/>
      <c r="AI654" s="3411"/>
    </row>
    <row r="655" spans="5:35" s="3405" customFormat="1" x14ac:dyDescent="0.2">
      <c r="E655" s="3406"/>
      <c r="G655" s="3406"/>
      <c r="M655" s="3407"/>
      <c r="N655" s="3408"/>
      <c r="R655" s="3409"/>
      <c r="S655" s="3409"/>
      <c r="T655" s="3409"/>
      <c r="U655" s="3409"/>
      <c r="AH655" s="3410"/>
      <c r="AI655" s="3411"/>
    </row>
    <row r="656" spans="5:35" s="3405" customFormat="1" x14ac:dyDescent="0.2">
      <c r="E656" s="3406"/>
      <c r="G656" s="3406"/>
      <c r="M656" s="3407"/>
      <c r="N656" s="3408"/>
      <c r="R656" s="3409"/>
      <c r="S656" s="3409"/>
      <c r="T656" s="3409"/>
      <c r="U656" s="3409"/>
      <c r="AH656" s="3410"/>
      <c r="AI656" s="3411"/>
    </row>
    <row r="657" spans="5:35" s="3405" customFormat="1" x14ac:dyDescent="0.2">
      <c r="E657" s="3406"/>
      <c r="G657" s="3406"/>
      <c r="M657" s="3407"/>
      <c r="N657" s="3408"/>
      <c r="R657" s="3409"/>
      <c r="S657" s="3409"/>
      <c r="T657" s="3409"/>
      <c r="U657" s="3409"/>
      <c r="AH657" s="3410"/>
      <c r="AI657" s="3411"/>
    </row>
    <row r="658" spans="5:35" s="3405" customFormat="1" x14ac:dyDescent="0.2">
      <c r="E658" s="3406"/>
      <c r="G658" s="3406"/>
      <c r="M658" s="3407"/>
      <c r="N658" s="3408"/>
      <c r="R658" s="3409"/>
      <c r="S658" s="3409"/>
      <c r="T658" s="3409"/>
      <c r="U658" s="3409"/>
      <c r="AH658" s="3410"/>
      <c r="AI658" s="3411"/>
    </row>
    <row r="659" spans="5:35" s="3405" customFormat="1" x14ac:dyDescent="0.2">
      <c r="E659" s="3406"/>
      <c r="G659" s="3406"/>
      <c r="M659" s="3407"/>
      <c r="N659" s="3408"/>
      <c r="R659" s="3409"/>
      <c r="S659" s="3409"/>
      <c r="T659" s="3409"/>
      <c r="U659" s="3409"/>
      <c r="AH659" s="3410"/>
      <c r="AI659" s="3411"/>
    </row>
    <row r="660" spans="5:35" s="3405" customFormat="1" x14ac:dyDescent="0.2">
      <c r="E660" s="3406"/>
      <c r="G660" s="3406"/>
      <c r="M660" s="3407"/>
      <c r="N660" s="3408"/>
      <c r="R660" s="3409"/>
      <c r="S660" s="3409"/>
      <c r="T660" s="3409"/>
      <c r="U660" s="3409"/>
      <c r="AH660" s="3410"/>
      <c r="AI660" s="3411"/>
    </row>
    <row r="661" spans="5:35" s="3405" customFormat="1" x14ac:dyDescent="0.2">
      <c r="E661" s="3406"/>
      <c r="G661" s="3406"/>
      <c r="M661" s="3407"/>
      <c r="N661" s="3408"/>
      <c r="R661" s="3409"/>
      <c r="S661" s="3409"/>
      <c r="T661" s="3409"/>
      <c r="U661" s="3409"/>
      <c r="AH661" s="3410"/>
      <c r="AI661" s="3411"/>
    </row>
    <row r="662" spans="5:35" s="3405" customFormat="1" x14ac:dyDescent="0.2">
      <c r="E662" s="3406"/>
      <c r="G662" s="3406"/>
      <c r="M662" s="3407"/>
      <c r="N662" s="3408"/>
      <c r="R662" s="3409"/>
      <c r="S662" s="3409"/>
      <c r="T662" s="3409"/>
      <c r="U662" s="3409"/>
      <c r="AH662" s="3410"/>
      <c r="AI662" s="3411"/>
    </row>
    <row r="663" spans="5:35" s="3405" customFormat="1" x14ac:dyDescent="0.2">
      <c r="E663" s="3406"/>
      <c r="G663" s="3406"/>
      <c r="M663" s="3407"/>
      <c r="N663" s="3408"/>
      <c r="R663" s="3409"/>
      <c r="S663" s="3409"/>
      <c r="T663" s="3409"/>
      <c r="U663" s="3409"/>
      <c r="AH663" s="3410"/>
      <c r="AI663" s="3411"/>
    </row>
  </sheetData>
  <mergeCells count="69">
    <mergeCell ref="A22:N22"/>
    <mergeCell ref="U18:U19"/>
    <mergeCell ref="G20:G21"/>
    <mergeCell ref="H20:H21"/>
    <mergeCell ref="I20:I21"/>
    <mergeCell ref="J20:J21"/>
    <mergeCell ref="K20:K21"/>
    <mergeCell ref="N20:N21"/>
    <mergeCell ref="O20:O21"/>
    <mergeCell ref="R20:R21"/>
    <mergeCell ref="G18:G19"/>
    <mergeCell ref="H18:H19"/>
    <mergeCell ref="I18:I19"/>
    <mergeCell ref="J18:J19"/>
    <mergeCell ref="K18:K19"/>
    <mergeCell ref="N18:N19"/>
    <mergeCell ref="AF14:AF21"/>
    <mergeCell ref="AG14:AG21"/>
    <mergeCell ref="AH14:AH21"/>
    <mergeCell ref="AI14:AI21"/>
    <mergeCell ref="AJ14:AJ21"/>
    <mergeCell ref="G16:G17"/>
    <mergeCell ref="H16:H17"/>
    <mergeCell ref="I16:I17"/>
    <mergeCell ref="J16:J17"/>
    <mergeCell ref="K16:K17"/>
    <mergeCell ref="Z14:Z21"/>
    <mergeCell ref="AA14:AA21"/>
    <mergeCell ref="AB14:AB21"/>
    <mergeCell ref="AC14:AC21"/>
    <mergeCell ref="AD14:AD21"/>
    <mergeCell ref="AE14:AE21"/>
    <mergeCell ref="Q14:Q21"/>
    <mergeCell ref="R14:R15"/>
    <mergeCell ref="V14:V21"/>
    <mergeCell ref="W14:W21"/>
    <mergeCell ref="X14:X21"/>
    <mergeCell ref="Y14:Y21"/>
    <mergeCell ref="R16:R17"/>
    <mergeCell ref="R18:R19"/>
    <mergeCell ref="S18:S19"/>
    <mergeCell ref="T18:T19"/>
    <mergeCell ref="K14:K15"/>
    <mergeCell ref="L14:L21"/>
    <mergeCell ref="M14:M21"/>
    <mergeCell ref="N14:N15"/>
    <mergeCell ref="O14:O15"/>
    <mergeCell ref="P14:P21"/>
    <mergeCell ref="N16:N17"/>
    <mergeCell ref="O16:O17"/>
    <mergeCell ref="O18:O19"/>
    <mergeCell ref="B9:D9"/>
    <mergeCell ref="D10:AJ10"/>
    <mergeCell ref="F11:AJ11"/>
    <mergeCell ref="F13:J13"/>
    <mergeCell ref="E14:E21"/>
    <mergeCell ref="F14:F21"/>
    <mergeCell ref="G14:G15"/>
    <mergeCell ref="H14:H15"/>
    <mergeCell ref="I14:I15"/>
    <mergeCell ref="J14:J15"/>
    <mergeCell ref="A1:AH4"/>
    <mergeCell ref="A5:J7"/>
    <mergeCell ref="K5:U7"/>
    <mergeCell ref="V5:AG6"/>
    <mergeCell ref="AH5:AJ6"/>
    <mergeCell ref="V7:AA7"/>
    <mergeCell ref="AB7:AG7"/>
    <mergeCell ref="AH7:AJ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
  <sheetViews>
    <sheetView showGridLines="0" zoomScale="60" zoomScaleNormal="60" workbookViewId="0">
      <selection activeCell="A3" sqref="A3:AK3"/>
    </sheetView>
  </sheetViews>
  <sheetFormatPr baseColWidth="10" defaultColWidth="11.42578125" defaultRowHeight="14.25" x14ac:dyDescent="0.2"/>
  <cols>
    <col min="1" max="1" width="12.5703125" style="34" customWidth="1"/>
    <col min="2" max="2" width="4" style="34" customWidth="1"/>
    <col min="3" max="3" width="14.7109375" style="34" customWidth="1"/>
    <col min="4" max="4" width="12" style="34" customWidth="1"/>
    <col min="5" max="5" width="7.42578125" style="34" customWidth="1"/>
    <col min="6" max="6" width="10.140625" style="34" customWidth="1"/>
    <col min="7" max="7" width="12.140625" style="34" customWidth="1"/>
    <col min="8" max="8" width="8.5703125" style="34" customWidth="1"/>
    <col min="9" max="9" width="14.7109375" style="34" customWidth="1"/>
    <col min="10" max="10" width="13.140625" style="1450" customWidth="1"/>
    <col min="11" max="11" width="22.7109375" style="162" customWidth="1"/>
    <col min="12" max="12" width="18.140625" style="153" customWidth="1"/>
    <col min="13" max="13" width="12.140625" style="153" customWidth="1"/>
    <col min="14" max="14" width="24.28515625" style="153" customWidth="1"/>
    <col min="15" max="15" width="11.7109375" style="153" customWidth="1"/>
    <col min="16" max="16" width="23.7109375" style="1451" customWidth="1"/>
    <col min="17" max="17" width="9.7109375" style="155" customWidth="1"/>
    <col min="18" max="18" width="20.5703125" style="156" bestFit="1" customWidth="1"/>
    <col min="19" max="19" width="27.28515625" style="1451" customWidth="1"/>
    <col min="20" max="20" width="29.140625" style="1451" customWidth="1"/>
    <col min="21" max="21" width="24.5703125" style="1451" customWidth="1"/>
    <col min="22" max="23" width="21.85546875" style="159" customWidth="1"/>
    <col min="24" max="24" width="17.85546875" style="158" customWidth="1"/>
    <col min="25" max="25" width="7.28515625" style="34" customWidth="1"/>
    <col min="26" max="26" width="9" style="34" customWidth="1"/>
    <col min="27" max="36" width="7.28515625" style="34" customWidth="1"/>
    <col min="37" max="37" width="22.7109375" style="1421" customWidth="1"/>
    <col min="38" max="38" width="22.7109375" style="1452" customWidth="1"/>
    <col min="39" max="39" width="22.5703125" style="513" customWidth="1"/>
    <col min="40" max="16384" width="11.42578125" style="513"/>
  </cols>
  <sheetData>
    <row r="1" spans="1:39" ht="15.75" customHeight="1" x14ac:dyDescent="0.25">
      <c r="A1" s="1806" t="s">
        <v>1792</v>
      </c>
      <c r="B1" s="1806"/>
      <c r="C1" s="1806"/>
      <c r="D1" s="1806"/>
      <c r="E1" s="1806"/>
      <c r="F1" s="1806"/>
      <c r="G1" s="1806"/>
      <c r="H1" s="1806"/>
      <c r="I1" s="1806"/>
      <c r="J1" s="1806"/>
      <c r="K1" s="1806"/>
      <c r="L1" s="1806"/>
      <c r="M1" s="1806"/>
      <c r="N1" s="1806"/>
      <c r="O1" s="1806"/>
      <c r="P1" s="1806"/>
      <c r="Q1" s="1806"/>
      <c r="R1" s="1806"/>
      <c r="S1" s="1806"/>
      <c r="T1" s="1806"/>
      <c r="U1" s="1806"/>
      <c r="V1" s="1806"/>
      <c r="W1" s="1806"/>
      <c r="X1" s="1806"/>
      <c r="Y1" s="1806"/>
      <c r="Z1" s="1806"/>
      <c r="AA1" s="1806"/>
      <c r="AB1" s="1806"/>
      <c r="AC1" s="1806"/>
      <c r="AD1" s="1806"/>
      <c r="AE1" s="1806"/>
      <c r="AF1" s="1806"/>
      <c r="AG1" s="1806"/>
      <c r="AH1" s="1806"/>
      <c r="AI1" s="1806"/>
      <c r="AJ1" s="1806"/>
      <c r="AK1" s="2060"/>
      <c r="AL1" s="769" t="s">
        <v>0</v>
      </c>
      <c r="AM1" s="245" t="s">
        <v>1784</v>
      </c>
    </row>
    <row r="2" spans="1:39" ht="16.5" customHeight="1" x14ac:dyDescent="0.25">
      <c r="A2" s="1806"/>
      <c r="B2" s="1806"/>
      <c r="C2" s="1806"/>
      <c r="D2" s="1806"/>
      <c r="E2" s="1806"/>
      <c r="F2" s="1806"/>
      <c r="G2" s="1806"/>
      <c r="H2" s="1806"/>
      <c r="I2" s="1806"/>
      <c r="J2" s="1806"/>
      <c r="K2" s="1806"/>
      <c r="L2" s="1806"/>
      <c r="M2" s="1806"/>
      <c r="N2" s="1806"/>
      <c r="O2" s="1806"/>
      <c r="P2" s="1806"/>
      <c r="Q2" s="1806"/>
      <c r="R2" s="1806"/>
      <c r="S2" s="1806"/>
      <c r="T2" s="1806"/>
      <c r="U2" s="1806"/>
      <c r="V2" s="1806"/>
      <c r="W2" s="1806"/>
      <c r="X2" s="1806"/>
      <c r="Y2" s="1806"/>
      <c r="Z2" s="1806"/>
      <c r="AA2" s="1806"/>
      <c r="AB2" s="1806"/>
      <c r="AC2" s="1806"/>
      <c r="AD2" s="1806"/>
      <c r="AE2" s="1806"/>
      <c r="AF2" s="1806"/>
      <c r="AG2" s="1806"/>
      <c r="AH2" s="1806"/>
      <c r="AI2" s="1806"/>
      <c r="AJ2" s="1806"/>
      <c r="AK2" s="2060"/>
      <c r="AL2" s="770" t="s">
        <v>1</v>
      </c>
      <c r="AM2" s="246">
        <v>5</v>
      </c>
    </row>
    <row r="3" spans="1:39" ht="24.75" customHeight="1" x14ac:dyDescent="0.25">
      <c r="A3" s="1806" t="s">
        <v>710</v>
      </c>
      <c r="B3" s="1806"/>
      <c r="C3" s="1806"/>
      <c r="D3" s="1806"/>
      <c r="E3" s="1806"/>
      <c r="F3" s="1806"/>
      <c r="G3" s="1806"/>
      <c r="H3" s="1806"/>
      <c r="I3" s="1806"/>
      <c r="J3" s="1806"/>
      <c r="K3" s="1806"/>
      <c r="L3" s="1806"/>
      <c r="M3" s="1806"/>
      <c r="N3" s="1806"/>
      <c r="O3" s="1806"/>
      <c r="P3" s="1806"/>
      <c r="Q3" s="1806"/>
      <c r="R3" s="1806"/>
      <c r="S3" s="1806"/>
      <c r="T3" s="1806"/>
      <c r="U3" s="1806"/>
      <c r="V3" s="1806"/>
      <c r="W3" s="1806"/>
      <c r="X3" s="1806"/>
      <c r="Y3" s="1806"/>
      <c r="Z3" s="1806"/>
      <c r="AA3" s="1806"/>
      <c r="AB3" s="1806"/>
      <c r="AC3" s="1806"/>
      <c r="AD3" s="1806"/>
      <c r="AE3" s="1806"/>
      <c r="AF3" s="1806"/>
      <c r="AG3" s="1806"/>
      <c r="AH3" s="1806"/>
      <c r="AI3" s="1806"/>
      <c r="AJ3" s="1806"/>
      <c r="AK3" s="2060"/>
      <c r="AL3" s="769" t="s">
        <v>2</v>
      </c>
      <c r="AM3" s="247" t="s">
        <v>1785</v>
      </c>
    </row>
    <row r="4" spans="1:39" ht="15" customHeight="1" x14ac:dyDescent="0.2">
      <c r="A4" s="1760" t="s">
        <v>119</v>
      </c>
      <c r="B4" s="1760"/>
      <c r="C4" s="1760"/>
      <c r="D4" s="1760"/>
      <c r="E4" s="1760"/>
      <c r="F4" s="1760"/>
      <c r="G4" s="1760"/>
      <c r="H4" s="1760"/>
      <c r="I4" s="1760"/>
      <c r="J4" s="1760"/>
      <c r="K4" s="1760"/>
      <c r="L4" s="1760"/>
      <c r="M4" s="1760"/>
      <c r="N4" s="1760"/>
      <c r="O4" s="1760"/>
      <c r="P4" s="1760"/>
      <c r="Q4" s="1760"/>
      <c r="R4" s="1760"/>
      <c r="S4" s="1760"/>
      <c r="T4" s="1760"/>
      <c r="U4" s="1760"/>
      <c r="V4" s="1760"/>
      <c r="W4" s="1760"/>
      <c r="X4" s="1760"/>
      <c r="Y4" s="1760"/>
      <c r="Z4" s="1760"/>
      <c r="AA4" s="1760"/>
      <c r="AB4" s="1760"/>
      <c r="AC4" s="1760"/>
      <c r="AD4" s="1760"/>
      <c r="AE4" s="1760"/>
      <c r="AF4" s="1760"/>
      <c r="AG4" s="1760"/>
      <c r="AH4" s="1760"/>
      <c r="AI4" s="1760"/>
      <c r="AJ4" s="1760"/>
      <c r="AK4" s="1761"/>
      <c r="AL4" s="772" t="s">
        <v>3</v>
      </c>
      <c r="AM4" s="248" t="s">
        <v>4</v>
      </c>
    </row>
    <row r="5" spans="1:39" ht="15" customHeight="1" x14ac:dyDescent="0.2">
      <c r="A5" s="1758" t="s">
        <v>5</v>
      </c>
      <c r="B5" s="1758"/>
      <c r="C5" s="1758"/>
      <c r="D5" s="1758"/>
      <c r="E5" s="1758"/>
      <c r="F5" s="1758"/>
      <c r="G5" s="1758"/>
      <c r="H5" s="1758"/>
      <c r="I5" s="1758"/>
      <c r="J5" s="1758"/>
      <c r="K5" s="1758"/>
      <c r="L5" s="1758"/>
      <c r="M5" s="1758"/>
      <c r="N5" s="467"/>
      <c r="O5" s="467"/>
      <c r="P5" s="1757" t="s">
        <v>6</v>
      </c>
      <c r="Q5" s="1758"/>
      <c r="R5" s="1758"/>
      <c r="S5" s="1758"/>
      <c r="T5" s="1758"/>
      <c r="U5" s="1758"/>
      <c r="V5" s="1758"/>
      <c r="W5" s="1758"/>
      <c r="X5" s="1762"/>
      <c r="Y5" s="1757" t="s">
        <v>7</v>
      </c>
      <c r="Z5" s="1758"/>
      <c r="AA5" s="1758"/>
      <c r="AB5" s="1758"/>
      <c r="AC5" s="1758"/>
      <c r="AD5" s="1758"/>
      <c r="AE5" s="1758"/>
      <c r="AF5" s="1758"/>
      <c r="AG5" s="1758"/>
      <c r="AH5" s="1758"/>
      <c r="AI5" s="1758"/>
      <c r="AJ5" s="1758"/>
      <c r="AK5" s="1758"/>
      <c r="AL5" s="1758"/>
      <c r="AM5" s="1758"/>
    </row>
    <row r="6" spans="1:39" ht="15.75" thickBot="1" x14ac:dyDescent="0.25">
      <c r="A6" s="1806"/>
      <c r="B6" s="1806"/>
      <c r="C6" s="1806"/>
      <c r="D6" s="1806"/>
      <c r="E6" s="1806"/>
      <c r="F6" s="1806"/>
      <c r="G6" s="1806"/>
      <c r="H6" s="1806"/>
      <c r="I6" s="1806"/>
      <c r="J6" s="1806"/>
      <c r="K6" s="1806"/>
      <c r="L6" s="1806"/>
      <c r="M6" s="1806"/>
      <c r="N6" s="468"/>
      <c r="O6" s="468"/>
      <c r="P6" s="1805"/>
      <c r="Q6" s="1806"/>
      <c r="R6" s="1806"/>
      <c r="S6" s="1806"/>
      <c r="T6" s="1806"/>
      <c r="U6" s="1806"/>
      <c r="V6" s="1806"/>
      <c r="W6" s="1806"/>
      <c r="X6" s="2060"/>
      <c r="Y6" s="3287"/>
      <c r="Z6" s="3288"/>
      <c r="AA6" s="3288"/>
      <c r="AB6" s="3288"/>
      <c r="AC6" s="3288"/>
      <c r="AD6" s="3288"/>
      <c r="AE6" s="3288"/>
      <c r="AF6" s="3288"/>
      <c r="AG6" s="3288"/>
      <c r="AH6" s="3288"/>
      <c r="AI6" s="3288"/>
      <c r="AJ6" s="3288"/>
      <c r="AK6" s="1806"/>
      <c r="AL6" s="1806"/>
      <c r="AM6" s="1806"/>
    </row>
    <row r="7" spans="1:39" s="758" customFormat="1" ht="27" customHeight="1" x14ac:dyDescent="0.2">
      <c r="A7" s="1898" t="s">
        <v>8</v>
      </c>
      <c r="B7" s="1900" t="s">
        <v>9</v>
      </c>
      <c r="C7" s="1901"/>
      <c r="D7" s="1901" t="s">
        <v>8</v>
      </c>
      <c r="E7" s="1900" t="s">
        <v>10</v>
      </c>
      <c r="F7" s="1901"/>
      <c r="G7" s="1901" t="s">
        <v>8</v>
      </c>
      <c r="H7" s="1900" t="s">
        <v>11</v>
      </c>
      <c r="I7" s="1901"/>
      <c r="J7" s="1901" t="s">
        <v>8</v>
      </c>
      <c r="K7" s="1900" t="s">
        <v>12</v>
      </c>
      <c r="L7" s="1752" t="s">
        <v>13</v>
      </c>
      <c r="M7" s="3289" t="s">
        <v>14</v>
      </c>
      <c r="N7" s="1752" t="s">
        <v>15</v>
      </c>
      <c r="O7" s="1752" t="s">
        <v>258</v>
      </c>
      <c r="P7" s="1752" t="s">
        <v>6</v>
      </c>
      <c r="Q7" s="3281" t="s">
        <v>17</v>
      </c>
      <c r="R7" s="3283" t="s">
        <v>18</v>
      </c>
      <c r="S7" s="1900" t="s">
        <v>19</v>
      </c>
      <c r="T7" s="1900" t="s">
        <v>20</v>
      </c>
      <c r="U7" s="1752" t="s">
        <v>21</v>
      </c>
      <c r="V7" s="3285" t="s">
        <v>18</v>
      </c>
      <c r="W7" s="494"/>
      <c r="X7" s="1752" t="s">
        <v>22</v>
      </c>
      <c r="Y7" s="3279" t="s">
        <v>23</v>
      </c>
      <c r="Z7" s="3280"/>
      <c r="AA7" s="3280"/>
      <c r="AB7" s="3280"/>
      <c r="AC7" s="3280"/>
      <c r="AD7" s="3280"/>
      <c r="AE7" s="3279" t="s">
        <v>24</v>
      </c>
      <c r="AF7" s="3280"/>
      <c r="AG7" s="3280"/>
      <c r="AH7" s="3280"/>
      <c r="AI7" s="3280"/>
      <c r="AJ7" s="3280"/>
      <c r="AK7" s="3278" t="s">
        <v>25</v>
      </c>
      <c r="AL7" s="3278" t="s">
        <v>26</v>
      </c>
      <c r="AM7" s="1907" t="s">
        <v>27</v>
      </c>
    </row>
    <row r="8" spans="1:39" s="758" customFormat="1" ht="88.5" x14ac:dyDescent="0.2">
      <c r="A8" s="1899"/>
      <c r="B8" s="1902"/>
      <c r="C8" s="1903"/>
      <c r="D8" s="1903"/>
      <c r="E8" s="1902"/>
      <c r="F8" s="1903"/>
      <c r="G8" s="1903"/>
      <c r="H8" s="1902"/>
      <c r="I8" s="1903"/>
      <c r="J8" s="1903"/>
      <c r="K8" s="1902"/>
      <c r="L8" s="1753"/>
      <c r="M8" s="2335"/>
      <c r="N8" s="1753"/>
      <c r="O8" s="1753"/>
      <c r="P8" s="1753"/>
      <c r="Q8" s="3282"/>
      <c r="R8" s="3284"/>
      <c r="S8" s="1902"/>
      <c r="T8" s="1902"/>
      <c r="U8" s="1753"/>
      <c r="V8" s="3286"/>
      <c r="W8" s="1489" t="s">
        <v>8</v>
      </c>
      <c r="X8" s="1753"/>
      <c r="Y8" s="1539" t="s">
        <v>28</v>
      </c>
      <c r="Z8" s="1539" t="s">
        <v>29</v>
      </c>
      <c r="AA8" s="1539" t="s">
        <v>30</v>
      </c>
      <c r="AB8" s="1539" t="s">
        <v>31</v>
      </c>
      <c r="AC8" s="1539" t="s">
        <v>32</v>
      </c>
      <c r="AD8" s="1539" t="s">
        <v>33</v>
      </c>
      <c r="AE8" s="1539" t="s">
        <v>34</v>
      </c>
      <c r="AF8" s="1539" t="s">
        <v>35</v>
      </c>
      <c r="AG8" s="1539" t="s">
        <v>36</v>
      </c>
      <c r="AH8" s="1539" t="s">
        <v>37</v>
      </c>
      <c r="AI8" s="1539" t="s">
        <v>38</v>
      </c>
      <c r="AJ8" s="1539" t="s">
        <v>39</v>
      </c>
      <c r="AK8" s="3278"/>
      <c r="AL8" s="3278"/>
      <c r="AM8" s="1908"/>
    </row>
    <row r="9" spans="1:39" ht="23.25" customHeight="1" x14ac:dyDescent="0.2">
      <c r="A9" s="39">
        <v>4</v>
      </c>
      <c r="B9" s="567" t="s">
        <v>711</v>
      </c>
      <c r="C9" s="567"/>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row>
    <row r="10" spans="1:39" ht="23.25" customHeight="1" x14ac:dyDescent="0.2">
      <c r="A10" s="139"/>
      <c r="B10" s="1422"/>
      <c r="C10" s="140"/>
      <c r="D10" s="826">
        <v>23</v>
      </c>
      <c r="E10" s="1423" t="s">
        <v>712</v>
      </c>
      <c r="F10" s="1423"/>
      <c r="G10" s="1423"/>
      <c r="H10" s="1423"/>
      <c r="I10" s="1423"/>
      <c r="J10" s="1423"/>
      <c r="K10" s="1423"/>
      <c r="L10" s="1423"/>
      <c r="M10" s="1423"/>
      <c r="N10" s="1423"/>
      <c r="O10" s="1423"/>
      <c r="P10" s="1423"/>
      <c r="Q10" s="1423"/>
      <c r="R10" s="1423"/>
      <c r="S10" s="1423"/>
      <c r="T10" s="1423"/>
      <c r="U10" s="1423"/>
      <c r="V10" s="1423"/>
      <c r="W10" s="1423"/>
      <c r="X10" s="1423"/>
      <c r="Y10" s="1423"/>
      <c r="Z10" s="1423"/>
      <c r="AA10" s="1423"/>
      <c r="AB10" s="1423"/>
      <c r="AC10" s="1423"/>
      <c r="AD10" s="1423"/>
      <c r="AE10" s="1423"/>
      <c r="AF10" s="1423"/>
      <c r="AG10" s="1423"/>
      <c r="AH10" s="1423"/>
      <c r="AI10" s="1423"/>
      <c r="AJ10" s="1423"/>
      <c r="AK10" s="1423"/>
      <c r="AL10" s="1423"/>
      <c r="AM10" s="1424"/>
    </row>
    <row r="11" spans="1:39" ht="23.25" customHeight="1" x14ac:dyDescent="0.2">
      <c r="A11" s="121"/>
      <c r="B11" s="1425"/>
      <c r="C11" s="122"/>
      <c r="D11" s="1426"/>
      <c r="E11" s="1427"/>
      <c r="F11" s="1428"/>
      <c r="G11" s="1429">
        <v>77</v>
      </c>
      <c r="H11" s="60" t="s">
        <v>713</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163" customFormat="1" ht="51" customHeight="1" x14ac:dyDescent="0.2">
      <c r="A12" s="121"/>
      <c r="B12" s="1425"/>
      <c r="C12" s="122"/>
      <c r="D12" s="1430"/>
      <c r="E12" s="1427"/>
      <c r="F12" s="1428"/>
      <c r="G12" s="131"/>
      <c r="H12" s="1431"/>
      <c r="I12" s="132"/>
      <c r="J12" s="3269">
        <v>223</v>
      </c>
      <c r="K12" s="1783" t="s">
        <v>714</v>
      </c>
      <c r="L12" s="1774" t="s">
        <v>16</v>
      </c>
      <c r="M12" s="1775">
        <v>1</v>
      </c>
      <c r="N12" s="3270"/>
      <c r="O12" s="1774">
        <v>172</v>
      </c>
      <c r="P12" s="1783" t="s">
        <v>715</v>
      </c>
      <c r="Q12" s="1938">
        <f>+R12/(V12+V13+V14+V15)</f>
        <v>0.55420391906244304</v>
      </c>
      <c r="R12" s="3268">
        <v>30167954</v>
      </c>
      <c r="S12" s="1778" t="s">
        <v>716</v>
      </c>
      <c r="T12" s="1778" t="s">
        <v>717</v>
      </c>
      <c r="U12" s="1432" t="s">
        <v>718</v>
      </c>
      <c r="V12" s="2046">
        <v>30167954</v>
      </c>
      <c r="W12" s="3277">
        <v>1</v>
      </c>
      <c r="X12" s="1774" t="s">
        <v>719</v>
      </c>
      <c r="Y12" s="2950">
        <v>13437</v>
      </c>
      <c r="Z12" s="2950">
        <v>19816</v>
      </c>
      <c r="AA12" s="2950">
        <v>5665</v>
      </c>
      <c r="AB12" s="2950">
        <v>17786</v>
      </c>
      <c r="AC12" s="2950">
        <v>46467</v>
      </c>
      <c r="AD12" s="2950">
        <v>15954</v>
      </c>
      <c r="AE12" s="3274"/>
      <c r="AF12" s="3274"/>
      <c r="AG12" s="3274"/>
      <c r="AH12" s="3274"/>
      <c r="AI12" s="1433"/>
      <c r="AJ12" s="1433"/>
      <c r="AK12" s="3272">
        <v>42750</v>
      </c>
      <c r="AL12" s="3272" t="s">
        <v>720</v>
      </c>
      <c r="AM12" s="1864" t="s">
        <v>721</v>
      </c>
    </row>
    <row r="13" spans="1:39" s="163" customFormat="1" ht="57.75" customHeight="1" x14ac:dyDescent="0.2">
      <c r="A13" s="121"/>
      <c r="B13" s="1425"/>
      <c r="C13" s="122"/>
      <c r="D13" s="1430"/>
      <c r="E13" s="1427"/>
      <c r="F13" s="1428"/>
      <c r="G13" s="133"/>
      <c r="H13" s="103"/>
      <c r="I13" s="134"/>
      <c r="J13" s="3269"/>
      <c r="K13" s="1783"/>
      <c r="L13" s="1774"/>
      <c r="M13" s="1775"/>
      <c r="N13" s="3270"/>
      <c r="O13" s="1774"/>
      <c r="P13" s="1783"/>
      <c r="Q13" s="1938"/>
      <c r="R13" s="3268"/>
      <c r="S13" s="1778"/>
      <c r="T13" s="1778"/>
      <c r="U13" s="1432" t="s">
        <v>722</v>
      </c>
      <c r="V13" s="2048"/>
      <c r="W13" s="3277"/>
      <c r="X13" s="1774"/>
      <c r="Y13" s="3275"/>
      <c r="Z13" s="3275"/>
      <c r="AA13" s="3275"/>
      <c r="AB13" s="3275"/>
      <c r="AC13" s="3275"/>
      <c r="AD13" s="3275"/>
      <c r="AE13" s="3275"/>
      <c r="AF13" s="3275"/>
      <c r="AG13" s="3275"/>
      <c r="AH13" s="3275"/>
      <c r="AI13" s="1420"/>
      <c r="AJ13" s="1420"/>
      <c r="AK13" s="3273"/>
      <c r="AL13" s="3273"/>
      <c r="AM13" s="1864"/>
    </row>
    <row r="14" spans="1:39" s="163" customFormat="1" ht="42.75" customHeight="1" x14ac:dyDescent="0.2">
      <c r="A14" s="121"/>
      <c r="B14" s="1425"/>
      <c r="C14" s="122"/>
      <c r="D14" s="1430"/>
      <c r="E14" s="1427"/>
      <c r="F14" s="1428"/>
      <c r="G14" s="133"/>
      <c r="H14" s="103"/>
      <c r="I14" s="134"/>
      <c r="J14" s="1434">
        <v>224</v>
      </c>
      <c r="K14" s="50" t="s">
        <v>723</v>
      </c>
      <c r="L14" s="442" t="s">
        <v>16</v>
      </c>
      <c r="M14" s="436">
        <v>1</v>
      </c>
      <c r="N14" s="3270"/>
      <c r="O14" s="1774"/>
      <c r="P14" s="1783"/>
      <c r="Q14" s="545">
        <f>+R14/(V12+V13+V14+V15)</f>
        <v>0.37843470368213661</v>
      </c>
      <c r="R14" s="1435">
        <v>20600000</v>
      </c>
      <c r="S14" s="1778"/>
      <c r="T14" s="1778"/>
      <c r="U14" s="1432" t="s">
        <v>724</v>
      </c>
      <c r="V14" s="1435">
        <v>20600000</v>
      </c>
      <c r="W14" s="3277"/>
      <c r="X14" s="1774"/>
      <c r="Y14" s="3275"/>
      <c r="Z14" s="3275"/>
      <c r="AA14" s="3275"/>
      <c r="AB14" s="3275"/>
      <c r="AC14" s="3275"/>
      <c r="AD14" s="3275"/>
      <c r="AE14" s="3275"/>
      <c r="AF14" s="3275"/>
      <c r="AG14" s="3275"/>
      <c r="AH14" s="3275"/>
      <c r="AI14" s="1420"/>
      <c r="AJ14" s="1420"/>
      <c r="AK14" s="531">
        <v>42751</v>
      </c>
      <c r="AL14" s="531">
        <v>42855</v>
      </c>
      <c r="AM14" s="1864"/>
    </row>
    <row r="15" spans="1:39" s="163" customFormat="1" ht="99" customHeight="1" thickBot="1" x14ac:dyDescent="0.25">
      <c r="A15" s="127"/>
      <c r="B15" s="1436"/>
      <c r="C15" s="128"/>
      <c r="D15" s="1437"/>
      <c r="E15" s="1438"/>
      <c r="F15" s="1439"/>
      <c r="G15" s="137"/>
      <c r="H15" s="1440"/>
      <c r="I15" s="138"/>
      <c r="J15" s="1441">
        <v>225</v>
      </c>
      <c r="K15" s="433" t="s">
        <v>725</v>
      </c>
      <c r="L15" s="443" t="s">
        <v>16</v>
      </c>
      <c r="M15" s="430">
        <v>1</v>
      </c>
      <c r="N15" s="3271"/>
      <c r="O15" s="1861"/>
      <c r="P15" s="1830"/>
      <c r="Q15" s="742">
        <f>+R15/(V12+V13+V14+V15)</f>
        <v>6.736137725542031E-2</v>
      </c>
      <c r="R15" s="1435">
        <v>3666800</v>
      </c>
      <c r="S15" s="1778"/>
      <c r="T15" s="455" t="s">
        <v>726</v>
      </c>
      <c r="U15" s="1432" t="s">
        <v>727</v>
      </c>
      <c r="V15" s="1435">
        <v>3666800</v>
      </c>
      <c r="W15" s="3277"/>
      <c r="X15" s="1774"/>
      <c r="Y15" s="3276"/>
      <c r="Z15" s="3276"/>
      <c r="AA15" s="3276"/>
      <c r="AB15" s="3276"/>
      <c r="AC15" s="3276"/>
      <c r="AD15" s="3276"/>
      <c r="AE15" s="3276"/>
      <c r="AF15" s="3276"/>
      <c r="AG15" s="3276"/>
      <c r="AH15" s="3276"/>
      <c r="AI15" s="1442"/>
      <c r="AJ15" s="1442"/>
      <c r="AK15" s="531">
        <v>42751</v>
      </c>
      <c r="AL15" s="531">
        <v>43089</v>
      </c>
      <c r="AM15" s="1864"/>
    </row>
    <row r="16" spans="1:39" s="1449" customFormat="1" ht="15.75" thickBot="1" x14ac:dyDescent="0.3">
      <c r="A16" s="3264" t="s">
        <v>120</v>
      </c>
      <c r="B16" s="3265"/>
      <c r="C16" s="3265"/>
      <c r="D16" s="3265"/>
      <c r="E16" s="3265"/>
      <c r="F16" s="3265"/>
      <c r="G16" s="3265"/>
      <c r="H16" s="3265"/>
      <c r="I16" s="3265"/>
      <c r="J16" s="3266"/>
      <c r="K16" s="3266"/>
      <c r="L16" s="3266"/>
      <c r="M16" s="3266"/>
      <c r="N16" s="3266"/>
      <c r="O16" s="3266"/>
      <c r="P16" s="3266"/>
      <c r="Q16" s="3267"/>
      <c r="R16" s="1443">
        <f>SUM(R12:R15)</f>
        <v>54434754</v>
      </c>
      <c r="S16" s="1134"/>
      <c r="T16" s="1134"/>
      <c r="U16" s="1134"/>
      <c r="V16" s="1444">
        <f>SUM(V12:V15)</f>
        <v>54434754</v>
      </c>
      <c r="W16" s="1444"/>
      <c r="X16" s="1445"/>
      <c r="Y16" s="245"/>
      <c r="Z16" s="245"/>
      <c r="AA16" s="245"/>
      <c r="AB16" s="245"/>
      <c r="AC16" s="245"/>
      <c r="AD16" s="245"/>
      <c r="AE16" s="245"/>
      <c r="AF16" s="245"/>
      <c r="AG16" s="245"/>
      <c r="AH16" s="245"/>
      <c r="AI16" s="245"/>
      <c r="AJ16" s="245"/>
      <c r="AK16" s="1446"/>
      <c r="AL16" s="1447"/>
      <c r="AM16" s="1448"/>
    </row>
    <row r="17" spans="1:61" x14ac:dyDescent="0.2">
      <c r="AM17" s="766"/>
    </row>
    <row r="20" spans="1:61" s="163" customFormat="1" ht="15" x14ac:dyDescent="0.25">
      <c r="A20" s="153"/>
      <c r="B20" s="153"/>
      <c r="C20" s="2006" t="s">
        <v>728</v>
      </c>
      <c r="D20" s="2006"/>
      <c r="E20" s="2006"/>
      <c r="F20" s="2006"/>
      <c r="G20" s="2006"/>
      <c r="H20" s="2006"/>
      <c r="I20" s="2006"/>
      <c r="J20" s="2006"/>
      <c r="K20" s="153"/>
      <c r="L20" s="153"/>
      <c r="M20" s="153"/>
      <c r="N20" s="153"/>
      <c r="O20" s="153"/>
      <c r="P20" s="153"/>
      <c r="Q20" s="154"/>
      <c r="R20" s="155"/>
      <c r="S20" s="156"/>
      <c r="T20" s="157"/>
      <c r="U20" s="157"/>
      <c r="V20" s="158"/>
      <c r="W20" s="159"/>
      <c r="X20" s="159"/>
      <c r="Y20" s="159"/>
      <c r="Z20" s="159"/>
      <c r="AA20" s="158"/>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60"/>
      <c r="BF20" s="160"/>
      <c r="BG20" s="161"/>
      <c r="BH20" s="161"/>
      <c r="BI20" s="162"/>
    </row>
    <row r="21" spans="1:61" s="163" customFormat="1" ht="15" x14ac:dyDescent="0.25">
      <c r="A21" s="153"/>
      <c r="B21" s="153"/>
      <c r="C21" s="2006" t="s">
        <v>729</v>
      </c>
      <c r="D21" s="2006"/>
      <c r="E21" s="2006"/>
      <c r="F21" s="2006"/>
      <c r="G21" s="2006"/>
      <c r="H21" s="2006"/>
      <c r="I21" s="2006"/>
      <c r="J21" s="2006"/>
      <c r="K21" s="153"/>
      <c r="L21" s="153"/>
      <c r="M21" s="153"/>
      <c r="N21" s="153"/>
      <c r="O21" s="153"/>
      <c r="P21" s="153"/>
      <c r="Q21" s="154"/>
      <c r="R21" s="155"/>
      <c r="S21" s="156"/>
      <c r="T21" s="157"/>
      <c r="U21" s="157"/>
      <c r="V21" s="158"/>
      <c r="W21" s="159"/>
      <c r="X21" s="159"/>
      <c r="Y21" s="159"/>
      <c r="Z21" s="159"/>
      <c r="AA21" s="158"/>
      <c r="AB21" s="164"/>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60"/>
      <c r="BF21" s="160"/>
      <c r="BG21" s="161"/>
      <c r="BH21" s="161"/>
      <c r="BI21" s="162"/>
    </row>
  </sheetData>
  <mergeCells count="62">
    <mergeCell ref="H7:I8"/>
    <mergeCell ref="A5:M6"/>
    <mergeCell ref="P5:X6"/>
    <mergeCell ref="Y5:AJ6"/>
    <mergeCell ref="AK5:AM6"/>
    <mergeCell ref="A7:A8"/>
    <mergeCell ref="B7:C8"/>
    <mergeCell ref="D7:D8"/>
    <mergeCell ref="E7:F8"/>
    <mergeCell ref="G7:G8"/>
    <mergeCell ref="U7:U8"/>
    <mergeCell ref="J7:J8"/>
    <mergeCell ref="K7:K8"/>
    <mergeCell ref="L7:L8"/>
    <mergeCell ref="M7:M8"/>
    <mergeCell ref="N7:N8"/>
    <mergeCell ref="O7:O8"/>
    <mergeCell ref="P7:P8"/>
    <mergeCell ref="Q12:Q13"/>
    <mergeCell ref="AL7:AL8"/>
    <mergeCell ref="AM7:AM8"/>
    <mergeCell ref="AK7:AK8"/>
    <mergeCell ref="X7:X8"/>
    <mergeCell ref="Y7:AD7"/>
    <mergeCell ref="AE7:AJ7"/>
    <mergeCell ref="Q7:Q8"/>
    <mergeCell ref="R7:R8"/>
    <mergeCell ref="S7:S8"/>
    <mergeCell ref="T7:T8"/>
    <mergeCell ref="V7:V8"/>
    <mergeCell ref="C20:J20"/>
    <mergeCell ref="C21:J21"/>
    <mergeCell ref="AK12:AK13"/>
    <mergeCell ref="AL12:AL13"/>
    <mergeCell ref="AH12:AH15"/>
    <mergeCell ref="W12:W15"/>
    <mergeCell ref="X12:X15"/>
    <mergeCell ref="Y12:Y15"/>
    <mergeCell ref="Z12:Z15"/>
    <mergeCell ref="AA12:AA15"/>
    <mergeCell ref="AB12:AB15"/>
    <mergeCell ref="AC12:AC15"/>
    <mergeCell ref="AD12:AD15"/>
    <mergeCell ref="AE12:AE15"/>
    <mergeCell ref="AF12:AF15"/>
    <mergeCell ref="AG12:AG15"/>
    <mergeCell ref="A1:AK2"/>
    <mergeCell ref="A3:AK3"/>
    <mergeCell ref="A4:AK4"/>
    <mergeCell ref="AM12:AM15"/>
    <mergeCell ref="A16:Q16"/>
    <mergeCell ref="R12:R13"/>
    <mergeCell ref="S12:S15"/>
    <mergeCell ref="T12:T14"/>
    <mergeCell ref="V12:V13"/>
    <mergeCell ref="J12:J13"/>
    <mergeCell ref="K12:K13"/>
    <mergeCell ref="L12:L13"/>
    <mergeCell ref="M12:M13"/>
    <mergeCell ref="N12:N15"/>
    <mergeCell ref="O12:O15"/>
    <mergeCell ref="P12:P1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6"/>
  <sheetViews>
    <sheetView showGridLines="0" zoomScale="55" zoomScaleNormal="55" workbookViewId="0">
      <selection activeCell="A3" sqref="A3:AK3"/>
    </sheetView>
  </sheetViews>
  <sheetFormatPr baseColWidth="10" defaultColWidth="11.42578125" defaultRowHeight="14.25" x14ac:dyDescent="0.2"/>
  <cols>
    <col min="1" max="1" width="11.28515625" style="560" customWidth="1"/>
    <col min="2" max="2" width="4" style="34" customWidth="1"/>
    <col min="3" max="3" width="12.42578125" style="34" customWidth="1"/>
    <col min="4" max="4" width="11.42578125" style="34" customWidth="1"/>
    <col min="5" max="5" width="10" style="34" customWidth="1"/>
    <col min="6" max="6" width="6.28515625" style="34" customWidth="1"/>
    <col min="7" max="7" width="14.42578125" style="34" customWidth="1"/>
    <col min="8" max="8" width="8.5703125" style="34" customWidth="1"/>
    <col min="9" max="9" width="13.7109375" style="34" customWidth="1"/>
    <col min="10" max="10" width="11.5703125" style="34" customWidth="1"/>
    <col min="11" max="11" width="25.140625" style="158" customWidth="1"/>
    <col min="12" max="12" width="22.7109375" style="153" customWidth="1"/>
    <col min="13" max="13" width="15.7109375" style="153" customWidth="1"/>
    <col min="14" max="14" width="30.28515625" style="153" customWidth="1"/>
    <col min="15" max="15" width="10.42578125" style="675" customWidth="1"/>
    <col min="16" max="16" width="23.85546875" style="158" customWidth="1"/>
    <col min="17" max="17" width="12.7109375" style="676" customWidth="1"/>
    <col min="18" max="18" width="17.85546875" style="677" customWidth="1"/>
    <col min="19" max="19" width="31.42578125" style="158" customWidth="1"/>
    <col min="20" max="20" width="44.140625" style="158" customWidth="1"/>
    <col min="21" max="21" width="43.85546875" style="158" customWidth="1"/>
    <col min="22" max="22" width="23.28515625" style="677" customWidth="1"/>
    <col min="23" max="23" width="11.7109375" style="684" customWidth="1"/>
    <col min="24" max="24" width="14.5703125" style="155" customWidth="1"/>
    <col min="25" max="25" width="7.7109375" style="563" bestFit="1" customWidth="1"/>
    <col min="26" max="26" width="8" style="563" bestFit="1" customWidth="1"/>
    <col min="27" max="27" width="7.42578125" style="563" bestFit="1" customWidth="1"/>
    <col min="28" max="28" width="8.140625" style="563" bestFit="1" customWidth="1"/>
    <col min="29" max="29" width="9.42578125" style="563" bestFit="1" customWidth="1"/>
    <col min="30" max="30" width="8.140625" style="563" bestFit="1" customWidth="1"/>
    <col min="31" max="31" width="6.85546875" style="563" bestFit="1" customWidth="1"/>
    <col min="32" max="32" width="6.140625" style="563" bestFit="1" customWidth="1"/>
    <col min="33" max="33" width="5.140625" style="563" bestFit="1" customWidth="1"/>
    <col min="34" max="34" width="8.140625" style="563" bestFit="1" customWidth="1"/>
    <col min="35" max="36" width="7.7109375" style="563" bestFit="1" customWidth="1"/>
    <col min="37" max="37" width="15.5703125" style="681" customWidth="1"/>
    <col min="38" max="38" width="20.42578125" style="682" customWidth="1"/>
    <col min="39" max="39" width="24.140625" style="359" customWidth="1"/>
    <col min="40" max="40" width="20.85546875" style="34" customWidth="1"/>
    <col min="41" max="16384" width="11.42578125" style="34"/>
  </cols>
  <sheetData>
    <row r="1" spans="1:39" ht="20.100000000000001" customHeight="1" x14ac:dyDescent="0.25">
      <c r="A1" s="1757" t="s">
        <v>1787</v>
      </c>
      <c r="B1" s="1758"/>
      <c r="C1" s="1758"/>
      <c r="D1" s="1758"/>
      <c r="E1" s="1758"/>
      <c r="F1" s="1758"/>
      <c r="G1" s="1758"/>
      <c r="H1" s="1758"/>
      <c r="I1" s="1758"/>
      <c r="J1" s="1758"/>
      <c r="K1" s="1758"/>
      <c r="L1" s="1758"/>
      <c r="M1" s="1758"/>
      <c r="N1" s="1758"/>
      <c r="O1" s="1758"/>
      <c r="P1" s="1758"/>
      <c r="Q1" s="1758"/>
      <c r="R1" s="1758"/>
      <c r="S1" s="1758"/>
      <c r="T1" s="1758"/>
      <c r="U1" s="1758"/>
      <c r="V1" s="1758"/>
      <c r="W1" s="1758"/>
      <c r="X1" s="1758"/>
      <c r="Y1" s="1758"/>
      <c r="Z1" s="1758"/>
      <c r="AA1" s="1758"/>
      <c r="AB1" s="1758"/>
      <c r="AC1" s="1758"/>
      <c r="AD1" s="1758"/>
      <c r="AE1" s="1758"/>
      <c r="AF1" s="1758"/>
      <c r="AG1" s="1758"/>
      <c r="AH1" s="1758"/>
      <c r="AI1" s="1758"/>
      <c r="AJ1" s="1758"/>
      <c r="AK1" s="1758"/>
      <c r="AL1" s="245" t="s">
        <v>0</v>
      </c>
      <c r="AM1" s="245" t="s">
        <v>1784</v>
      </c>
    </row>
    <row r="2" spans="1:39" ht="20.100000000000001" customHeight="1" x14ac:dyDescent="0.25">
      <c r="A2" s="1805"/>
      <c r="B2" s="1806"/>
      <c r="C2" s="1806"/>
      <c r="D2" s="1806"/>
      <c r="E2" s="1806"/>
      <c r="F2" s="1806"/>
      <c r="G2" s="1806"/>
      <c r="H2" s="1806"/>
      <c r="I2" s="1806"/>
      <c r="J2" s="1806"/>
      <c r="K2" s="1806"/>
      <c r="L2" s="1806"/>
      <c r="M2" s="1806"/>
      <c r="N2" s="1806"/>
      <c r="O2" s="1806"/>
      <c r="P2" s="1806"/>
      <c r="Q2" s="1806"/>
      <c r="R2" s="1806"/>
      <c r="S2" s="1806"/>
      <c r="T2" s="1806"/>
      <c r="U2" s="1806"/>
      <c r="V2" s="1806"/>
      <c r="W2" s="1806"/>
      <c r="X2" s="1806"/>
      <c r="Y2" s="1806"/>
      <c r="Z2" s="1806"/>
      <c r="AA2" s="1806"/>
      <c r="AB2" s="1806"/>
      <c r="AC2" s="1806"/>
      <c r="AD2" s="1806"/>
      <c r="AE2" s="1806"/>
      <c r="AF2" s="1806"/>
      <c r="AG2" s="1806"/>
      <c r="AH2" s="1806"/>
      <c r="AI2" s="1806"/>
      <c r="AJ2" s="1806"/>
      <c r="AK2" s="1806"/>
      <c r="AL2" s="490" t="s">
        <v>1</v>
      </c>
      <c r="AM2" s="246">
        <v>5</v>
      </c>
    </row>
    <row r="3" spans="1:39" ht="20.100000000000001" customHeight="1" x14ac:dyDescent="0.25">
      <c r="A3" s="1805" t="s">
        <v>433</v>
      </c>
      <c r="B3" s="1806"/>
      <c r="C3" s="1806"/>
      <c r="D3" s="1806"/>
      <c r="E3" s="1806"/>
      <c r="F3" s="1806"/>
      <c r="G3" s="1806"/>
      <c r="H3" s="1806"/>
      <c r="I3" s="1806"/>
      <c r="J3" s="1806"/>
      <c r="K3" s="1806"/>
      <c r="L3" s="1806"/>
      <c r="M3" s="1806"/>
      <c r="N3" s="1806"/>
      <c r="O3" s="1806"/>
      <c r="P3" s="1806"/>
      <c r="Q3" s="1806"/>
      <c r="R3" s="1806"/>
      <c r="S3" s="1806"/>
      <c r="T3" s="1806"/>
      <c r="U3" s="1806"/>
      <c r="V3" s="1806"/>
      <c r="W3" s="1806"/>
      <c r="X3" s="1806"/>
      <c r="Y3" s="1806"/>
      <c r="Z3" s="1806"/>
      <c r="AA3" s="1806"/>
      <c r="AB3" s="1806"/>
      <c r="AC3" s="1806"/>
      <c r="AD3" s="1806"/>
      <c r="AE3" s="1806"/>
      <c r="AF3" s="1806"/>
      <c r="AG3" s="1806"/>
      <c r="AH3" s="1806"/>
      <c r="AI3" s="1806"/>
      <c r="AJ3" s="1806"/>
      <c r="AK3" s="1806"/>
      <c r="AL3" s="245" t="s">
        <v>2</v>
      </c>
      <c r="AM3" s="247" t="s">
        <v>1785</v>
      </c>
    </row>
    <row r="4" spans="1:39" ht="20.100000000000001" customHeight="1" x14ac:dyDescent="0.2">
      <c r="A4" s="1759" t="s">
        <v>119</v>
      </c>
      <c r="B4" s="1760"/>
      <c r="C4" s="1760"/>
      <c r="D4" s="1760"/>
      <c r="E4" s="1760"/>
      <c r="F4" s="1760"/>
      <c r="G4" s="1760"/>
      <c r="H4" s="1760"/>
      <c r="I4" s="1760"/>
      <c r="J4" s="1760"/>
      <c r="K4" s="1760"/>
      <c r="L4" s="1760"/>
      <c r="M4" s="1760"/>
      <c r="N4" s="1760"/>
      <c r="O4" s="1760"/>
      <c r="P4" s="1760"/>
      <c r="Q4" s="1760"/>
      <c r="R4" s="1760"/>
      <c r="S4" s="1760"/>
      <c r="T4" s="1760"/>
      <c r="U4" s="1760"/>
      <c r="V4" s="1760"/>
      <c r="W4" s="1760"/>
      <c r="X4" s="1760"/>
      <c r="Y4" s="1760"/>
      <c r="Z4" s="1760"/>
      <c r="AA4" s="1760"/>
      <c r="AB4" s="1760"/>
      <c r="AC4" s="1760"/>
      <c r="AD4" s="1760"/>
      <c r="AE4" s="1760"/>
      <c r="AF4" s="1760"/>
      <c r="AG4" s="1760"/>
      <c r="AH4" s="1760"/>
      <c r="AI4" s="1760"/>
      <c r="AJ4" s="1760"/>
      <c r="AK4" s="1760"/>
      <c r="AL4" s="491" t="s">
        <v>3</v>
      </c>
      <c r="AM4" s="248" t="s">
        <v>4</v>
      </c>
    </row>
    <row r="5" spans="1:39" ht="19.5" customHeight="1" x14ac:dyDescent="0.2">
      <c r="A5" s="1806" t="s">
        <v>5</v>
      </c>
      <c r="B5" s="1806"/>
      <c r="C5" s="1806"/>
      <c r="D5" s="1806"/>
      <c r="E5" s="1806"/>
      <c r="F5" s="1806"/>
      <c r="G5" s="1806"/>
      <c r="H5" s="1806"/>
      <c r="I5" s="1806"/>
      <c r="J5" s="1806"/>
      <c r="K5" s="1806"/>
      <c r="L5" s="1806"/>
      <c r="M5" s="1806"/>
      <c r="N5" s="1757" t="s">
        <v>6</v>
      </c>
      <c r="O5" s="1758"/>
      <c r="P5" s="1758"/>
      <c r="Q5" s="1758"/>
      <c r="R5" s="1758"/>
      <c r="S5" s="1758"/>
      <c r="T5" s="1758"/>
      <c r="U5" s="1758"/>
      <c r="V5" s="1758"/>
      <c r="W5" s="1758"/>
      <c r="X5" s="1758"/>
      <c r="Y5" s="1758" t="s">
        <v>7</v>
      </c>
      <c r="Z5" s="1758"/>
      <c r="AA5" s="1758"/>
      <c r="AB5" s="1758"/>
      <c r="AC5" s="1758"/>
      <c r="AD5" s="1758"/>
      <c r="AE5" s="1758"/>
      <c r="AF5" s="1758"/>
      <c r="AG5" s="1758"/>
      <c r="AH5" s="1758"/>
      <c r="AI5" s="1758"/>
      <c r="AJ5" s="1758"/>
      <c r="AK5" s="1758"/>
      <c r="AL5" s="1758"/>
      <c r="AM5" s="1762"/>
    </row>
    <row r="6" spans="1:39" ht="23.25" customHeight="1" x14ac:dyDescent="0.2">
      <c r="A6" s="1760"/>
      <c r="B6" s="1760"/>
      <c r="C6" s="1760"/>
      <c r="D6" s="1760"/>
      <c r="E6" s="1760"/>
      <c r="F6" s="1760"/>
      <c r="G6" s="1760"/>
      <c r="H6" s="1760"/>
      <c r="I6" s="1760"/>
      <c r="J6" s="1760"/>
      <c r="K6" s="1760"/>
      <c r="L6" s="1760"/>
      <c r="M6" s="1760"/>
      <c r="N6" s="1759"/>
      <c r="O6" s="1760"/>
      <c r="P6" s="1760"/>
      <c r="Q6" s="1760"/>
      <c r="R6" s="1760"/>
      <c r="S6" s="1760"/>
      <c r="T6" s="1760"/>
      <c r="U6" s="1760"/>
      <c r="V6" s="1760"/>
      <c r="W6" s="1760"/>
      <c r="X6" s="1760"/>
      <c r="Y6" s="1760"/>
      <c r="Z6" s="1760"/>
      <c r="AA6" s="1760"/>
      <c r="AB6" s="1760"/>
      <c r="AC6" s="1760"/>
      <c r="AD6" s="1760"/>
      <c r="AE6" s="1760"/>
      <c r="AF6" s="1760"/>
      <c r="AG6" s="1760"/>
      <c r="AH6" s="1760"/>
      <c r="AI6" s="1760"/>
      <c r="AJ6" s="1760"/>
      <c r="AK6" s="1760"/>
      <c r="AL6" s="1760"/>
      <c r="AM6" s="1761"/>
    </row>
    <row r="7" spans="1:39" ht="33" customHeight="1" x14ac:dyDescent="0.2">
      <c r="A7" s="1898" t="s">
        <v>8</v>
      </c>
      <c r="B7" s="1900" t="s">
        <v>9</v>
      </c>
      <c r="C7" s="1901"/>
      <c r="D7" s="1752" t="s">
        <v>8</v>
      </c>
      <c r="E7" s="1900" t="s">
        <v>10</v>
      </c>
      <c r="F7" s="1901"/>
      <c r="G7" s="1752" t="s">
        <v>8</v>
      </c>
      <c r="H7" s="1900" t="s">
        <v>11</v>
      </c>
      <c r="I7" s="1901"/>
      <c r="J7" s="1752" t="s">
        <v>8</v>
      </c>
      <c r="K7" s="1752" t="s">
        <v>12</v>
      </c>
      <c r="L7" s="1752" t="s">
        <v>13</v>
      </c>
      <c r="M7" s="1752" t="s">
        <v>14</v>
      </c>
      <c r="N7" s="1752" t="s">
        <v>15</v>
      </c>
      <c r="O7" s="1752" t="s">
        <v>258</v>
      </c>
      <c r="P7" s="1752" t="s">
        <v>6</v>
      </c>
      <c r="Q7" s="1911" t="s">
        <v>17</v>
      </c>
      <c r="R7" s="1893" t="s">
        <v>18</v>
      </c>
      <c r="S7" s="1752" t="s">
        <v>19</v>
      </c>
      <c r="T7" s="1752" t="s">
        <v>20</v>
      </c>
      <c r="U7" s="1752" t="s">
        <v>21</v>
      </c>
      <c r="V7" s="1801" t="s">
        <v>18</v>
      </c>
      <c r="W7" s="1794" t="s">
        <v>8</v>
      </c>
      <c r="X7" s="1752" t="s">
        <v>22</v>
      </c>
      <c r="Y7" s="1755" t="s">
        <v>23</v>
      </c>
      <c r="Z7" s="1756"/>
      <c r="AA7" s="1756"/>
      <c r="AB7" s="1756"/>
      <c r="AC7" s="1756"/>
      <c r="AD7" s="1756"/>
      <c r="AE7" s="1755" t="s">
        <v>24</v>
      </c>
      <c r="AF7" s="1756"/>
      <c r="AG7" s="1756"/>
      <c r="AH7" s="1756"/>
      <c r="AI7" s="1756"/>
      <c r="AJ7" s="1756"/>
      <c r="AK7" s="1803" t="s">
        <v>25</v>
      </c>
      <c r="AL7" s="1803" t="s">
        <v>26</v>
      </c>
      <c r="AM7" s="1907" t="s">
        <v>27</v>
      </c>
    </row>
    <row r="8" spans="1:39" ht="119.25" customHeight="1" x14ac:dyDescent="0.2">
      <c r="A8" s="1899"/>
      <c r="B8" s="1902"/>
      <c r="C8" s="1903"/>
      <c r="D8" s="1753"/>
      <c r="E8" s="1902"/>
      <c r="F8" s="1903"/>
      <c r="G8" s="1753"/>
      <c r="H8" s="1902"/>
      <c r="I8" s="1903"/>
      <c r="J8" s="1753"/>
      <c r="K8" s="1753"/>
      <c r="L8" s="1753"/>
      <c r="M8" s="1753"/>
      <c r="N8" s="1753"/>
      <c r="O8" s="1753"/>
      <c r="P8" s="1753"/>
      <c r="Q8" s="1912"/>
      <c r="R8" s="1894"/>
      <c r="S8" s="1753"/>
      <c r="T8" s="1753"/>
      <c r="U8" s="1753"/>
      <c r="V8" s="1802"/>
      <c r="W8" s="1795"/>
      <c r="X8" s="1753"/>
      <c r="Y8" s="1485" t="s">
        <v>259</v>
      </c>
      <c r="Z8" s="1486" t="s">
        <v>29</v>
      </c>
      <c r="AA8" s="1485" t="s">
        <v>30</v>
      </c>
      <c r="AB8" s="1485" t="s">
        <v>31</v>
      </c>
      <c r="AC8" s="1485" t="s">
        <v>32</v>
      </c>
      <c r="AD8" s="1485" t="s">
        <v>33</v>
      </c>
      <c r="AE8" s="1485" t="s">
        <v>34</v>
      </c>
      <c r="AF8" s="1485" t="s">
        <v>35</v>
      </c>
      <c r="AG8" s="1485" t="s">
        <v>36</v>
      </c>
      <c r="AH8" s="1485" t="s">
        <v>37</v>
      </c>
      <c r="AI8" s="1485" t="s">
        <v>38</v>
      </c>
      <c r="AJ8" s="1485" t="s">
        <v>39</v>
      </c>
      <c r="AK8" s="1804"/>
      <c r="AL8" s="1804" t="s">
        <v>260</v>
      </c>
      <c r="AM8" s="1908"/>
    </row>
    <row r="9" spans="1:39" s="513" customFormat="1" ht="29.25" customHeight="1" x14ac:dyDescent="0.2">
      <c r="A9" s="566">
        <v>5</v>
      </c>
      <c r="B9" s="255" t="s">
        <v>122</v>
      </c>
      <c r="C9" s="255"/>
      <c r="D9" s="567"/>
      <c r="E9" s="567"/>
      <c r="F9" s="567"/>
      <c r="G9" s="567"/>
      <c r="H9" s="567"/>
      <c r="I9" s="567"/>
      <c r="J9" s="567"/>
      <c r="K9" s="568"/>
      <c r="L9" s="567"/>
      <c r="M9" s="567"/>
      <c r="N9" s="567"/>
      <c r="O9" s="569"/>
      <c r="P9" s="568"/>
      <c r="Q9" s="570"/>
      <c r="R9" s="571"/>
      <c r="S9" s="568"/>
      <c r="T9" s="568"/>
      <c r="U9" s="568"/>
      <c r="V9" s="571"/>
      <c r="W9" s="572"/>
      <c r="X9" s="569"/>
      <c r="Y9" s="567"/>
      <c r="Z9" s="567"/>
      <c r="AA9" s="567"/>
      <c r="AB9" s="567"/>
      <c r="AC9" s="567"/>
      <c r="AD9" s="567"/>
      <c r="AE9" s="567"/>
      <c r="AF9" s="567"/>
      <c r="AG9" s="567"/>
      <c r="AH9" s="567"/>
      <c r="AI9" s="567"/>
      <c r="AJ9" s="567"/>
      <c r="AK9" s="573"/>
      <c r="AL9" s="573"/>
      <c r="AM9" s="574"/>
    </row>
    <row r="10" spans="1:39" s="153" customFormat="1" ht="26.25" customHeight="1" x14ac:dyDescent="0.2">
      <c r="A10" s="575"/>
      <c r="B10" s="576"/>
      <c r="C10" s="577"/>
      <c r="D10" s="578">
        <v>26</v>
      </c>
      <c r="E10" s="46" t="s">
        <v>261</v>
      </c>
      <c r="F10" s="46"/>
      <c r="G10" s="579"/>
      <c r="H10" s="579"/>
      <c r="I10" s="579"/>
      <c r="J10" s="579"/>
      <c r="K10" s="580"/>
      <c r="L10" s="579"/>
      <c r="M10" s="579"/>
      <c r="N10" s="579"/>
      <c r="O10" s="581"/>
      <c r="P10" s="580"/>
      <c r="Q10" s="582"/>
      <c r="R10" s="583"/>
      <c r="S10" s="580"/>
      <c r="T10" s="580"/>
      <c r="U10" s="580"/>
      <c r="V10" s="583"/>
      <c r="W10" s="584"/>
      <c r="X10" s="581"/>
      <c r="Y10" s="579"/>
      <c r="Z10" s="579"/>
      <c r="AA10" s="579"/>
      <c r="AB10" s="579"/>
      <c r="AC10" s="579"/>
      <c r="AD10" s="579"/>
      <c r="AE10" s="579"/>
      <c r="AF10" s="579"/>
      <c r="AG10" s="579"/>
      <c r="AH10" s="579"/>
      <c r="AI10" s="579"/>
      <c r="AJ10" s="579"/>
      <c r="AK10" s="585"/>
      <c r="AL10" s="585"/>
      <c r="AM10" s="586"/>
    </row>
    <row r="11" spans="1:39" s="153" customFormat="1" ht="28.5" customHeight="1" x14ac:dyDescent="0.2">
      <c r="A11" s="587"/>
      <c r="B11" s="588"/>
      <c r="C11" s="588"/>
      <c r="D11" s="589"/>
      <c r="E11" s="576"/>
      <c r="F11" s="577"/>
      <c r="G11" s="590">
        <v>83</v>
      </c>
      <c r="H11" s="81" t="s">
        <v>262</v>
      </c>
      <c r="I11" s="81"/>
      <c r="J11" s="81"/>
      <c r="K11" s="56"/>
      <c r="L11" s="81"/>
      <c r="M11" s="81"/>
      <c r="N11" s="81"/>
      <c r="O11" s="69"/>
      <c r="P11" s="56"/>
      <c r="Q11" s="591"/>
      <c r="R11" s="592"/>
      <c r="S11" s="56"/>
      <c r="T11" s="56"/>
      <c r="U11" s="56"/>
      <c r="V11" s="592"/>
      <c r="W11" s="593"/>
      <c r="X11" s="69"/>
      <c r="Y11" s="81"/>
      <c r="Z11" s="81"/>
      <c r="AA11" s="81"/>
      <c r="AB11" s="81"/>
      <c r="AC11" s="81"/>
      <c r="AD11" s="81"/>
      <c r="AE11" s="81"/>
      <c r="AF11" s="81"/>
      <c r="AG11" s="81"/>
      <c r="AH11" s="81"/>
      <c r="AI11" s="81"/>
      <c r="AJ11" s="81"/>
      <c r="AK11" s="594"/>
      <c r="AL11" s="594"/>
      <c r="AM11" s="595"/>
    </row>
    <row r="12" spans="1:39" s="153" customFormat="1" ht="70.5" customHeight="1" x14ac:dyDescent="0.2">
      <c r="A12" s="596"/>
      <c r="B12" s="391"/>
      <c r="C12" s="391"/>
      <c r="D12" s="390"/>
      <c r="E12" s="391"/>
      <c r="F12" s="448"/>
      <c r="G12" s="597"/>
      <c r="H12" s="391"/>
      <c r="I12" s="391"/>
      <c r="J12" s="1774">
        <v>246</v>
      </c>
      <c r="K12" s="1778" t="s">
        <v>263</v>
      </c>
      <c r="L12" s="1774" t="s">
        <v>16</v>
      </c>
      <c r="M12" s="1774">
        <v>13</v>
      </c>
      <c r="N12" s="1775" t="s">
        <v>264</v>
      </c>
      <c r="O12" s="1774">
        <v>6</v>
      </c>
      <c r="P12" s="1778" t="s">
        <v>265</v>
      </c>
      <c r="Q12" s="1868">
        <v>1</v>
      </c>
      <c r="R12" s="1881">
        <v>30000000</v>
      </c>
      <c r="S12" s="1783" t="s">
        <v>266</v>
      </c>
      <c r="T12" s="1864" t="s">
        <v>267</v>
      </c>
      <c r="U12" s="455" t="s">
        <v>268</v>
      </c>
      <c r="V12" s="598">
        <v>3080000</v>
      </c>
      <c r="W12" s="1856">
        <v>20</v>
      </c>
      <c r="X12" s="1861" t="s">
        <v>185</v>
      </c>
      <c r="Y12" s="1776">
        <v>64149</v>
      </c>
      <c r="Z12" s="1776">
        <v>72224</v>
      </c>
      <c r="AA12" s="1776">
        <v>27477</v>
      </c>
      <c r="AB12" s="1776">
        <v>86843</v>
      </c>
      <c r="AC12" s="1776">
        <v>263429</v>
      </c>
      <c r="AD12" s="1776">
        <v>81384</v>
      </c>
      <c r="AE12" s="1776">
        <v>12718</v>
      </c>
      <c r="AF12" s="1776">
        <v>2145</v>
      </c>
      <c r="AG12" s="1776"/>
      <c r="AH12" s="1776">
        <v>491</v>
      </c>
      <c r="AI12" s="1776">
        <v>16892</v>
      </c>
      <c r="AJ12" s="1892"/>
      <c r="AK12" s="1863" t="s">
        <v>269</v>
      </c>
      <c r="AL12" s="1863">
        <v>42901</v>
      </c>
      <c r="AM12" s="1864" t="s">
        <v>270</v>
      </c>
    </row>
    <row r="13" spans="1:39" s="153" customFormat="1" ht="60.75" customHeight="1" x14ac:dyDescent="0.2">
      <c r="A13" s="596"/>
      <c r="B13" s="391"/>
      <c r="C13" s="391"/>
      <c r="D13" s="390"/>
      <c r="E13" s="391"/>
      <c r="F13" s="448"/>
      <c r="G13" s="391"/>
      <c r="H13" s="391"/>
      <c r="I13" s="391"/>
      <c r="J13" s="1774"/>
      <c r="K13" s="1778"/>
      <c r="L13" s="1774"/>
      <c r="M13" s="1774"/>
      <c r="N13" s="1775"/>
      <c r="O13" s="1774"/>
      <c r="P13" s="1778"/>
      <c r="Q13" s="1868"/>
      <c r="R13" s="1881"/>
      <c r="S13" s="1783"/>
      <c r="T13" s="1864"/>
      <c r="U13" s="455" t="s">
        <v>271</v>
      </c>
      <c r="V13" s="598">
        <v>1860000</v>
      </c>
      <c r="W13" s="1857"/>
      <c r="X13" s="1865"/>
      <c r="Y13" s="1776"/>
      <c r="Z13" s="1776"/>
      <c r="AA13" s="1776"/>
      <c r="AB13" s="1776"/>
      <c r="AC13" s="1776"/>
      <c r="AD13" s="1776"/>
      <c r="AE13" s="1776"/>
      <c r="AF13" s="1776"/>
      <c r="AG13" s="1776"/>
      <c r="AH13" s="1776"/>
      <c r="AI13" s="1776"/>
      <c r="AJ13" s="1892"/>
      <c r="AK13" s="1863"/>
      <c r="AL13" s="1863"/>
      <c r="AM13" s="1864"/>
    </row>
    <row r="14" spans="1:39" s="153" customFormat="1" ht="60.75" customHeight="1" x14ac:dyDescent="0.2">
      <c r="A14" s="596"/>
      <c r="B14" s="391"/>
      <c r="C14" s="391"/>
      <c r="D14" s="390"/>
      <c r="E14" s="391"/>
      <c r="F14" s="448"/>
      <c r="G14" s="391"/>
      <c r="H14" s="391"/>
      <c r="I14" s="391"/>
      <c r="J14" s="1774"/>
      <c r="K14" s="1778"/>
      <c r="L14" s="1774"/>
      <c r="M14" s="1774"/>
      <c r="N14" s="1775"/>
      <c r="O14" s="1774"/>
      <c r="P14" s="1778"/>
      <c r="Q14" s="1868"/>
      <c r="R14" s="1881"/>
      <c r="S14" s="1783"/>
      <c r="T14" s="1864"/>
      <c r="U14" s="455" t="s">
        <v>272</v>
      </c>
      <c r="V14" s="598">
        <v>2700000</v>
      </c>
      <c r="W14" s="1857"/>
      <c r="X14" s="1865"/>
      <c r="Y14" s="1776"/>
      <c r="Z14" s="1776"/>
      <c r="AA14" s="1776"/>
      <c r="AB14" s="1776"/>
      <c r="AC14" s="1776"/>
      <c r="AD14" s="1776"/>
      <c r="AE14" s="1776"/>
      <c r="AF14" s="1776"/>
      <c r="AG14" s="1776"/>
      <c r="AH14" s="1776"/>
      <c r="AI14" s="1776"/>
      <c r="AJ14" s="1892"/>
      <c r="AK14" s="1863"/>
      <c r="AL14" s="1863"/>
      <c r="AM14" s="1864"/>
    </row>
    <row r="15" spans="1:39" s="153" customFormat="1" ht="45" customHeight="1" x14ac:dyDescent="0.2">
      <c r="A15" s="596"/>
      <c r="B15" s="391"/>
      <c r="C15" s="391"/>
      <c r="D15" s="390"/>
      <c r="E15" s="391"/>
      <c r="F15" s="448"/>
      <c r="G15" s="391"/>
      <c r="H15" s="391"/>
      <c r="I15" s="391"/>
      <c r="J15" s="1774"/>
      <c r="K15" s="1778"/>
      <c r="L15" s="1774"/>
      <c r="M15" s="1774"/>
      <c r="N15" s="1775"/>
      <c r="O15" s="1774"/>
      <c r="P15" s="1778"/>
      <c r="Q15" s="1868"/>
      <c r="R15" s="1881"/>
      <c r="S15" s="1783"/>
      <c r="T15" s="1864"/>
      <c r="U15" s="455" t="s">
        <v>273</v>
      </c>
      <c r="V15" s="598">
        <v>4800000</v>
      </c>
      <c r="W15" s="1857"/>
      <c r="X15" s="1865"/>
      <c r="Y15" s="1776"/>
      <c r="Z15" s="1776"/>
      <c r="AA15" s="1776"/>
      <c r="AB15" s="1776"/>
      <c r="AC15" s="1776"/>
      <c r="AD15" s="1776"/>
      <c r="AE15" s="1776"/>
      <c r="AF15" s="1776"/>
      <c r="AG15" s="1776"/>
      <c r="AH15" s="1776"/>
      <c r="AI15" s="1776"/>
      <c r="AJ15" s="1892"/>
      <c r="AK15" s="1863"/>
      <c r="AL15" s="1863"/>
      <c r="AM15" s="1864"/>
    </row>
    <row r="16" spans="1:39" s="153" customFormat="1" ht="54" customHeight="1" x14ac:dyDescent="0.2">
      <c r="A16" s="596"/>
      <c r="B16" s="1875"/>
      <c r="C16" s="1891"/>
      <c r="D16" s="390"/>
      <c r="E16" s="1875"/>
      <c r="F16" s="1891"/>
      <c r="G16" s="391"/>
      <c r="H16" s="1875"/>
      <c r="I16" s="1875"/>
      <c r="J16" s="1774"/>
      <c r="K16" s="1778"/>
      <c r="L16" s="1774"/>
      <c r="M16" s="1774"/>
      <c r="N16" s="1775"/>
      <c r="O16" s="1774"/>
      <c r="P16" s="1778"/>
      <c r="Q16" s="1868"/>
      <c r="R16" s="1881"/>
      <c r="S16" s="1783"/>
      <c r="T16" s="1864"/>
      <c r="U16" s="455" t="s">
        <v>274</v>
      </c>
      <c r="V16" s="598">
        <v>1000000</v>
      </c>
      <c r="W16" s="1857"/>
      <c r="X16" s="1865"/>
      <c r="Y16" s="1776"/>
      <c r="Z16" s="1776"/>
      <c r="AA16" s="1776"/>
      <c r="AB16" s="1776"/>
      <c r="AC16" s="1776"/>
      <c r="AD16" s="1776"/>
      <c r="AE16" s="1776"/>
      <c r="AF16" s="1776"/>
      <c r="AG16" s="1776"/>
      <c r="AH16" s="1776"/>
      <c r="AI16" s="1776"/>
      <c r="AJ16" s="1892"/>
      <c r="AK16" s="1863"/>
      <c r="AL16" s="1863"/>
      <c r="AM16" s="1864"/>
    </row>
    <row r="17" spans="1:39" s="153" customFormat="1" ht="70.5" customHeight="1" x14ac:dyDescent="0.2">
      <c r="A17" s="596"/>
      <c r="B17" s="391"/>
      <c r="C17" s="391"/>
      <c r="D17" s="390"/>
      <c r="E17" s="391"/>
      <c r="F17" s="448"/>
      <c r="G17" s="391"/>
      <c r="H17" s="391"/>
      <c r="I17" s="391"/>
      <c r="J17" s="1774"/>
      <c r="K17" s="1778"/>
      <c r="L17" s="1774"/>
      <c r="M17" s="1774"/>
      <c r="N17" s="1775"/>
      <c r="O17" s="1774"/>
      <c r="P17" s="1778"/>
      <c r="Q17" s="1868"/>
      <c r="R17" s="1881"/>
      <c r="S17" s="1783"/>
      <c r="T17" s="1778" t="s">
        <v>275</v>
      </c>
      <c r="U17" s="455" t="s">
        <v>276</v>
      </c>
      <c r="V17" s="598">
        <v>2880000</v>
      </c>
      <c r="W17" s="1857"/>
      <c r="X17" s="1865"/>
      <c r="Y17" s="1776"/>
      <c r="Z17" s="1776"/>
      <c r="AA17" s="1776"/>
      <c r="AB17" s="1776"/>
      <c r="AC17" s="1776"/>
      <c r="AD17" s="1776"/>
      <c r="AE17" s="1776"/>
      <c r="AF17" s="1776"/>
      <c r="AG17" s="1776"/>
      <c r="AH17" s="1776"/>
      <c r="AI17" s="1776"/>
      <c r="AJ17" s="1892"/>
      <c r="AK17" s="1863"/>
      <c r="AL17" s="1863"/>
      <c r="AM17" s="1864"/>
    </row>
    <row r="18" spans="1:39" s="153" customFormat="1" ht="42.75" x14ac:dyDescent="0.2">
      <c r="A18" s="596"/>
      <c r="B18" s="391"/>
      <c r="C18" s="391"/>
      <c r="D18" s="390"/>
      <c r="E18" s="391"/>
      <c r="F18" s="448"/>
      <c r="G18" s="391"/>
      <c r="H18" s="391"/>
      <c r="I18" s="391"/>
      <c r="J18" s="1774"/>
      <c r="K18" s="1778"/>
      <c r="L18" s="1774"/>
      <c r="M18" s="1774"/>
      <c r="N18" s="1775"/>
      <c r="O18" s="1774"/>
      <c r="P18" s="1778"/>
      <c r="Q18" s="1868"/>
      <c r="R18" s="1881"/>
      <c r="S18" s="1783"/>
      <c r="T18" s="1778"/>
      <c r="U18" s="455" t="s">
        <v>277</v>
      </c>
      <c r="V18" s="598">
        <v>2740000</v>
      </c>
      <c r="W18" s="1857"/>
      <c r="X18" s="1865"/>
      <c r="Y18" s="1776"/>
      <c r="Z18" s="1776"/>
      <c r="AA18" s="1776"/>
      <c r="AB18" s="1776"/>
      <c r="AC18" s="1776"/>
      <c r="AD18" s="1776"/>
      <c r="AE18" s="1776"/>
      <c r="AF18" s="1776"/>
      <c r="AG18" s="1776"/>
      <c r="AH18" s="1776"/>
      <c r="AI18" s="1776"/>
      <c r="AJ18" s="1892"/>
      <c r="AK18" s="1863"/>
      <c r="AL18" s="1863"/>
      <c r="AM18" s="1864"/>
    </row>
    <row r="19" spans="1:39" s="153" customFormat="1" ht="57" x14ac:dyDescent="0.2">
      <c r="A19" s="596"/>
      <c r="B19" s="391"/>
      <c r="C19" s="391"/>
      <c r="D19" s="390"/>
      <c r="E19" s="391"/>
      <c r="F19" s="448"/>
      <c r="G19" s="391"/>
      <c r="H19" s="391"/>
      <c r="I19" s="391"/>
      <c r="J19" s="1774"/>
      <c r="K19" s="1778"/>
      <c r="L19" s="1774"/>
      <c r="M19" s="1774"/>
      <c r="N19" s="1775"/>
      <c r="O19" s="1774"/>
      <c r="P19" s="1778"/>
      <c r="Q19" s="1868"/>
      <c r="R19" s="1881"/>
      <c r="S19" s="1783"/>
      <c r="T19" s="1778"/>
      <c r="U19" s="455" t="s">
        <v>278</v>
      </c>
      <c r="V19" s="598">
        <v>1080000</v>
      </c>
      <c r="W19" s="1857"/>
      <c r="X19" s="1865"/>
      <c r="Y19" s="1776"/>
      <c r="Z19" s="1776"/>
      <c r="AA19" s="1776"/>
      <c r="AB19" s="1776"/>
      <c r="AC19" s="1776"/>
      <c r="AD19" s="1776"/>
      <c r="AE19" s="1776"/>
      <c r="AF19" s="1776"/>
      <c r="AG19" s="1776"/>
      <c r="AH19" s="1776"/>
      <c r="AI19" s="1776"/>
      <c r="AJ19" s="1892"/>
      <c r="AK19" s="1863"/>
      <c r="AL19" s="1863"/>
      <c r="AM19" s="1864"/>
    </row>
    <row r="20" spans="1:39" s="153" customFormat="1" ht="28.5" x14ac:dyDescent="0.2">
      <c r="A20" s="596"/>
      <c r="B20" s="391"/>
      <c r="C20" s="391"/>
      <c r="D20" s="390"/>
      <c r="E20" s="391"/>
      <c r="F20" s="448"/>
      <c r="G20" s="391"/>
      <c r="H20" s="391"/>
      <c r="I20" s="391"/>
      <c r="J20" s="1774"/>
      <c r="K20" s="1778"/>
      <c r="L20" s="1774"/>
      <c r="M20" s="1774"/>
      <c r="N20" s="1775"/>
      <c r="O20" s="1774"/>
      <c r="P20" s="1778"/>
      <c r="Q20" s="1868"/>
      <c r="R20" s="1881"/>
      <c r="S20" s="1783"/>
      <c r="T20" s="1778"/>
      <c r="U20" s="455" t="s">
        <v>279</v>
      </c>
      <c r="V20" s="598">
        <v>3840000</v>
      </c>
      <c r="W20" s="1857"/>
      <c r="X20" s="1865"/>
      <c r="Y20" s="1776"/>
      <c r="Z20" s="1776"/>
      <c r="AA20" s="1776"/>
      <c r="AB20" s="1776"/>
      <c r="AC20" s="1776"/>
      <c r="AD20" s="1776"/>
      <c r="AE20" s="1776"/>
      <c r="AF20" s="1776"/>
      <c r="AG20" s="1776"/>
      <c r="AH20" s="1776"/>
      <c r="AI20" s="1776"/>
      <c r="AJ20" s="1892"/>
      <c r="AK20" s="1863"/>
      <c r="AL20" s="1863"/>
      <c r="AM20" s="1864"/>
    </row>
    <row r="21" spans="1:39" s="153" customFormat="1" ht="42.75" x14ac:dyDescent="0.2">
      <c r="A21" s="596"/>
      <c r="B21" s="391"/>
      <c r="C21" s="391"/>
      <c r="D21" s="390"/>
      <c r="E21" s="391"/>
      <c r="F21" s="448"/>
      <c r="G21" s="391"/>
      <c r="H21" s="391"/>
      <c r="I21" s="391"/>
      <c r="J21" s="1774"/>
      <c r="K21" s="1778"/>
      <c r="L21" s="1774"/>
      <c r="M21" s="1774"/>
      <c r="N21" s="1775"/>
      <c r="O21" s="1774"/>
      <c r="P21" s="1778"/>
      <c r="Q21" s="1868"/>
      <c r="R21" s="1881"/>
      <c r="S21" s="1783"/>
      <c r="T21" s="1778"/>
      <c r="U21" s="455" t="s">
        <v>280</v>
      </c>
      <c r="V21" s="598">
        <v>3000000</v>
      </c>
      <c r="W21" s="1857"/>
      <c r="X21" s="1865"/>
      <c r="Y21" s="1776"/>
      <c r="Z21" s="1776"/>
      <c r="AA21" s="1776"/>
      <c r="AB21" s="1776"/>
      <c r="AC21" s="1776"/>
      <c r="AD21" s="1776"/>
      <c r="AE21" s="1776"/>
      <c r="AF21" s="1776"/>
      <c r="AG21" s="1776"/>
      <c r="AH21" s="1776"/>
      <c r="AI21" s="1776"/>
      <c r="AJ21" s="1892"/>
      <c r="AK21" s="1863"/>
      <c r="AL21" s="1863"/>
      <c r="AM21" s="1864"/>
    </row>
    <row r="22" spans="1:39" s="153" customFormat="1" ht="85.5" x14ac:dyDescent="0.2">
      <c r="A22" s="596"/>
      <c r="B22" s="391"/>
      <c r="C22" s="391"/>
      <c r="D22" s="390"/>
      <c r="E22" s="391"/>
      <c r="F22" s="448"/>
      <c r="G22" s="391"/>
      <c r="H22" s="391"/>
      <c r="I22" s="391"/>
      <c r="J22" s="1774"/>
      <c r="K22" s="1778"/>
      <c r="L22" s="1774"/>
      <c r="M22" s="1774"/>
      <c r="N22" s="1775"/>
      <c r="O22" s="1774"/>
      <c r="P22" s="1778"/>
      <c r="Q22" s="1868"/>
      <c r="R22" s="1881"/>
      <c r="S22" s="1783"/>
      <c r="T22" s="455" t="s">
        <v>281</v>
      </c>
      <c r="U22" s="455" t="s">
        <v>282</v>
      </c>
      <c r="V22" s="598">
        <v>2000000</v>
      </c>
      <c r="W22" s="1857"/>
      <c r="X22" s="1865"/>
      <c r="Y22" s="1776"/>
      <c r="Z22" s="1776"/>
      <c r="AA22" s="1776"/>
      <c r="AB22" s="1776"/>
      <c r="AC22" s="1776"/>
      <c r="AD22" s="1776"/>
      <c r="AE22" s="1776"/>
      <c r="AF22" s="1776"/>
      <c r="AG22" s="1776"/>
      <c r="AH22" s="1776"/>
      <c r="AI22" s="1776"/>
      <c r="AJ22" s="1892"/>
      <c r="AK22" s="1863"/>
      <c r="AL22" s="1863"/>
      <c r="AM22" s="1864"/>
    </row>
    <row r="23" spans="1:39" s="153" customFormat="1" ht="71.25" x14ac:dyDescent="0.2">
      <c r="A23" s="596"/>
      <c r="B23" s="391"/>
      <c r="C23" s="391"/>
      <c r="D23" s="390"/>
      <c r="E23" s="391"/>
      <c r="F23" s="448"/>
      <c r="G23" s="391"/>
      <c r="H23" s="391"/>
      <c r="I23" s="391"/>
      <c r="J23" s="1774"/>
      <c r="K23" s="1778"/>
      <c r="L23" s="1774"/>
      <c r="M23" s="1774"/>
      <c r="N23" s="1775"/>
      <c r="O23" s="1774"/>
      <c r="P23" s="1778"/>
      <c r="Q23" s="1868"/>
      <c r="R23" s="1881"/>
      <c r="S23" s="1783"/>
      <c r="T23" s="455" t="s">
        <v>283</v>
      </c>
      <c r="U23" s="455" t="s">
        <v>284</v>
      </c>
      <c r="V23" s="598">
        <v>1020000</v>
      </c>
      <c r="W23" s="1858"/>
      <c r="X23" s="1862"/>
      <c r="Y23" s="1776"/>
      <c r="Z23" s="1776"/>
      <c r="AA23" s="1776"/>
      <c r="AB23" s="1776"/>
      <c r="AC23" s="1776"/>
      <c r="AD23" s="1776"/>
      <c r="AE23" s="1776"/>
      <c r="AF23" s="1776"/>
      <c r="AG23" s="1776"/>
      <c r="AH23" s="1776"/>
      <c r="AI23" s="1776"/>
      <c r="AJ23" s="1892"/>
      <c r="AK23" s="1863"/>
      <c r="AL23" s="1863"/>
      <c r="AM23" s="1864"/>
    </row>
    <row r="24" spans="1:39" ht="39.75" customHeight="1" x14ac:dyDescent="0.2">
      <c r="A24" s="600"/>
      <c r="B24" s="163"/>
      <c r="C24" s="163"/>
      <c r="D24" s="601"/>
      <c r="E24" s="163"/>
      <c r="F24" s="602"/>
      <c r="G24" s="590">
        <v>84</v>
      </c>
      <c r="H24" s="81" t="s">
        <v>285</v>
      </c>
      <c r="I24" s="81"/>
      <c r="J24" s="80"/>
      <c r="K24" s="603"/>
      <c r="L24" s="80"/>
      <c r="M24" s="80"/>
      <c r="N24" s="80"/>
      <c r="O24" s="604"/>
      <c r="P24" s="603"/>
      <c r="Q24" s="605"/>
      <c r="R24" s="606"/>
      <c r="S24" s="603"/>
      <c r="T24" s="607"/>
      <c r="U24" s="607"/>
      <c r="V24" s="606"/>
      <c r="W24" s="608"/>
      <c r="X24" s="604"/>
      <c r="Y24" s="80"/>
      <c r="Z24" s="80"/>
      <c r="AA24" s="80"/>
      <c r="AB24" s="80"/>
      <c r="AC24" s="80"/>
      <c r="AD24" s="80"/>
      <c r="AE24" s="80"/>
      <c r="AF24" s="80"/>
      <c r="AG24" s="80"/>
      <c r="AH24" s="80"/>
      <c r="AI24" s="80"/>
      <c r="AJ24" s="80"/>
      <c r="AK24" s="609"/>
      <c r="AL24" s="609"/>
      <c r="AM24" s="603"/>
    </row>
    <row r="25" spans="1:39" s="153" customFormat="1" ht="102.75" customHeight="1" x14ac:dyDescent="0.2">
      <c r="A25" s="600"/>
      <c r="B25" s="163"/>
      <c r="C25" s="163"/>
      <c r="D25" s="601"/>
      <c r="E25" s="163"/>
      <c r="F25" s="602"/>
      <c r="G25" s="610"/>
      <c r="H25" s="163"/>
      <c r="I25" s="163"/>
      <c r="J25" s="1774">
        <v>248</v>
      </c>
      <c r="K25" s="1778" t="s">
        <v>286</v>
      </c>
      <c r="L25" s="1823" t="s">
        <v>287</v>
      </c>
      <c r="M25" s="1823">
        <v>12</v>
      </c>
      <c r="N25" s="1775" t="s">
        <v>288</v>
      </c>
      <c r="O25" s="1774">
        <v>15</v>
      </c>
      <c r="P25" s="1778" t="s">
        <v>289</v>
      </c>
      <c r="Q25" s="1825">
        <v>1</v>
      </c>
      <c r="R25" s="1840">
        <v>40000000</v>
      </c>
      <c r="S25" s="1890" t="s">
        <v>290</v>
      </c>
      <c r="T25" s="1778" t="s">
        <v>291</v>
      </c>
      <c r="U25" s="455" t="s">
        <v>292</v>
      </c>
      <c r="V25" s="611">
        <v>20000000</v>
      </c>
      <c r="W25" s="1886">
        <v>20</v>
      </c>
      <c r="X25" s="1861" t="s">
        <v>185</v>
      </c>
      <c r="Y25" s="1776">
        <v>64149</v>
      </c>
      <c r="Z25" s="1776">
        <v>72224</v>
      </c>
      <c r="AA25" s="1776">
        <v>27477</v>
      </c>
      <c r="AB25" s="1776">
        <v>86843</v>
      </c>
      <c r="AC25" s="1776">
        <v>236429</v>
      </c>
      <c r="AD25" s="1776">
        <v>81384</v>
      </c>
      <c r="AE25" s="1776">
        <v>2145</v>
      </c>
      <c r="AF25" s="1776"/>
      <c r="AG25" s="1776"/>
      <c r="AH25" s="1776">
        <v>491</v>
      </c>
      <c r="AI25" s="1776">
        <v>16892</v>
      </c>
      <c r="AJ25" s="1776"/>
      <c r="AK25" s="1839">
        <v>42745</v>
      </c>
      <c r="AL25" s="1839">
        <v>43100</v>
      </c>
      <c r="AM25" s="1778" t="s">
        <v>270</v>
      </c>
    </row>
    <row r="26" spans="1:39" s="153" customFormat="1" ht="102.75" customHeight="1" x14ac:dyDescent="0.2">
      <c r="A26" s="600"/>
      <c r="B26" s="163"/>
      <c r="C26" s="163"/>
      <c r="D26" s="601"/>
      <c r="E26" s="163"/>
      <c r="F26" s="602"/>
      <c r="G26" s="163"/>
      <c r="H26" s="163"/>
      <c r="I26" s="163"/>
      <c r="J26" s="1774"/>
      <c r="K26" s="1778"/>
      <c r="L26" s="1823"/>
      <c r="M26" s="1823"/>
      <c r="N26" s="1775"/>
      <c r="O26" s="1774"/>
      <c r="P26" s="1778"/>
      <c r="Q26" s="1825"/>
      <c r="R26" s="1840"/>
      <c r="S26" s="1890"/>
      <c r="T26" s="1778"/>
      <c r="U26" s="455" t="s">
        <v>293</v>
      </c>
      <c r="V26" s="611">
        <v>1500000</v>
      </c>
      <c r="W26" s="1887"/>
      <c r="X26" s="1865"/>
      <c r="Y26" s="1776"/>
      <c r="Z26" s="1776"/>
      <c r="AA26" s="1776"/>
      <c r="AB26" s="1776"/>
      <c r="AC26" s="1776"/>
      <c r="AD26" s="1776"/>
      <c r="AE26" s="1776"/>
      <c r="AF26" s="1776"/>
      <c r="AG26" s="1776"/>
      <c r="AH26" s="1776"/>
      <c r="AI26" s="1776"/>
      <c r="AJ26" s="1776"/>
      <c r="AK26" s="1839"/>
      <c r="AL26" s="1839"/>
      <c r="AM26" s="1778"/>
    </row>
    <row r="27" spans="1:39" s="153" customFormat="1" ht="99.75" x14ac:dyDescent="0.2">
      <c r="A27" s="600"/>
      <c r="B27" s="163"/>
      <c r="C27" s="163"/>
      <c r="D27" s="601"/>
      <c r="E27" s="163"/>
      <c r="F27" s="602"/>
      <c r="G27" s="163"/>
      <c r="H27" s="163"/>
      <c r="I27" s="163"/>
      <c r="J27" s="1774"/>
      <c r="K27" s="1778"/>
      <c r="L27" s="1823"/>
      <c r="M27" s="1823"/>
      <c r="N27" s="1775"/>
      <c r="O27" s="1774"/>
      <c r="P27" s="1778"/>
      <c r="Q27" s="1825"/>
      <c r="R27" s="1840"/>
      <c r="S27" s="1890"/>
      <c r="T27" s="1778" t="s">
        <v>294</v>
      </c>
      <c r="U27" s="455" t="s">
        <v>295</v>
      </c>
      <c r="V27" s="611">
        <v>3300000</v>
      </c>
      <c r="W27" s="1887"/>
      <c r="X27" s="1865"/>
      <c r="Y27" s="1776"/>
      <c r="Z27" s="1776"/>
      <c r="AA27" s="1776"/>
      <c r="AB27" s="1776"/>
      <c r="AC27" s="1776"/>
      <c r="AD27" s="1776"/>
      <c r="AE27" s="1776"/>
      <c r="AF27" s="1776"/>
      <c r="AG27" s="1776"/>
      <c r="AH27" s="1776"/>
      <c r="AI27" s="1776"/>
      <c r="AJ27" s="1776"/>
      <c r="AK27" s="1839"/>
      <c r="AL27" s="1839"/>
      <c r="AM27" s="1778"/>
    </row>
    <row r="28" spans="1:39" s="153" customFormat="1" ht="22.5" customHeight="1" x14ac:dyDescent="0.2">
      <c r="A28" s="600"/>
      <c r="B28" s="163"/>
      <c r="C28" s="163"/>
      <c r="D28" s="601"/>
      <c r="E28" s="163"/>
      <c r="F28" s="602"/>
      <c r="G28" s="163"/>
      <c r="H28" s="163"/>
      <c r="I28" s="163"/>
      <c r="J28" s="1774"/>
      <c r="K28" s="1778"/>
      <c r="L28" s="1823"/>
      <c r="M28" s="1823"/>
      <c r="N28" s="1775"/>
      <c r="O28" s="1774"/>
      <c r="P28" s="1778"/>
      <c r="Q28" s="1825"/>
      <c r="R28" s="1840"/>
      <c r="S28" s="1890"/>
      <c r="T28" s="1778"/>
      <c r="U28" s="455" t="s">
        <v>296</v>
      </c>
      <c r="V28" s="611">
        <v>3200000</v>
      </c>
      <c r="W28" s="1887"/>
      <c r="X28" s="1865"/>
      <c r="Y28" s="1776"/>
      <c r="Z28" s="1776"/>
      <c r="AA28" s="1776"/>
      <c r="AB28" s="1776"/>
      <c r="AC28" s="1776"/>
      <c r="AD28" s="1776"/>
      <c r="AE28" s="1776"/>
      <c r="AF28" s="1776"/>
      <c r="AG28" s="1776"/>
      <c r="AH28" s="1776"/>
      <c r="AI28" s="1776"/>
      <c r="AJ28" s="1776"/>
      <c r="AK28" s="1839"/>
      <c r="AL28" s="1839"/>
      <c r="AM28" s="1778"/>
    </row>
    <row r="29" spans="1:39" s="153" customFormat="1" ht="22.5" customHeight="1" x14ac:dyDescent="0.2">
      <c r="A29" s="600"/>
      <c r="B29" s="163"/>
      <c r="C29" s="163"/>
      <c r="D29" s="601"/>
      <c r="E29" s="163"/>
      <c r="F29" s="602"/>
      <c r="G29" s="163"/>
      <c r="H29" s="163"/>
      <c r="I29" s="163"/>
      <c r="J29" s="1774"/>
      <c r="K29" s="1778"/>
      <c r="L29" s="1823"/>
      <c r="M29" s="1823"/>
      <c r="N29" s="1775"/>
      <c r="O29" s="1774"/>
      <c r="P29" s="1778"/>
      <c r="Q29" s="1825"/>
      <c r="R29" s="1840"/>
      <c r="S29" s="1890"/>
      <c r="T29" s="1778"/>
      <c r="U29" s="455" t="s">
        <v>297</v>
      </c>
      <c r="V29" s="611">
        <v>4800000</v>
      </c>
      <c r="W29" s="1887"/>
      <c r="X29" s="1865"/>
      <c r="Y29" s="1776"/>
      <c r="Z29" s="1776"/>
      <c r="AA29" s="1776"/>
      <c r="AB29" s="1776"/>
      <c r="AC29" s="1776"/>
      <c r="AD29" s="1776"/>
      <c r="AE29" s="1776"/>
      <c r="AF29" s="1776"/>
      <c r="AG29" s="1776"/>
      <c r="AH29" s="1776"/>
      <c r="AI29" s="1776"/>
      <c r="AJ29" s="1776"/>
      <c r="AK29" s="1839"/>
      <c r="AL29" s="1839"/>
      <c r="AM29" s="1778"/>
    </row>
    <row r="30" spans="1:39" s="153" customFormat="1" ht="22.5" customHeight="1" x14ac:dyDescent="0.2">
      <c r="A30" s="600"/>
      <c r="B30" s="163"/>
      <c r="C30" s="163"/>
      <c r="D30" s="612"/>
      <c r="E30" s="613"/>
      <c r="F30" s="614"/>
      <c r="G30" s="612"/>
      <c r="H30" s="613"/>
      <c r="I30" s="614"/>
      <c r="J30" s="1774"/>
      <c r="K30" s="1778"/>
      <c r="L30" s="1823"/>
      <c r="M30" s="1823"/>
      <c r="N30" s="1775"/>
      <c r="O30" s="1774"/>
      <c r="P30" s="1778"/>
      <c r="Q30" s="1825"/>
      <c r="R30" s="1840"/>
      <c r="S30" s="1890"/>
      <c r="T30" s="1778"/>
      <c r="U30" s="455" t="s">
        <v>298</v>
      </c>
      <c r="V30" s="611">
        <v>7200000</v>
      </c>
      <c r="W30" s="1888"/>
      <c r="X30" s="1862"/>
      <c r="Y30" s="1776"/>
      <c r="Z30" s="1776"/>
      <c r="AA30" s="1776"/>
      <c r="AB30" s="1776"/>
      <c r="AC30" s="1776"/>
      <c r="AD30" s="1776"/>
      <c r="AE30" s="1776"/>
      <c r="AF30" s="1776"/>
      <c r="AG30" s="1776"/>
      <c r="AH30" s="1776"/>
      <c r="AI30" s="1776"/>
      <c r="AJ30" s="1776"/>
      <c r="AK30" s="1839"/>
      <c r="AL30" s="1839"/>
      <c r="AM30" s="1778"/>
    </row>
    <row r="31" spans="1:39" ht="38.25" customHeight="1" x14ac:dyDescent="0.2">
      <c r="A31" s="600"/>
      <c r="B31" s="163"/>
      <c r="C31" s="602"/>
      <c r="D31" s="578">
        <v>27</v>
      </c>
      <c r="E31" s="46" t="s">
        <v>299</v>
      </c>
      <c r="F31" s="46"/>
      <c r="G31" s="579"/>
      <c r="H31" s="579"/>
      <c r="I31" s="579"/>
      <c r="J31" s="615"/>
      <c r="K31" s="616"/>
      <c r="L31" s="615"/>
      <c r="M31" s="615"/>
      <c r="N31" s="615"/>
      <c r="O31" s="617"/>
      <c r="P31" s="616"/>
      <c r="Q31" s="618"/>
      <c r="R31" s="619"/>
      <c r="S31" s="616"/>
      <c r="T31" s="620"/>
      <c r="U31" s="620"/>
      <c r="V31" s="619"/>
      <c r="W31" s="621"/>
      <c r="X31" s="615"/>
      <c r="Y31" s="615"/>
      <c r="Z31" s="615"/>
      <c r="AA31" s="615"/>
      <c r="AB31" s="615"/>
      <c r="AC31" s="615"/>
      <c r="AD31" s="615"/>
      <c r="AE31" s="615"/>
      <c r="AF31" s="615"/>
      <c r="AG31" s="615"/>
      <c r="AH31" s="615"/>
      <c r="AI31" s="615"/>
      <c r="AJ31" s="615"/>
      <c r="AK31" s="622"/>
      <c r="AL31" s="622"/>
      <c r="AM31" s="616"/>
    </row>
    <row r="32" spans="1:39" ht="32.25" customHeight="1" x14ac:dyDescent="0.2">
      <c r="A32" s="600"/>
      <c r="B32" s="163"/>
      <c r="C32" s="602"/>
      <c r="D32" s="623"/>
      <c r="E32" s="610"/>
      <c r="F32" s="624"/>
      <c r="G32" s="625">
        <v>85</v>
      </c>
      <c r="H32" s="626" t="s">
        <v>300</v>
      </c>
      <c r="I32" s="626"/>
      <c r="J32" s="80"/>
      <c r="K32" s="603"/>
      <c r="L32" s="80"/>
      <c r="M32" s="80"/>
      <c r="N32" s="80"/>
      <c r="O32" s="604"/>
      <c r="P32" s="603"/>
      <c r="Q32" s="605"/>
      <c r="R32" s="606"/>
      <c r="S32" s="603"/>
      <c r="T32" s="607"/>
      <c r="U32" s="607"/>
      <c r="V32" s="606"/>
      <c r="W32" s="608"/>
      <c r="X32" s="604"/>
      <c r="Y32" s="80"/>
      <c r="Z32" s="80"/>
      <c r="AA32" s="80"/>
      <c r="AB32" s="80"/>
      <c r="AC32" s="80"/>
      <c r="AD32" s="80"/>
      <c r="AE32" s="80"/>
      <c r="AF32" s="80"/>
      <c r="AG32" s="80"/>
      <c r="AH32" s="80"/>
      <c r="AI32" s="80"/>
      <c r="AJ32" s="80"/>
      <c r="AK32" s="609"/>
      <c r="AL32" s="609"/>
      <c r="AM32" s="603"/>
    </row>
    <row r="33" spans="1:40" s="635" customFormat="1" ht="88.5" customHeight="1" x14ac:dyDescent="0.25">
      <c r="A33" s="627"/>
      <c r="B33" s="628"/>
      <c r="C33" s="629"/>
      <c r="D33" s="630"/>
      <c r="E33" s="628"/>
      <c r="F33" s="628"/>
      <c r="G33" s="631"/>
      <c r="H33" s="632"/>
      <c r="I33" s="632"/>
      <c r="J33" s="1774">
        <v>249</v>
      </c>
      <c r="K33" s="1778" t="s">
        <v>301</v>
      </c>
      <c r="L33" s="1797" t="s">
        <v>287</v>
      </c>
      <c r="M33" s="1823">
        <v>1</v>
      </c>
      <c r="N33" s="1828" t="s">
        <v>302</v>
      </c>
      <c r="O33" s="1774">
        <v>7</v>
      </c>
      <c r="P33" s="1778" t="s">
        <v>303</v>
      </c>
      <c r="Q33" s="1825">
        <v>1</v>
      </c>
      <c r="R33" s="1840">
        <v>140000000</v>
      </c>
      <c r="S33" s="1783" t="s">
        <v>304</v>
      </c>
      <c r="T33" s="1778" t="s">
        <v>305</v>
      </c>
      <c r="U33" s="633" t="s">
        <v>306</v>
      </c>
      <c r="V33" s="634">
        <f>7000000+2000000</f>
        <v>9000000</v>
      </c>
      <c r="W33" s="1817">
        <v>20</v>
      </c>
      <c r="X33" s="1909" t="s">
        <v>307</v>
      </c>
      <c r="Y33" s="1785"/>
      <c r="Z33" s="1785"/>
      <c r="AA33" s="1785"/>
      <c r="AB33" s="1776">
        <v>20</v>
      </c>
      <c r="AC33" s="1776">
        <v>150</v>
      </c>
      <c r="AD33" s="1776">
        <v>10</v>
      </c>
      <c r="AE33" s="1785"/>
      <c r="AF33" s="1785"/>
      <c r="AG33" s="1785"/>
      <c r="AH33" s="1785"/>
      <c r="AI33" s="1785"/>
      <c r="AJ33" s="1785"/>
      <c r="AK33" s="1839">
        <v>42767</v>
      </c>
      <c r="AL33" s="1839">
        <v>43100</v>
      </c>
      <c r="AM33" s="1889" t="s">
        <v>270</v>
      </c>
    </row>
    <row r="34" spans="1:40" s="635" customFormat="1" ht="66" customHeight="1" x14ac:dyDescent="0.25">
      <c r="A34" s="627"/>
      <c r="B34" s="628"/>
      <c r="C34" s="629"/>
      <c r="D34" s="630"/>
      <c r="E34" s="628"/>
      <c r="F34" s="628"/>
      <c r="G34" s="630"/>
      <c r="H34" s="628"/>
      <c r="I34" s="628"/>
      <c r="J34" s="1774"/>
      <c r="K34" s="1778"/>
      <c r="L34" s="1797"/>
      <c r="M34" s="1823"/>
      <c r="N34" s="1829"/>
      <c r="O34" s="1774"/>
      <c r="P34" s="1778"/>
      <c r="Q34" s="1825"/>
      <c r="R34" s="1840"/>
      <c r="S34" s="1783"/>
      <c r="T34" s="1778"/>
      <c r="U34" s="633" t="s">
        <v>308</v>
      </c>
      <c r="V34" s="634">
        <v>8000000</v>
      </c>
      <c r="W34" s="1818"/>
      <c r="X34" s="1910"/>
      <c r="Y34" s="1785"/>
      <c r="Z34" s="1785"/>
      <c r="AA34" s="1785"/>
      <c r="AB34" s="1776"/>
      <c r="AC34" s="1776"/>
      <c r="AD34" s="1776"/>
      <c r="AE34" s="1785"/>
      <c r="AF34" s="1785"/>
      <c r="AG34" s="1785"/>
      <c r="AH34" s="1785"/>
      <c r="AI34" s="1785"/>
      <c r="AJ34" s="1785"/>
      <c r="AK34" s="1839"/>
      <c r="AL34" s="1839"/>
      <c r="AM34" s="1889"/>
    </row>
    <row r="35" spans="1:40" s="635" customFormat="1" ht="92.25" customHeight="1" x14ac:dyDescent="0.25">
      <c r="A35" s="627"/>
      <c r="B35" s="628"/>
      <c r="C35" s="629"/>
      <c r="D35" s="630"/>
      <c r="E35" s="628"/>
      <c r="F35" s="628"/>
      <c r="G35" s="630"/>
      <c r="H35" s="628"/>
      <c r="I35" s="628"/>
      <c r="J35" s="1774"/>
      <c r="K35" s="1778"/>
      <c r="L35" s="1797"/>
      <c r="M35" s="1823"/>
      <c r="N35" s="1829"/>
      <c r="O35" s="1774"/>
      <c r="P35" s="1778"/>
      <c r="Q35" s="1825"/>
      <c r="R35" s="1840"/>
      <c r="S35" s="1783"/>
      <c r="T35" s="1778"/>
      <c r="U35" s="633" t="s">
        <v>309</v>
      </c>
      <c r="V35" s="634">
        <f>29000000+3000000</f>
        <v>32000000</v>
      </c>
      <c r="W35" s="1818"/>
      <c r="X35" s="1910"/>
      <c r="Y35" s="1785"/>
      <c r="Z35" s="1785"/>
      <c r="AA35" s="1785"/>
      <c r="AB35" s="1776"/>
      <c r="AC35" s="1776"/>
      <c r="AD35" s="1776"/>
      <c r="AE35" s="1785"/>
      <c r="AF35" s="1785"/>
      <c r="AG35" s="1785"/>
      <c r="AH35" s="1785"/>
      <c r="AI35" s="1785"/>
      <c r="AJ35" s="1785"/>
      <c r="AK35" s="1839"/>
      <c r="AL35" s="1839"/>
      <c r="AM35" s="1889"/>
    </row>
    <row r="36" spans="1:40" s="635" customFormat="1" ht="49.5" customHeight="1" x14ac:dyDescent="0.25">
      <c r="A36" s="627"/>
      <c r="B36" s="628"/>
      <c r="C36" s="629"/>
      <c r="D36" s="630"/>
      <c r="E36" s="628"/>
      <c r="F36" s="628"/>
      <c r="G36" s="630"/>
      <c r="H36" s="628"/>
      <c r="I36" s="628"/>
      <c r="J36" s="1774"/>
      <c r="K36" s="1778"/>
      <c r="L36" s="1797"/>
      <c r="M36" s="1823"/>
      <c r="N36" s="1829"/>
      <c r="O36" s="1774"/>
      <c r="P36" s="1778"/>
      <c r="Q36" s="1825"/>
      <c r="R36" s="1840"/>
      <c r="S36" s="1783"/>
      <c r="T36" s="1778"/>
      <c r="U36" s="633" t="s">
        <v>310</v>
      </c>
      <c r="V36" s="634">
        <v>5000000</v>
      </c>
      <c r="W36" s="1818"/>
      <c r="X36" s="1910"/>
      <c r="Y36" s="1785"/>
      <c r="Z36" s="1785"/>
      <c r="AA36" s="1785"/>
      <c r="AB36" s="1776"/>
      <c r="AC36" s="1776"/>
      <c r="AD36" s="1776"/>
      <c r="AE36" s="1785"/>
      <c r="AF36" s="1785"/>
      <c r="AG36" s="1785"/>
      <c r="AH36" s="1785"/>
      <c r="AI36" s="1785"/>
      <c r="AJ36" s="1785"/>
      <c r="AK36" s="1839"/>
      <c r="AL36" s="1839"/>
      <c r="AM36" s="1889"/>
    </row>
    <row r="37" spans="1:40" s="635" customFormat="1" ht="51" customHeight="1" x14ac:dyDescent="0.25">
      <c r="A37" s="627"/>
      <c r="B37" s="628"/>
      <c r="C37" s="629"/>
      <c r="D37" s="630"/>
      <c r="E37" s="628"/>
      <c r="F37" s="628"/>
      <c r="G37" s="630"/>
      <c r="H37" s="628"/>
      <c r="I37" s="628"/>
      <c r="J37" s="1774"/>
      <c r="K37" s="1778"/>
      <c r="L37" s="1797"/>
      <c r="M37" s="1823"/>
      <c r="N37" s="1811" t="s">
        <v>311</v>
      </c>
      <c r="O37" s="1774"/>
      <c r="P37" s="1778"/>
      <c r="Q37" s="1825"/>
      <c r="R37" s="1840"/>
      <c r="S37" s="1783"/>
      <c r="T37" s="1778"/>
      <c r="U37" s="633" t="s">
        <v>312</v>
      </c>
      <c r="V37" s="634">
        <f>2000000-2000000</f>
        <v>0</v>
      </c>
      <c r="W37" s="1827">
        <v>88</v>
      </c>
      <c r="X37" s="1811" t="s">
        <v>313</v>
      </c>
      <c r="Y37" s="1785"/>
      <c r="Z37" s="1785"/>
      <c r="AA37" s="1785"/>
      <c r="AB37" s="1776"/>
      <c r="AC37" s="1776"/>
      <c r="AD37" s="1776"/>
      <c r="AE37" s="1785"/>
      <c r="AF37" s="1785"/>
      <c r="AG37" s="1785"/>
      <c r="AH37" s="1785"/>
      <c r="AI37" s="1785"/>
      <c r="AJ37" s="1785"/>
      <c r="AK37" s="1839"/>
      <c r="AL37" s="1839"/>
      <c r="AM37" s="1889"/>
    </row>
    <row r="38" spans="1:40" s="635" customFormat="1" ht="36" customHeight="1" x14ac:dyDescent="0.25">
      <c r="A38" s="627"/>
      <c r="B38" s="628"/>
      <c r="C38" s="629"/>
      <c r="D38" s="630"/>
      <c r="E38" s="628"/>
      <c r="F38" s="628"/>
      <c r="G38" s="630"/>
      <c r="H38" s="628"/>
      <c r="I38" s="628"/>
      <c r="J38" s="1774"/>
      <c r="K38" s="1778"/>
      <c r="L38" s="1797"/>
      <c r="M38" s="1823"/>
      <c r="N38" s="1811"/>
      <c r="O38" s="1774"/>
      <c r="P38" s="1778"/>
      <c r="Q38" s="1825"/>
      <c r="R38" s="1840"/>
      <c r="S38" s="1783"/>
      <c r="T38" s="430" t="s">
        <v>314</v>
      </c>
      <c r="U38" s="633" t="s">
        <v>315</v>
      </c>
      <c r="V38" s="634">
        <f>21000000-14000000</f>
        <v>7000000</v>
      </c>
      <c r="W38" s="1827"/>
      <c r="X38" s="1811"/>
      <c r="Y38" s="1785"/>
      <c r="Z38" s="1785"/>
      <c r="AA38" s="1785"/>
      <c r="AB38" s="1776"/>
      <c r="AC38" s="1776"/>
      <c r="AD38" s="1776"/>
      <c r="AE38" s="1785"/>
      <c r="AF38" s="1785"/>
      <c r="AG38" s="1785"/>
      <c r="AH38" s="1785"/>
      <c r="AI38" s="1785"/>
      <c r="AJ38" s="1785"/>
      <c r="AK38" s="1839"/>
      <c r="AL38" s="1839"/>
      <c r="AM38" s="1889"/>
    </row>
    <row r="39" spans="1:40" s="635" customFormat="1" ht="58.5" customHeight="1" x14ac:dyDescent="0.25">
      <c r="A39" s="627"/>
      <c r="B39" s="628"/>
      <c r="C39" s="629"/>
      <c r="D39" s="630"/>
      <c r="E39" s="628"/>
      <c r="F39" s="628"/>
      <c r="G39" s="630"/>
      <c r="H39" s="628"/>
      <c r="I39" s="628"/>
      <c r="J39" s="1774"/>
      <c r="K39" s="1778"/>
      <c r="L39" s="1797"/>
      <c r="M39" s="1823"/>
      <c r="N39" s="1811"/>
      <c r="O39" s="1774"/>
      <c r="P39" s="1778"/>
      <c r="Q39" s="1825"/>
      <c r="R39" s="1840"/>
      <c r="S39" s="1783"/>
      <c r="T39" s="50" t="s">
        <v>316</v>
      </c>
      <c r="U39" s="50" t="s">
        <v>317</v>
      </c>
      <c r="V39" s="634">
        <v>67000000</v>
      </c>
      <c r="W39" s="1827"/>
      <c r="X39" s="1811"/>
      <c r="Y39" s="1785"/>
      <c r="Z39" s="1785"/>
      <c r="AA39" s="1785"/>
      <c r="AB39" s="1776"/>
      <c r="AC39" s="1776"/>
      <c r="AD39" s="1776"/>
      <c r="AE39" s="1785"/>
      <c r="AF39" s="1785"/>
      <c r="AG39" s="1785"/>
      <c r="AH39" s="1785"/>
      <c r="AI39" s="1785"/>
      <c r="AJ39" s="1785"/>
      <c r="AK39" s="1839"/>
      <c r="AL39" s="1839"/>
      <c r="AM39" s="1889"/>
    </row>
    <row r="40" spans="1:40" s="635" customFormat="1" ht="33.75" customHeight="1" x14ac:dyDescent="0.25">
      <c r="A40" s="627"/>
      <c r="B40" s="628"/>
      <c r="C40" s="629"/>
      <c r="D40" s="636"/>
      <c r="E40" s="637"/>
      <c r="F40" s="637"/>
      <c r="G40" s="636"/>
      <c r="H40" s="637"/>
      <c r="I40" s="637"/>
      <c r="J40" s="1774"/>
      <c r="K40" s="1778"/>
      <c r="L40" s="1797"/>
      <c r="M40" s="1823"/>
      <c r="N40" s="1812"/>
      <c r="O40" s="1774"/>
      <c r="P40" s="1778"/>
      <c r="Q40" s="1825"/>
      <c r="R40" s="1840"/>
      <c r="S40" s="1783"/>
      <c r="T40" s="50" t="s">
        <v>318</v>
      </c>
      <c r="U40" s="50" t="s">
        <v>319</v>
      </c>
      <c r="V40" s="634">
        <v>12000000</v>
      </c>
      <c r="W40" s="1882"/>
      <c r="X40" s="1812"/>
      <c r="Y40" s="1785"/>
      <c r="Z40" s="1785"/>
      <c r="AA40" s="1785"/>
      <c r="AB40" s="1776"/>
      <c r="AC40" s="1776"/>
      <c r="AD40" s="1776"/>
      <c r="AE40" s="1785"/>
      <c r="AF40" s="1785"/>
      <c r="AG40" s="1785"/>
      <c r="AH40" s="1785"/>
      <c r="AI40" s="1785"/>
      <c r="AJ40" s="1785"/>
      <c r="AK40" s="1839"/>
      <c r="AL40" s="1839"/>
      <c r="AM40" s="1889"/>
    </row>
    <row r="41" spans="1:40" ht="36.75" customHeight="1" x14ac:dyDescent="0.2">
      <c r="A41" s="600"/>
      <c r="B41" s="163"/>
      <c r="C41" s="602"/>
      <c r="D41" s="638">
        <v>28</v>
      </c>
      <c r="E41" s="638"/>
      <c r="F41" s="260" t="s">
        <v>320</v>
      </c>
      <c r="G41" s="579"/>
      <c r="H41" s="579"/>
      <c r="I41" s="579"/>
      <c r="J41" s="615"/>
      <c r="K41" s="616"/>
      <c r="L41" s="615"/>
      <c r="M41" s="615"/>
      <c r="N41" s="615"/>
      <c r="O41" s="617"/>
      <c r="P41" s="616"/>
      <c r="Q41" s="618"/>
      <c r="R41" s="619"/>
      <c r="S41" s="616"/>
      <c r="T41" s="620"/>
      <c r="U41" s="620"/>
      <c r="V41" s="619"/>
      <c r="W41" s="621"/>
      <c r="X41" s="615"/>
      <c r="Y41" s="615"/>
      <c r="Z41" s="615"/>
      <c r="AA41" s="615"/>
      <c r="AB41" s="615"/>
      <c r="AC41" s="615"/>
      <c r="AD41" s="615"/>
      <c r="AE41" s="615"/>
      <c r="AF41" s="615"/>
      <c r="AG41" s="615"/>
      <c r="AH41" s="615"/>
      <c r="AI41" s="615"/>
      <c r="AJ41" s="615"/>
      <c r="AK41" s="622"/>
      <c r="AL41" s="622"/>
      <c r="AM41" s="616"/>
    </row>
    <row r="42" spans="1:40" ht="39" customHeight="1" x14ac:dyDescent="0.2">
      <c r="A42" s="600"/>
      <c r="B42" s="163"/>
      <c r="C42" s="163"/>
      <c r="D42" s="623"/>
      <c r="E42" s="610"/>
      <c r="F42" s="624"/>
      <c r="G42" s="639">
        <v>87</v>
      </c>
      <c r="H42" s="640" t="s">
        <v>321</v>
      </c>
      <c r="I42" s="640"/>
      <c r="J42" s="80"/>
      <c r="K42" s="603"/>
      <c r="L42" s="80"/>
      <c r="M42" s="80"/>
      <c r="N42" s="80"/>
      <c r="O42" s="604"/>
      <c r="P42" s="603"/>
      <c r="Q42" s="605"/>
      <c r="R42" s="606"/>
      <c r="S42" s="603"/>
      <c r="T42" s="607"/>
      <c r="U42" s="607"/>
      <c r="V42" s="606"/>
      <c r="W42" s="641"/>
      <c r="X42" s="80"/>
      <c r="Y42" s="80"/>
      <c r="Z42" s="80"/>
      <c r="AA42" s="80"/>
      <c r="AB42" s="80"/>
      <c r="AC42" s="80"/>
      <c r="AD42" s="80"/>
      <c r="AE42" s="80"/>
      <c r="AF42" s="80"/>
      <c r="AG42" s="80"/>
      <c r="AH42" s="80"/>
      <c r="AI42" s="80"/>
      <c r="AJ42" s="80"/>
      <c r="AK42" s="609"/>
      <c r="AL42" s="609"/>
      <c r="AM42" s="603"/>
    </row>
    <row r="43" spans="1:40" s="43" customFormat="1" ht="33.75" customHeight="1" x14ac:dyDescent="0.2">
      <c r="A43" s="642"/>
      <c r="B43" s="643"/>
      <c r="C43" s="643"/>
      <c r="D43" s="644"/>
      <c r="E43" s="643"/>
      <c r="F43" s="643"/>
      <c r="G43" s="645"/>
      <c r="H43" s="646"/>
      <c r="I43" s="646"/>
      <c r="J43" s="1776">
        <v>257</v>
      </c>
      <c r="K43" s="1783" t="s">
        <v>322</v>
      </c>
      <c r="L43" s="1785" t="s">
        <v>287</v>
      </c>
      <c r="M43" s="1776">
        <v>1</v>
      </c>
      <c r="N43" s="1828" t="s">
        <v>323</v>
      </c>
      <c r="O43" s="1785">
        <v>9</v>
      </c>
      <c r="P43" s="1832" t="s">
        <v>324</v>
      </c>
      <c r="Q43" s="1835">
        <f>115700000/R43</f>
        <v>0.4929697486152535</v>
      </c>
      <c r="R43" s="1904">
        <f>SUM(V43:V50)</f>
        <v>234700000</v>
      </c>
      <c r="S43" s="1783" t="s">
        <v>325</v>
      </c>
      <c r="T43" s="1783" t="s">
        <v>326</v>
      </c>
      <c r="U43" s="434" t="s">
        <v>327</v>
      </c>
      <c r="V43" s="647">
        <v>7700000</v>
      </c>
      <c r="W43" s="1837">
        <v>20</v>
      </c>
      <c r="X43" s="1879" t="s">
        <v>307</v>
      </c>
      <c r="Y43" s="1776">
        <v>64149</v>
      </c>
      <c r="Z43" s="1776">
        <v>72224</v>
      </c>
      <c r="AA43" s="1776">
        <v>27477</v>
      </c>
      <c r="AB43" s="1776">
        <v>86843</v>
      </c>
      <c r="AC43" s="1776">
        <v>236429</v>
      </c>
      <c r="AD43" s="1776">
        <v>81384</v>
      </c>
      <c r="AE43" s="1776">
        <v>12718</v>
      </c>
      <c r="AF43" s="1776">
        <v>2145</v>
      </c>
      <c r="AG43" s="1776"/>
      <c r="AH43" s="1776">
        <v>491</v>
      </c>
      <c r="AI43" s="1776">
        <v>16892</v>
      </c>
      <c r="AJ43" s="1776"/>
      <c r="AK43" s="1877">
        <v>42737</v>
      </c>
      <c r="AL43" s="1877">
        <v>42916</v>
      </c>
      <c r="AM43" s="1832" t="s">
        <v>270</v>
      </c>
    </row>
    <row r="44" spans="1:40" s="43" customFormat="1" ht="40.5" customHeight="1" x14ac:dyDescent="0.2">
      <c r="A44" s="642"/>
      <c r="B44" s="643"/>
      <c r="C44" s="643"/>
      <c r="D44" s="644"/>
      <c r="E44" s="643"/>
      <c r="F44" s="643"/>
      <c r="G44" s="644"/>
      <c r="H44" s="643"/>
      <c r="I44" s="643"/>
      <c r="J44" s="1776"/>
      <c r="K44" s="1783"/>
      <c r="L44" s="1785"/>
      <c r="M44" s="1776"/>
      <c r="N44" s="1829"/>
      <c r="O44" s="1785"/>
      <c r="P44" s="1832"/>
      <c r="Q44" s="1835"/>
      <c r="R44" s="1905"/>
      <c r="S44" s="1832"/>
      <c r="T44" s="1783"/>
      <c r="U44" s="434" t="s">
        <v>328</v>
      </c>
      <c r="V44" s="647">
        <v>54000000</v>
      </c>
      <c r="W44" s="1838"/>
      <c r="X44" s="1880"/>
      <c r="Y44" s="1776"/>
      <c r="Z44" s="1776"/>
      <c r="AA44" s="1776"/>
      <c r="AB44" s="1776"/>
      <c r="AC44" s="1776"/>
      <c r="AD44" s="1776"/>
      <c r="AE44" s="1776"/>
      <c r="AF44" s="1776"/>
      <c r="AG44" s="1776"/>
      <c r="AH44" s="1776"/>
      <c r="AI44" s="1776"/>
      <c r="AJ44" s="1776"/>
      <c r="AK44" s="1885"/>
      <c r="AL44" s="1885"/>
      <c r="AM44" s="1832"/>
    </row>
    <row r="45" spans="1:40" s="43" customFormat="1" ht="39.75" customHeight="1" x14ac:dyDescent="0.2">
      <c r="A45" s="642"/>
      <c r="B45" s="643"/>
      <c r="C45" s="643"/>
      <c r="D45" s="644"/>
      <c r="E45" s="643"/>
      <c r="F45" s="643"/>
      <c r="G45" s="644"/>
      <c r="H45" s="643"/>
      <c r="I45" s="648"/>
      <c r="J45" s="1776"/>
      <c r="K45" s="1783"/>
      <c r="L45" s="1785"/>
      <c r="M45" s="1776"/>
      <c r="N45" s="1829"/>
      <c r="O45" s="1785"/>
      <c r="P45" s="1832"/>
      <c r="Q45" s="1835"/>
      <c r="R45" s="1905"/>
      <c r="S45" s="1832"/>
      <c r="T45" s="1783"/>
      <c r="U45" s="434" t="s">
        <v>329</v>
      </c>
      <c r="V45" s="647">
        <v>54000000</v>
      </c>
      <c r="W45" s="1838"/>
      <c r="X45" s="1880"/>
      <c r="Y45" s="1776"/>
      <c r="Z45" s="1776"/>
      <c r="AA45" s="1776"/>
      <c r="AB45" s="1776"/>
      <c r="AC45" s="1776"/>
      <c r="AD45" s="1776"/>
      <c r="AE45" s="1776"/>
      <c r="AF45" s="1776"/>
      <c r="AG45" s="1776"/>
      <c r="AH45" s="1776"/>
      <c r="AI45" s="1776"/>
      <c r="AJ45" s="1776"/>
      <c r="AK45" s="1878"/>
      <c r="AL45" s="1878"/>
      <c r="AM45" s="1832"/>
    </row>
    <row r="46" spans="1:40" s="43" customFormat="1" ht="72.75" customHeight="1" x14ac:dyDescent="0.2">
      <c r="A46" s="642"/>
      <c r="B46" s="643"/>
      <c r="C46" s="643"/>
      <c r="D46" s="644"/>
      <c r="E46" s="643"/>
      <c r="F46" s="643"/>
      <c r="G46" s="644"/>
      <c r="H46" s="643"/>
      <c r="I46" s="643"/>
      <c r="J46" s="537">
        <v>259</v>
      </c>
      <c r="K46" s="50" t="s">
        <v>330</v>
      </c>
      <c r="L46" s="528" t="s">
        <v>287</v>
      </c>
      <c r="M46" s="535">
        <v>1</v>
      </c>
      <c r="N46" s="1829"/>
      <c r="O46" s="1785"/>
      <c r="P46" s="1832"/>
      <c r="Q46" s="432">
        <f>9000000/R43</f>
        <v>3.8346825734980827E-2</v>
      </c>
      <c r="R46" s="1905"/>
      <c r="S46" s="1832"/>
      <c r="T46" s="50" t="s">
        <v>331</v>
      </c>
      <c r="U46" s="50" t="s">
        <v>332</v>
      </c>
      <c r="V46" s="647">
        <v>9000000</v>
      </c>
      <c r="W46" s="1838"/>
      <c r="X46" s="1880"/>
      <c r="Y46" s="1776"/>
      <c r="Z46" s="1776"/>
      <c r="AA46" s="1776"/>
      <c r="AB46" s="1776"/>
      <c r="AC46" s="1776"/>
      <c r="AD46" s="1776"/>
      <c r="AE46" s="1776"/>
      <c r="AF46" s="1776"/>
      <c r="AG46" s="1776"/>
      <c r="AH46" s="1776"/>
      <c r="AI46" s="1776"/>
      <c r="AJ46" s="1776"/>
      <c r="AK46" s="649">
        <v>42737</v>
      </c>
      <c r="AL46" s="649">
        <v>42858</v>
      </c>
      <c r="AM46" s="1832"/>
    </row>
    <row r="47" spans="1:40" s="43" customFormat="1" ht="95.25" customHeight="1" x14ac:dyDescent="0.2">
      <c r="A47" s="642"/>
      <c r="B47" s="643"/>
      <c r="C47" s="643"/>
      <c r="D47" s="644"/>
      <c r="E47" s="643"/>
      <c r="F47" s="643"/>
      <c r="G47" s="644"/>
      <c r="H47" s="643"/>
      <c r="I47" s="643"/>
      <c r="J47" s="537">
        <v>258</v>
      </c>
      <c r="K47" s="50" t="s">
        <v>333</v>
      </c>
      <c r="L47" s="528" t="s">
        <v>16</v>
      </c>
      <c r="M47" s="535">
        <v>1</v>
      </c>
      <c r="N47" s="1811" t="s">
        <v>334</v>
      </c>
      <c r="O47" s="1785"/>
      <c r="P47" s="1832"/>
      <c r="Q47" s="432">
        <f>20000000/R43</f>
        <v>8.5215168299957386E-2</v>
      </c>
      <c r="R47" s="1905"/>
      <c r="S47" s="1832"/>
      <c r="T47" s="50" t="s">
        <v>335</v>
      </c>
      <c r="U47" s="50" t="s">
        <v>336</v>
      </c>
      <c r="V47" s="647">
        <v>20000000</v>
      </c>
      <c r="W47" s="1827">
        <v>88</v>
      </c>
      <c r="X47" s="1883" t="s">
        <v>313</v>
      </c>
      <c r="Y47" s="1776"/>
      <c r="Z47" s="1776"/>
      <c r="AA47" s="1776"/>
      <c r="AB47" s="1776"/>
      <c r="AC47" s="1776"/>
      <c r="AD47" s="1776"/>
      <c r="AE47" s="1776"/>
      <c r="AF47" s="1776"/>
      <c r="AG47" s="1776"/>
      <c r="AH47" s="1776"/>
      <c r="AI47" s="1776"/>
      <c r="AJ47" s="1776"/>
      <c r="AK47" s="650">
        <v>42737</v>
      </c>
      <c r="AL47" s="650">
        <v>42916</v>
      </c>
      <c r="AM47" s="1832"/>
    </row>
    <row r="48" spans="1:40" s="43" customFormat="1" ht="52.5" customHeight="1" x14ac:dyDescent="0.2">
      <c r="A48" s="642"/>
      <c r="B48" s="643"/>
      <c r="C48" s="643"/>
      <c r="D48" s="644"/>
      <c r="E48" s="643"/>
      <c r="F48" s="643"/>
      <c r="G48" s="644"/>
      <c r="H48" s="643"/>
      <c r="I48" s="643"/>
      <c r="J48" s="537">
        <v>263</v>
      </c>
      <c r="K48" s="50" t="s">
        <v>337</v>
      </c>
      <c r="L48" s="528" t="s">
        <v>287</v>
      </c>
      <c r="M48" s="535">
        <v>1</v>
      </c>
      <c r="N48" s="1811"/>
      <c r="O48" s="1785"/>
      <c r="P48" s="1832"/>
      <c r="Q48" s="432">
        <f>65000000/R43</f>
        <v>0.27694929697486154</v>
      </c>
      <c r="R48" s="1905"/>
      <c r="S48" s="1832"/>
      <c r="T48" s="50" t="s">
        <v>338</v>
      </c>
      <c r="U48" s="50" t="s">
        <v>339</v>
      </c>
      <c r="V48" s="634">
        <f>35000000+30000000</f>
        <v>65000000</v>
      </c>
      <c r="W48" s="1827"/>
      <c r="X48" s="1883"/>
      <c r="Y48" s="1776"/>
      <c r="Z48" s="1776"/>
      <c r="AA48" s="1776"/>
      <c r="AB48" s="1776"/>
      <c r="AC48" s="1776"/>
      <c r="AD48" s="1776"/>
      <c r="AE48" s="1776"/>
      <c r="AF48" s="1776"/>
      <c r="AG48" s="1776"/>
      <c r="AH48" s="1776"/>
      <c r="AI48" s="1776"/>
      <c r="AJ48" s="1776"/>
      <c r="AK48" s="649">
        <v>42737</v>
      </c>
      <c r="AL48" s="649">
        <v>42858</v>
      </c>
      <c r="AM48" s="1832"/>
      <c r="AN48" s="88"/>
    </row>
    <row r="49" spans="1:45" s="43" customFormat="1" ht="44.25" customHeight="1" x14ac:dyDescent="0.2">
      <c r="A49" s="642"/>
      <c r="B49" s="643"/>
      <c r="C49" s="643"/>
      <c r="D49" s="644"/>
      <c r="E49" s="643"/>
      <c r="F49" s="643"/>
      <c r="G49" s="644"/>
      <c r="H49" s="643"/>
      <c r="I49" s="643"/>
      <c r="J49" s="1776">
        <v>261</v>
      </c>
      <c r="K49" s="1783" t="s">
        <v>340</v>
      </c>
      <c r="L49" s="1785" t="s">
        <v>287</v>
      </c>
      <c r="M49" s="1782">
        <v>2</v>
      </c>
      <c r="N49" s="1811"/>
      <c r="O49" s="1785"/>
      <c r="P49" s="1832"/>
      <c r="Q49" s="1835">
        <f>25000000/R43</f>
        <v>0.10651896037494674</v>
      </c>
      <c r="R49" s="1905"/>
      <c r="S49" s="1832"/>
      <c r="T49" s="1783" t="s">
        <v>341</v>
      </c>
      <c r="U49" s="434" t="s">
        <v>342</v>
      </c>
      <c r="V49" s="634">
        <v>17600000</v>
      </c>
      <c r="W49" s="1827"/>
      <c r="X49" s="1883"/>
      <c r="Y49" s="1776"/>
      <c r="Z49" s="1776"/>
      <c r="AA49" s="1776"/>
      <c r="AB49" s="1776"/>
      <c r="AC49" s="1776"/>
      <c r="AD49" s="1776"/>
      <c r="AE49" s="1776"/>
      <c r="AF49" s="1776"/>
      <c r="AG49" s="1776"/>
      <c r="AH49" s="1776"/>
      <c r="AI49" s="1776"/>
      <c r="AJ49" s="1776"/>
      <c r="AK49" s="1877">
        <v>42737</v>
      </c>
      <c r="AL49" s="1877">
        <v>42916</v>
      </c>
      <c r="AM49" s="1832"/>
    </row>
    <row r="50" spans="1:45" s="43" customFormat="1" ht="32.25" customHeight="1" x14ac:dyDescent="0.2">
      <c r="A50" s="642"/>
      <c r="B50" s="643"/>
      <c r="C50" s="643"/>
      <c r="D50" s="644"/>
      <c r="E50" s="643"/>
      <c r="F50" s="643"/>
      <c r="G50" s="644"/>
      <c r="H50" s="643"/>
      <c r="I50" s="643"/>
      <c r="J50" s="1776"/>
      <c r="K50" s="1783"/>
      <c r="L50" s="1785"/>
      <c r="M50" s="1782"/>
      <c r="N50" s="1812"/>
      <c r="O50" s="1785"/>
      <c r="P50" s="1832"/>
      <c r="Q50" s="1835"/>
      <c r="R50" s="1906"/>
      <c r="S50" s="1832"/>
      <c r="T50" s="1783"/>
      <c r="U50" s="434" t="s">
        <v>343</v>
      </c>
      <c r="V50" s="634">
        <v>7400000</v>
      </c>
      <c r="W50" s="1882"/>
      <c r="X50" s="1884"/>
      <c r="Y50" s="1776"/>
      <c r="Z50" s="1776"/>
      <c r="AA50" s="1776"/>
      <c r="AB50" s="1776"/>
      <c r="AC50" s="1776"/>
      <c r="AD50" s="1776"/>
      <c r="AE50" s="1776"/>
      <c r="AF50" s="1776"/>
      <c r="AG50" s="1776"/>
      <c r="AH50" s="1776"/>
      <c r="AI50" s="1776"/>
      <c r="AJ50" s="1776"/>
      <c r="AK50" s="1878"/>
      <c r="AL50" s="1878"/>
      <c r="AM50" s="1832"/>
    </row>
    <row r="51" spans="1:45" ht="93" customHeight="1" x14ac:dyDescent="0.2">
      <c r="A51" s="596"/>
      <c r="B51" s="163"/>
      <c r="C51" s="163"/>
      <c r="D51" s="390"/>
      <c r="E51" s="1875"/>
      <c r="F51" s="1875"/>
      <c r="G51" s="1876"/>
      <c r="H51" s="1875"/>
      <c r="I51" s="1875"/>
      <c r="J51" s="1774">
        <v>262</v>
      </c>
      <c r="K51" s="1778" t="s">
        <v>344</v>
      </c>
      <c r="L51" s="1774" t="s">
        <v>16</v>
      </c>
      <c r="M51" s="1774">
        <v>1</v>
      </c>
      <c r="N51" s="1774" t="s">
        <v>345</v>
      </c>
      <c r="O51" s="1774">
        <v>10</v>
      </c>
      <c r="P51" s="1778" t="s">
        <v>346</v>
      </c>
      <c r="Q51" s="1868">
        <v>1</v>
      </c>
      <c r="R51" s="1881">
        <v>25000000</v>
      </c>
      <c r="S51" s="1778" t="s">
        <v>347</v>
      </c>
      <c r="T51" s="1864" t="s">
        <v>348</v>
      </c>
      <c r="U51" s="455" t="s">
        <v>349</v>
      </c>
      <c r="V51" s="598">
        <v>2000000</v>
      </c>
      <c r="W51" s="1856">
        <v>20</v>
      </c>
      <c r="X51" s="1861" t="s">
        <v>185</v>
      </c>
      <c r="Y51" s="1797">
        <v>64149</v>
      </c>
      <c r="Z51" s="1797">
        <v>72224</v>
      </c>
      <c r="AA51" s="1797">
        <v>27477</v>
      </c>
      <c r="AB51" s="1797">
        <v>86843</v>
      </c>
      <c r="AC51" s="1797">
        <v>27477</v>
      </c>
      <c r="AD51" s="1797">
        <v>86843</v>
      </c>
      <c r="AE51" s="1797"/>
      <c r="AF51" s="1797">
        <v>2145</v>
      </c>
      <c r="AG51" s="1797">
        <v>413</v>
      </c>
      <c r="AH51" s="1797">
        <v>43029</v>
      </c>
      <c r="AI51" s="1797">
        <v>16897</v>
      </c>
      <c r="AJ51" s="1797">
        <v>84106</v>
      </c>
      <c r="AK51" s="1863">
        <v>42736</v>
      </c>
      <c r="AL51" s="1863">
        <v>43100</v>
      </c>
      <c r="AM51" s="1864" t="s">
        <v>270</v>
      </c>
      <c r="AN51" s="153"/>
      <c r="AO51" s="153"/>
      <c r="AP51" s="153"/>
      <c r="AQ51" s="153"/>
      <c r="AR51" s="153"/>
      <c r="AS51" s="153"/>
    </row>
    <row r="52" spans="1:45" ht="91.5" customHeight="1" x14ac:dyDescent="0.2">
      <c r="A52" s="596"/>
      <c r="B52" s="163"/>
      <c r="C52" s="163"/>
      <c r="D52" s="390"/>
      <c r="E52" s="1875"/>
      <c r="F52" s="1875"/>
      <c r="G52" s="1876"/>
      <c r="H52" s="1875"/>
      <c r="I52" s="1875"/>
      <c r="J52" s="1774"/>
      <c r="K52" s="1778"/>
      <c r="L52" s="1774"/>
      <c r="M52" s="1774"/>
      <c r="N52" s="1774"/>
      <c r="O52" s="1774"/>
      <c r="P52" s="1778"/>
      <c r="Q52" s="1868"/>
      <c r="R52" s="1881"/>
      <c r="S52" s="1778"/>
      <c r="T52" s="1864"/>
      <c r="U52" s="455" t="s">
        <v>350</v>
      </c>
      <c r="V52" s="598">
        <v>2000000</v>
      </c>
      <c r="W52" s="1857"/>
      <c r="X52" s="1865"/>
      <c r="Y52" s="1797"/>
      <c r="Z52" s="1797"/>
      <c r="AA52" s="1797"/>
      <c r="AB52" s="1797"/>
      <c r="AC52" s="1797"/>
      <c r="AD52" s="1797"/>
      <c r="AE52" s="1797"/>
      <c r="AF52" s="1797"/>
      <c r="AG52" s="1797"/>
      <c r="AH52" s="1797"/>
      <c r="AI52" s="1797"/>
      <c r="AJ52" s="1797"/>
      <c r="AK52" s="1863"/>
      <c r="AL52" s="1863"/>
      <c r="AM52" s="1864"/>
      <c r="AN52" s="153"/>
      <c r="AO52" s="153"/>
      <c r="AP52" s="153"/>
      <c r="AQ52" s="153"/>
      <c r="AR52" s="153"/>
      <c r="AS52" s="153"/>
    </row>
    <row r="53" spans="1:45" ht="105" customHeight="1" x14ac:dyDescent="0.2">
      <c r="A53" s="596"/>
      <c r="B53" s="163"/>
      <c r="C53" s="163"/>
      <c r="D53" s="390"/>
      <c r="E53" s="1875"/>
      <c r="F53" s="1875"/>
      <c r="G53" s="1876"/>
      <c r="H53" s="1875"/>
      <c r="I53" s="1875"/>
      <c r="J53" s="1774"/>
      <c r="K53" s="1778"/>
      <c r="L53" s="1774"/>
      <c r="M53" s="1774"/>
      <c r="N53" s="1774"/>
      <c r="O53" s="1774"/>
      <c r="P53" s="1778"/>
      <c r="Q53" s="1868"/>
      <c r="R53" s="1881"/>
      <c r="S53" s="1778"/>
      <c r="T53" s="1864"/>
      <c r="U53" s="455" t="s">
        <v>351</v>
      </c>
      <c r="V53" s="598">
        <v>3100000</v>
      </c>
      <c r="W53" s="1857"/>
      <c r="X53" s="1865"/>
      <c r="Y53" s="1797"/>
      <c r="Z53" s="1797"/>
      <c r="AA53" s="1797"/>
      <c r="AB53" s="1797"/>
      <c r="AC53" s="1797"/>
      <c r="AD53" s="1797"/>
      <c r="AE53" s="1797"/>
      <c r="AF53" s="1797"/>
      <c r="AG53" s="1797"/>
      <c r="AH53" s="1797"/>
      <c r="AI53" s="1797"/>
      <c r="AJ53" s="1797"/>
      <c r="AK53" s="1863"/>
      <c r="AL53" s="1863"/>
      <c r="AM53" s="1864"/>
      <c r="AN53" s="153"/>
      <c r="AO53" s="153"/>
      <c r="AP53" s="153"/>
      <c r="AQ53" s="153"/>
      <c r="AR53" s="153"/>
      <c r="AS53" s="153"/>
    </row>
    <row r="54" spans="1:45" ht="98.25" customHeight="1" x14ac:dyDescent="0.2">
      <c r="A54" s="596"/>
      <c r="B54" s="163"/>
      <c r="C54" s="163"/>
      <c r="D54" s="390"/>
      <c r="E54" s="1875"/>
      <c r="F54" s="1875"/>
      <c r="G54" s="1876"/>
      <c r="H54" s="1875"/>
      <c r="I54" s="1875"/>
      <c r="J54" s="1774"/>
      <c r="K54" s="1778"/>
      <c r="L54" s="1774"/>
      <c r="M54" s="1774"/>
      <c r="N54" s="1774"/>
      <c r="O54" s="1774"/>
      <c r="P54" s="1778"/>
      <c r="Q54" s="1868"/>
      <c r="R54" s="1881"/>
      <c r="S54" s="1778"/>
      <c r="T54" s="1778" t="s">
        <v>352</v>
      </c>
      <c r="U54" s="455" t="s">
        <v>353</v>
      </c>
      <c r="V54" s="598">
        <v>1200000</v>
      </c>
      <c r="W54" s="1857"/>
      <c r="X54" s="1865"/>
      <c r="Y54" s="1797"/>
      <c r="Z54" s="1797"/>
      <c r="AA54" s="1797"/>
      <c r="AB54" s="1797"/>
      <c r="AC54" s="1797"/>
      <c r="AD54" s="1797"/>
      <c r="AE54" s="1797"/>
      <c r="AF54" s="1797"/>
      <c r="AG54" s="1797"/>
      <c r="AH54" s="1797"/>
      <c r="AI54" s="1797"/>
      <c r="AJ54" s="1797"/>
      <c r="AK54" s="1863"/>
      <c r="AL54" s="1863"/>
      <c r="AM54" s="1864"/>
      <c r="AN54" s="153"/>
      <c r="AO54" s="153"/>
      <c r="AP54" s="153"/>
      <c r="AQ54" s="153"/>
      <c r="AR54" s="153"/>
      <c r="AS54" s="153"/>
    </row>
    <row r="55" spans="1:45" ht="45" customHeight="1" x14ac:dyDescent="0.2">
      <c r="A55" s="596"/>
      <c r="B55" s="163"/>
      <c r="C55" s="163"/>
      <c r="D55" s="390"/>
      <c r="E55" s="1875"/>
      <c r="F55" s="1875"/>
      <c r="G55" s="1876"/>
      <c r="H55" s="1875"/>
      <c r="I55" s="1875"/>
      <c r="J55" s="1774"/>
      <c r="K55" s="1778"/>
      <c r="L55" s="1774"/>
      <c r="M55" s="1774"/>
      <c r="N55" s="1774"/>
      <c r="O55" s="1774"/>
      <c r="P55" s="1778"/>
      <c r="Q55" s="1868"/>
      <c r="R55" s="1881"/>
      <c r="S55" s="1778"/>
      <c r="T55" s="1778"/>
      <c r="U55" s="455" t="s">
        <v>354</v>
      </c>
      <c r="V55" s="598">
        <v>500000</v>
      </c>
      <c r="W55" s="1857"/>
      <c r="X55" s="1865"/>
      <c r="Y55" s="1797"/>
      <c r="Z55" s="1797"/>
      <c r="AA55" s="1797"/>
      <c r="AB55" s="1797"/>
      <c r="AC55" s="1797"/>
      <c r="AD55" s="1797"/>
      <c r="AE55" s="1797"/>
      <c r="AF55" s="1797"/>
      <c r="AG55" s="1797"/>
      <c r="AH55" s="1797"/>
      <c r="AI55" s="1797"/>
      <c r="AJ55" s="1797"/>
      <c r="AK55" s="1863"/>
      <c r="AL55" s="1863"/>
      <c r="AM55" s="1864"/>
      <c r="AN55" s="153"/>
      <c r="AO55" s="153"/>
      <c r="AP55" s="153"/>
      <c r="AQ55" s="153"/>
      <c r="AR55" s="153"/>
      <c r="AS55" s="153"/>
    </row>
    <row r="56" spans="1:45" ht="54" customHeight="1" x14ac:dyDescent="0.2">
      <c r="A56" s="596"/>
      <c r="B56" s="163"/>
      <c r="C56" s="163"/>
      <c r="D56" s="390"/>
      <c r="E56" s="1875"/>
      <c r="F56" s="1875"/>
      <c r="G56" s="1876"/>
      <c r="H56" s="1875"/>
      <c r="I56" s="1875"/>
      <c r="J56" s="1774"/>
      <c r="K56" s="1778"/>
      <c r="L56" s="1774"/>
      <c r="M56" s="1774"/>
      <c r="N56" s="1774"/>
      <c r="O56" s="1774"/>
      <c r="P56" s="1778"/>
      <c r="Q56" s="1868"/>
      <c r="R56" s="1881"/>
      <c r="S56" s="1778"/>
      <c r="T56" s="1778"/>
      <c r="U56" s="455" t="s">
        <v>355</v>
      </c>
      <c r="V56" s="598">
        <v>6600000</v>
      </c>
      <c r="W56" s="1857"/>
      <c r="X56" s="1865"/>
      <c r="Y56" s="1797"/>
      <c r="Z56" s="1797"/>
      <c r="AA56" s="1797"/>
      <c r="AB56" s="1797"/>
      <c r="AC56" s="1797"/>
      <c r="AD56" s="1797"/>
      <c r="AE56" s="1797"/>
      <c r="AF56" s="1797"/>
      <c r="AG56" s="1797"/>
      <c r="AH56" s="1797"/>
      <c r="AI56" s="1797"/>
      <c r="AJ56" s="1797"/>
      <c r="AK56" s="1863"/>
      <c r="AL56" s="1863"/>
      <c r="AM56" s="1864"/>
      <c r="AN56" s="651"/>
      <c r="AO56" s="651"/>
      <c r="AP56" s="651"/>
      <c r="AQ56" s="651"/>
    </row>
    <row r="57" spans="1:45" ht="62.25" customHeight="1" x14ac:dyDescent="0.2">
      <c r="A57" s="596"/>
      <c r="B57" s="163"/>
      <c r="C57" s="163"/>
      <c r="D57" s="390"/>
      <c r="E57" s="1875"/>
      <c r="F57" s="1875"/>
      <c r="G57" s="1876"/>
      <c r="H57" s="1875"/>
      <c r="I57" s="1875"/>
      <c r="J57" s="1774"/>
      <c r="K57" s="1778"/>
      <c r="L57" s="1774"/>
      <c r="M57" s="1774"/>
      <c r="N57" s="1774"/>
      <c r="O57" s="1774"/>
      <c r="P57" s="1778"/>
      <c r="Q57" s="1868"/>
      <c r="R57" s="1881"/>
      <c r="S57" s="1778"/>
      <c r="T57" s="1778"/>
      <c r="U57" s="455" t="s">
        <v>356</v>
      </c>
      <c r="V57" s="598">
        <v>9600000</v>
      </c>
      <c r="W57" s="1858"/>
      <c r="X57" s="1862"/>
      <c r="Y57" s="1797"/>
      <c r="Z57" s="1797"/>
      <c r="AA57" s="1797"/>
      <c r="AB57" s="1797"/>
      <c r="AC57" s="1797"/>
      <c r="AD57" s="1797"/>
      <c r="AE57" s="1797"/>
      <c r="AF57" s="1797"/>
      <c r="AG57" s="1797"/>
      <c r="AH57" s="1797"/>
      <c r="AI57" s="1797"/>
      <c r="AJ57" s="1797"/>
      <c r="AK57" s="1863"/>
      <c r="AL57" s="1863"/>
      <c r="AM57" s="1864"/>
      <c r="AN57" s="651"/>
      <c r="AO57" s="651"/>
      <c r="AP57" s="651"/>
      <c r="AQ57" s="651"/>
    </row>
    <row r="58" spans="1:45" ht="63" customHeight="1" x14ac:dyDescent="0.2">
      <c r="A58" s="596"/>
      <c r="B58" s="163"/>
      <c r="C58" s="163"/>
      <c r="D58" s="390"/>
      <c r="E58" s="391"/>
      <c r="F58" s="391"/>
      <c r="G58" s="390"/>
      <c r="H58" s="391"/>
      <c r="I58" s="391"/>
      <c r="J58" s="1895">
        <v>264</v>
      </c>
      <c r="K58" s="1767" t="s">
        <v>357</v>
      </c>
      <c r="L58" s="1861" t="s">
        <v>16</v>
      </c>
      <c r="M58" s="1861">
        <v>1</v>
      </c>
      <c r="N58" s="1866" t="s">
        <v>358</v>
      </c>
      <c r="O58" s="1861">
        <v>11</v>
      </c>
      <c r="P58" s="1767" t="s">
        <v>359</v>
      </c>
      <c r="Q58" s="1869">
        <v>1</v>
      </c>
      <c r="R58" s="1872">
        <f>SUM(V58:V60)</f>
        <v>215000000</v>
      </c>
      <c r="S58" s="1767" t="s">
        <v>360</v>
      </c>
      <c r="T58" s="1861" t="s">
        <v>361</v>
      </c>
      <c r="U58" s="455" t="s">
        <v>362</v>
      </c>
      <c r="V58" s="598">
        <v>15000000</v>
      </c>
      <c r="W58" s="1859">
        <v>20</v>
      </c>
      <c r="X58" s="1843" t="s">
        <v>185</v>
      </c>
      <c r="Y58" s="1856">
        <v>64149</v>
      </c>
      <c r="Z58" s="1856">
        <v>72224</v>
      </c>
      <c r="AA58" s="1856">
        <v>27477</v>
      </c>
      <c r="AB58" s="1856">
        <v>86843</v>
      </c>
      <c r="AC58" s="1856">
        <v>236429</v>
      </c>
      <c r="AD58" s="1856">
        <v>81384</v>
      </c>
      <c r="AE58" s="1856"/>
      <c r="AF58" s="1856"/>
      <c r="AG58" s="1856"/>
      <c r="AH58" s="1856"/>
      <c r="AI58" s="1856"/>
      <c r="AJ58" s="1853"/>
      <c r="AK58" s="1850">
        <v>42736</v>
      </c>
      <c r="AL58" s="1850">
        <v>43100</v>
      </c>
      <c r="AM58" s="1798" t="s">
        <v>270</v>
      </c>
      <c r="AN58" s="1845"/>
      <c r="AO58" s="651"/>
      <c r="AP58" s="651"/>
      <c r="AQ58" s="651"/>
    </row>
    <row r="59" spans="1:45" ht="74.25" customHeight="1" x14ac:dyDescent="0.2">
      <c r="A59" s="596"/>
      <c r="B59" s="163"/>
      <c r="C59" s="163"/>
      <c r="D59" s="390"/>
      <c r="E59" s="391"/>
      <c r="F59" s="391"/>
      <c r="G59" s="390"/>
      <c r="H59" s="391"/>
      <c r="I59" s="391"/>
      <c r="J59" s="1896"/>
      <c r="K59" s="1768"/>
      <c r="L59" s="1865"/>
      <c r="M59" s="1865"/>
      <c r="N59" s="1867"/>
      <c r="O59" s="1865"/>
      <c r="P59" s="1768"/>
      <c r="Q59" s="1870"/>
      <c r="R59" s="1873"/>
      <c r="S59" s="1768"/>
      <c r="T59" s="1862"/>
      <c r="U59" s="455" t="s">
        <v>363</v>
      </c>
      <c r="V59" s="599">
        <f>138000000+40000000</f>
        <v>178000000</v>
      </c>
      <c r="W59" s="1860"/>
      <c r="X59" s="1844"/>
      <c r="Y59" s="1857"/>
      <c r="Z59" s="1857"/>
      <c r="AA59" s="1857"/>
      <c r="AB59" s="1857"/>
      <c r="AC59" s="1857"/>
      <c r="AD59" s="1857"/>
      <c r="AE59" s="1857"/>
      <c r="AF59" s="1857"/>
      <c r="AG59" s="1857"/>
      <c r="AH59" s="1857"/>
      <c r="AI59" s="1857"/>
      <c r="AJ59" s="1854"/>
      <c r="AK59" s="1851"/>
      <c r="AL59" s="1851"/>
      <c r="AM59" s="1799"/>
      <c r="AN59" s="1845"/>
      <c r="AO59" s="651"/>
      <c r="AP59" s="651"/>
      <c r="AQ59" s="651"/>
    </row>
    <row r="60" spans="1:45" ht="141" customHeight="1" x14ac:dyDescent="0.2">
      <c r="A60" s="596"/>
      <c r="B60" s="163"/>
      <c r="C60" s="163"/>
      <c r="D60" s="390"/>
      <c r="E60" s="391"/>
      <c r="F60" s="391"/>
      <c r="G60" s="390"/>
      <c r="H60" s="391"/>
      <c r="I60" s="391"/>
      <c r="J60" s="1897"/>
      <c r="K60" s="1769"/>
      <c r="L60" s="1862"/>
      <c r="M60" s="1862"/>
      <c r="N60" s="652" t="s">
        <v>364</v>
      </c>
      <c r="O60" s="1862"/>
      <c r="P60" s="1769"/>
      <c r="Q60" s="1871"/>
      <c r="R60" s="1874"/>
      <c r="S60" s="1769"/>
      <c r="T60" s="455" t="s">
        <v>365</v>
      </c>
      <c r="U60" s="455" t="s">
        <v>366</v>
      </c>
      <c r="V60" s="598">
        <v>22000000</v>
      </c>
      <c r="W60" s="653">
        <v>88</v>
      </c>
      <c r="X60" s="654" t="s">
        <v>313</v>
      </c>
      <c r="Y60" s="1858"/>
      <c r="Z60" s="1858"/>
      <c r="AA60" s="1858"/>
      <c r="AB60" s="1858"/>
      <c r="AC60" s="1858"/>
      <c r="AD60" s="1858"/>
      <c r="AE60" s="1858"/>
      <c r="AF60" s="1858"/>
      <c r="AG60" s="1858"/>
      <c r="AH60" s="1858"/>
      <c r="AI60" s="1858"/>
      <c r="AJ60" s="1855"/>
      <c r="AK60" s="1852"/>
      <c r="AL60" s="1852"/>
      <c r="AM60" s="1800"/>
      <c r="AN60" s="1845"/>
      <c r="AO60" s="651"/>
      <c r="AP60" s="651"/>
      <c r="AQ60" s="651"/>
    </row>
    <row r="61" spans="1:45" ht="68.25" customHeight="1" x14ac:dyDescent="0.2">
      <c r="A61" s="1846"/>
      <c r="B61" s="1847"/>
      <c r="C61" s="1847"/>
      <c r="D61" s="1848"/>
      <c r="E61" s="1847"/>
      <c r="F61" s="1847"/>
      <c r="G61" s="1848"/>
      <c r="H61" s="1849"/>
      <c r="I61" s="1849"/>
      <c r="J61" s="1797">
        <v>265</v>
      </c>
      <c r="K61" s="1778" t="s">
        <v>367</v>
      </c>
      <c r="L61" s="1823" t="s">
        <v>287</v>
      </c>
      <c r="M61" s="1824">
        <v>1</v>
      </c>
      <c r="N61" s="1828" t="s">
        <v>368</v>
      </c>
      <c r="O61" s="1823">
        <v>12</v>
      </c>
      <c r="P61" s="1822" t="s">
        <v>369</v>
      </c>
      <c r="Q61" s="1825">
        <v>1</v>
      </c>
      <c r="R61" s="1840">
        <v>645000000</v>
      </c>
      <c r="S61" s="1822" t="s">
        <v>370</v>
      </c>
      <c r="T61" s="1783" t="s">
        <v>371</v>
      </c>
      <c r="U61" s="459" t="s">
        <v>372</v>
      </c>
      <c r="V61" s="611">
        <v>18000000</v>
      </c>
      <c r="W61" s="1817">
        <v>20</v>
      </c>
      <c r="X61" s="1843" t="s">
        <v>185</v>
      </c>
      <c r="Y61" s="1776">
        <v>64149</v>
      </c>
      <c r="Z61" s="1776">
        <v>72224</v>
      </c>
      <c r="AA61" s="1776">
        <v>27477</v>
      </c>
      <c r="AB61" s="1776">
        <v>86843</v>
      </c>
      <c r="AC61" s="1776">
        <v>236429</v>
      </c>
      <c r="AD61" s="1776">
        <v>81384</v>
      </c>
      <c r="AE61" s="1776">
        <v>12718</v>
      </c>
      <c r="AF61" s="1776">
        <v>2145</v>
      </c>
      <c r="AG61" s="1776"/>
      <c r="AH61" s="1776">
        <v>43029</v>
      </c>
      <c r="AI61" s="1776">
        <v>16879</v>
      </c>
      <c r="AJ61" s="1776"/>
      <c r="AK61" s="1839">
        <v>42737</v>
      </c>
      <c r="AL61" s="1839">
        <v>43100</v>
      </c>
      <c r="AM61" s="1822" t="s">
        <v>270</v>
      </c>
    </row>
    <row r="62" spans="1:45" ht="103.5" customHeight="1" x14ac:dyDescent="0.2">
      <c r="A62" s="1846"/>
      <c r="B62" s="1847"/>
      <c r="C62" s="1847"/>
      <c r="D62" s="1848"/>
      <c r="E62" s="1847"/>
      <c r="F62" s="1847"/>
      <c r="G62" s="1848"/>
      <c r="H62" s="1849"/>
      <c r="I62" s="1849"/>
      <c r="J62" s="1797"/>
      <c r="K62" s="1778"/>
      <c r="L62" s="1823"/>
      <c r="M62" s="1824"/>
      <c r="N62" s="1829"/>
      <c r="O62" s="1823"/>
      <c r="P62" s="1822"/>
      <c r="Q62" s="1825"/>
      <c r="R62" s="1840"/>
      <c r="S62" s="1822"/>
      <c r="T62" s="1783"/>
      <c r="U62" s="655" t="s">
        <v>373</v>
      </c>
      <c r="V62" s="611">
        <v>58000000</v>
      </c>
      <c r="W62" s="1818"/>
      <c r="X62" s="1844"/>
      <c r="Y62" s="1776"/>
      <c r="Z62" s="1776"/>
      <c r="AA62" s="1776"/>
      <c r="AB62" s="1776"/>
      <c r="AC62" s="1776"/>
      <c r="AD62" s="1776"/>
      <c r="AE62" s="1776"/>
      <c r="AF62" s="1776"/>
      <c r="AG62" s="1776"/>
      <c r="AH62" s="1776"/>
      <c r="AI62" s="1776"/>
      <c r="AJ62" s="1776"/>
      <c r="AK62" s="1839"/>
      <c r="AL62" s="1839"/>
      <c r="AM62" s="1822"/>
    </row>
    <row r="63" spans="1:45" ht="60" customHeight="1" x14ac:dyDescent="0.2">
      <c r="A63" s="1846"/>
      <c r="B63" s="1847"/>
      <c r="C63" s="1847"/>
      <c r="D63" s="1848"/>
      <c r="E63" s="1847"/>
      <c r="F63" s="1847"/>
      <c r="G63" s="1848"/>
      <c r="H63" s="1849"/>
      <c r="I63" s="1849"/>
      <c r="J63" s="1797"/>
      <c r="K63" s="1778"/>
      <c r="L63" s="1823"/>
      <c r="M63" s="1824"/>
      <c r="N63" s="1829"/>
      <c r="O63" s="1823"/>
      <c r="P63" s="1822"/>
      <c r="Q63" s="1825"/>
      <c r="R63" s="1840"/>
      <c r="S63" s="1822"/>
      <c r="T63" s="1783"/>
      <c r="U63" s="655" t="s">
        <v>374</v>
      </c>
      <c r="V63" s="611">
        <v>29700000</v>
      </c>
      <c r="W63" s="1818"/>
      <c r="X63" s="1844"/>
      <c r="Y63" s="1776"/>
      <c r="Z63" s="1776"/>
      <c r="AA63" s="1776"/>
      <c r="AB63" s="1776"/>
      <c r="AC63" s="1776"/>
      <c r="AD63" s="1776"/>
      <c r="AE63" s="1776"/>
      <c r="AF63" s="1776"/>
      <c r="AG63" s="1776"/>
      <c r="AH63" s="1776"/>
      <c r="AI63" s="1776"/>
      <c r="AJ63" s="1776"/>
      <c r="AK63" s="1839"/>
      <c r="AL63" s="1839"/>
      <c r="AM63" s="1822"/>
    </row>
    <row r="64" spans="1:45" ht="66.75" customHeight="1" x14ac:dyDescent="0.2">
      <c r="A64" s="1846"/>
      <c r="B64" s="1847"/>
      <c r="C64" s="1847"/>
      <c r="D64" s="1848"/>
      <c r="E64" s="1847"/>
      <c r="F64" s="1847"/>
      <c r="G64" s="1848"/>
      <c r="H64" s="1849"/>
      <c r="I64" s="1849"/>
      <c r="J64" s="1797"/>
      <c r="K64" s="1778"/>
      <c r="L64" s="1823"/>
      <c r="M64" s="1824"/>
      <c r="N64" s="1829"/>
      <c r="O64" s="1823"/>
      <c r="P64" s="1822"/>
      <c r="Q64" s="1825"/>
      <c r="R64" s="1840"/>
      <c r="S64" s="1822"/>
      <c r="T64" s="1783"/>
      <c r="U64" s="655" t="s">
        <v>375</v>
      </c>
      <c r="V64" s="611">
        <v>29700000</v>
      </c>
      <c r="W64" s="1818"/>
      <c r="X64" s="1844"/>
      <c r="Y64" s="1776"/>
      <c r="Z64" s="1776"/>
      <c r="AA64" s="1776"/>
      <c r="AB64" s="1776"/>
      <c r="AC64" s="1776"/>
      <c r="AD64" s="1776"/>
      <c r="AE64" s="1776"/>
      <c r="AF64" s="1776"/>
      <c r="AG64" s="1776"/>
      <c r="AH64" s="1776"/>
      <c r="AI64" s="1776"/>
      <c r="AJ64" s="1776"/>
      <c r="AK64" s="1839"/>
      <c r="AL64" s="1839"/>
      <c r="AM64" s="1822"/>
    </row>
    <row r="65" spans="1:40" ht="60" customHeight="1" x14ac:dyDescent="0.2">
      <c r="A65" s="1846"/>
      <c r="B65" s="1847"/>
      <c r="C65" s="1847"/>
      <c r="D65" s="1848"/>
      <c r="E65" s="1847"/>
      <c r="F65" s="1847"/>
      <c r="G65" s="1848"/>
      <c r="H65" s="1849"/>
      <c r="I65" s="1849"/>
      <c r="J65" s="1797"/>
      <c r="K65" s="1778"/>
      <c r="L65" s="1823"/>
      <c r="M65" s="1824"/>
      <c r="N65" s="1829"/>
      <c r="O65" s="1823"/>
      <c r="P65" s="1822"/>
      <c r="Q65" s="1825"/>
      <c r="R65" s="1840"/>
      <c r="S65" s="1822"/>
      <c r="T65" s="1783"/>
      <c r="U65" s="655" t="s">
        <v>376</v>
      </c>
      <c r="V65" s="611">
        <v>29700000</v>
      </c>
      <c r="W65" s="1818"/>
      <c r="X65" s="1844"/>
      <c r="Y65" s="1776"/>
      <c r="Z65" s="1776"/>
      <c r="AA65" s="1776"/>
      <c r="AB65" s="1776"/>
      <c r="AC65" s="1776"/>
      <c r="AD65" s="1776"/>
      <c r="AE65" s="1776"/>
      <c r="AF65" s="1776"/>
      <c r="AG65" s="1776"/>
      <c r="AH65" s="1776"/>
      <c r="AI65" s="1776"/>
      <c r="AJ65" s="1776"/>
      <c r="AK65" s="1839"/>
      <c r="AL65" s="1839"/>
      <c r="AM65" s="1822"/>
    </row>
    <row r="66" spans="1:40" ht="42.75" x14ac:dyDescent="0.2">
      <c r="A66" s="1846"/>
      <c r="B66" s="1847"/>
      <c r="C66" s="1847"/>
      <c r="D66" s="1848"/>
      <c r="E66" s="1847"/>
      <c r="F66" s="1847"/>
      <c r="G66" s="1848"/>
      <c r="H66" s="1849"/>
      <c r="I66" s="1849"/>
      <c r="J66" s="1797"/>
      <c r="K66" s="1778"/>
      <c r="L66" s="1823"/>
      <c r="M66" s="1824"/>
      <c r="N66" s="1811" t="s">
        <v>377</v>
      </c>
      <c r="O66" s="1823"/>
      <c r="P66" s="1822"/>
      <c r="Q66" s="1825"/>
      <c r="R66" s="1840"/>
      <c r="S66" s="1822"/>
      <c r="T66" s="1783"/>
      <c r="U66" s="655" t="s">
        <v>378</v>
      </c>
      <c r="V66" s="656">
        <v>30000000</v>
      </c>
      <c r="W66" s="1813">
        <v>88</v>
      </c>
      <c r="X66" s="1841" t="s">
        <v>379</v>
      </c>
      <c r="Y66" s="1776"/>
      <c r="Z66" s="1776"/>
      <c r="AA66" s="1776"/>
      <c r="AB66" s="1776"/>
      <c r="AC66" s="1776"/>
      <c r="AD66" s="1776"/>
      <c r="AE66" s="1776"/>
      <c r="AF66" s="1776"/>
      <c r="AG66" s="1776"/>
      <c r="AH66" s="1776"/>
      <c r="AI66" s="1776"/>
      <c r="AJ66" s="1776"/>
      <c r="AK66" s="1839"/>
      <c r="AL66" s="1839"/>
      <c r="AM66" s="1822"/>
    </row>
    <row r="67" spans="1:40" ht="29.25" customHeight="1" x14ac:dyDescent="0.2">
      <c r="A67" s="1846"/>
      <c r="B67" s="1847"/>
      <c r="C67" s="1847"/>
      <c r="D67" s="1848"/>
      <c r="E67" s="1847"/>
      <c r="F67" s="1847"/>
      <c r="G67" s="1848"/>
      <c r="H67" s="1849"/>
      <c r="I67" s="1849"/>
      <c r="J67" s="1797"/>
      <c r="K67" s="1778"/>
      <c r="L67" s="1823"/>
      <c r="M67" s="1824"/>
      <c r="N67" s="1811"/>
      <c r="O67" s="1823"/>
      <c r="P67" s="1822"/>
      <c r="Q67" s="1825"/>
      <c r="R67" s="1840"/>
      <c r="S67" s="1822"/>
      <c r="T67" s="1783"/>
      <c r="U67" s="655" t="s">
        <v>380</v>
      </c>
      <c r="V67" s="656">
        <v>2500000</v>
      </c>
      <c r="W67" s="1813"/>
      <c r="X67" s="1841"/>
      <c r="Y67" s="1776"/>
      <c r="Z67" s="1776"/>
      <c r="AA67" s="1776"/>
      <c r="AB67" s="1776"/>
      <c r="AC67" s="1776"/>
      <c r="AD67" s="1776"/>
      <c r="AE67" s="1776"/>
      <c r="AF67" s="1776"/>
      <c r="AG67" s="1776"/>
      <c r="AH67" s="1776"/>
      <c r="AI67" s="1776"/>
      <c r="AJ67" s="1776"/>
      <c r="AK67" s="1839"/>
      <c r="AL67" s="1839"/>
      <c r="AM67" s="1822"/>
    </row>
    <row r="68" spans="1:40" ht="24" customHeight="1" x14ac:dyDescent="0.2">
      <c r="A68" s="1846"/>
      <c r="B68" s="1847"/>
      <c r="C68" s="1847"/>
      <c r="D68" s="1848"/>
      <c r="E68" s="1847"/>
      <c r="F68" s="1847"/>
      <c r="G68" s="1848"/>
      <c r="H68" s="1849"/>
      <c r="I68" s="1849"/>
      <c r="J68" s="1797"/>
      <c r="K68" s="1778"/>
      <c r="L68" s="1823"/>
      <c r="M68" s="1824"/>
      <c r="N68" s="1811"/>
      <c r="O68" s="1823"/>
      <c r="P68" s="1822"/>
      <c r="Q68" s="1825"/>
      <c r="R68" s="1840"/>
      <c r="S68" s="1822"/>
      <c r="T68" s="1783" t="s">
        <v>381</v>
      </c>
      <c r="U68" s="655" t="s">
        <v>382</v>
      </c>
      <c r="V68" s="634">
        <f>20800000+11200000</f>
        <v>32000000</v>
      </c>
      <c r="W68" s="1813"/>
      <c r="X68" s="1841"/>
      <c r="Y68" s="1776"/>
      <c r="Z68" s="1776"/>
      <c r="AA68" s="1776"/>
      <c r="AB68" s="1776"/>
      <c r="AC68" s="1776"/>
      <c r="AD68" s="1776"/>
      <c r="AE68" s="1776"/>
      <c r="AF68" s="1776"/>
      <c r="AG68" s="1776"/>
      <c r="AH68" s="1776"/>
      <c r="AI68" s="1776"/>
      <c r="AJ68" s="1776"/>
      <c r="AK68" s="1839"/>
      <c r="AL68" s="1839"/>
      <c r="AM68" s="1822"/>
    </row>
    <row r="69" spans="1:40" ht="29.25" customHeight="1" x14ac:dyDescent="0.2">
      <c r="A69" s="1846"/>
      <c r="B69" s="1847"/>
      <c r="C69" s="1847"/>
      <c r="D69" s="1848"/>
      <c r="E69" s="1847"/>
      <c r="F69" s="1847"/>
      <c r="G69" s="1848"/>
      <c r="H69" s="1849"/>
      <c r="I69" s="1849"/>
      <c r="J69" s="1797"/>
      <c r="K69" s="1778"/>
      <c r="L69" s="1823"/>
      <c r="M69" s="1824"/>
      <c r="N69" s="1811"/>
      <c r="O69" s="1823"/>
      <c r="P69" s="1822"/>
      <c r="Q69" s="1825"/>
      <c r="R69" s="1840"/>
      <c r="S69" s="1822"/>
      <c r="T69" s="1783"/>
      <c r="U69" s="655" t="s">
        <v>383</v>
      </c>
      <c r="V69" s="634">
        <f>20800000+11200000</f>
        <v>32000000</v>
      </c>
      <c r="W69" s="1813"/>
      <c r="X69" s="1841"/>
      <c r="Y69" s="1776"/>
      <c r="Z69" s="1776"/>
      <c r="AA69" s="1776"/>
      <c r="AB69" s="1776"/>
      <c r="AC69" s="1776"/>
      <c r="AD69" s="1776"/>
      <c r="AE69" s="1776"/>
      <c r="AF69" s="1776"/>
      <c r="AG69" s="1776"/>
      <c r="AH69" s="1776"/>
      <c r="AI69" s="1776"/>
      <c r="AJ69" s="1776"/>
      <c r="AK69" s="1839"/>
      <c r="AL69" s="1839"/>
      <c r="AM69" s="1822"/>
    </row>
    <row r="70" spans="1:40" ht="36" customHeight="1" x14ac:dyDescent="0.2">
      <c r="A70" s="1846"/>
      <c r="B70" s="1847"/>
      <c r="C70" s="1847"/>
      <c r="D70" s="1848"/>
      <c r="E70" s="1847"/>
      <c r="F70" s="1847"/>
      <c r="G70" s="1848"/>
      <c r="H70" s="1849"/>
      <c r="I70" s="1849"/>
      <c r="J70" s="1797"/>
      <c r="K70" s="1778"/>
      <c r="L70" s="1823"/>
      <c r="M70" s="1824"/>
      <c r="N70" s="1811"/>
      <c r="O70" s="1823"/>
      <c r="P70" s="1822"/>
      <c r="Q70" s="1825"/>
      <c r="R70" s="1840"/>
      <c r="S70" s="1822"/>
      <c r="T70" s="1783"/>
      <c r="U70" s="655" t="s">
        <v>384</v>
      </c>
      <c r="V70" s="634">
        <f>20800000+11240000</f>
        <v>32040000</v>
      </c>
      <c r="W70" s="1813"/>
      <c r="X70" s="1841"/>
      <c r="Y70" s="1776"/>
      <c r="Z70" s="1776"/>
      <c r="AA70" s="1776"/>
      <c r="AB70" s="1776"/>
      <c r="AC70" s="1776"/>
      <c r="AD70" s="1776"/>
      <c r="AE70" s="1776"/>
      <c r="AF70" s="1776"/>
      <c r="AG70" s="1776"/>
      <c r="AH70" s="1776"/>
      <c r="AI70" s="1776"/>
      <c r="AJ70" s="1776"/>
      <c r="AK70" s="1839"/>
      <c r="AL70" s="1839"/>
      <c r="AM70" s="1822"/>
    </row>
    <row r="71" spans="1:40" ht="51" customHeight="1" x14ac:dyDescent="0.2">
      <c r="A71" s="1846"/>
      <c r="B71" s="1847"/>
      <c r="C71" s="1847"/>
      <c r="D71" s="1848"/>
      <c r="E71" s="1847"/>
      <c r="F71" s="1847"/>
      <c r="G71" s="1848"/>
      <c r="H71" s="1849"/>
      <c r="I71" s="1849"/>
      <c r="J71" s="1797"/>
      <c r="K71" s="1778"/>
      <c r="L71" s="1823"/>
      <c r="M71" s="1824"/>
      <c r="N71" s="1811"/>
      <c r="O71" s="1823"/>
      <c r="P71" s="1822"/>
      <c r="Q71" s="1825"/>
      <c r="R71" s="1840"/>
      <c r="S71" s="1822"/>
      <c r="T71" s="1783"/>
      <c r="U71" s="655" t="s">
        <v>385</v>
      </c>
      <c r="V71" s="634">
        <f>20800000+11360000</f>
        <v>32160000</v>
      </c>
      <c r="W71" s="1813"/>
      <c r="X71" s="1841"/>
      <c r="Y71" s="1776"/>
      <c r="Z71" s="1776"/>
      <c r="AA71" s="1776"/>
      <c r="AB71" s="1776"/>
      <c r="AC71" s="1776"/>
      <c r="AD71" s="1776"/>
      <c r="AE71" s="1776"/>
      <c r="AF71" s="1776"/>
      <c r="AG71" s="1776"/>
      <c r="AH71" s="1776"/>
      <c r="AI71" s="1776"/>
      <c r="AJ71" s="1776"/>
      <c r="AK71" s="1839"/>
      <c r="AL71" s="1839"/>
      <c r="AM71" s="1822"/>
    </row>
    <row r="72" spans="1:40" ht="60" customHeight="1" x14ac:dyDescent="0.2">
      <c r="A72" s="1846"/>
      <c r="B72" s="1847"/>
      <c r="C72" s="1847"/>
      <c r="D72" s="1848"/>
      <c r="E72" s="1847"/>
      <c r="F72" s="1847"/>
      <c r="G72" s="1848"/>
      <c r="H72" s="1849"/>
      <c r="I72" s="1849"/>
      <c r="J72" s="1797"/>
      <c r="K72" s="1778"/>
      <c r="L72" s="1823"/>
      <c r="M72" s="1824"/>
      <c r="N72" s="1811"/>
      <c r="O72" s="1823"/>
      <c r="P72" s="1822"/>
      <c r="Q72" s="1825"/>
      <c r="R72" s="1840"/>
      <c r="S72" s="1822"/>
      <c r="T72" s="58" t="s">
        <v>386</v>
      </c>
      <c r="U72" s="655" t="s">
        <v>387</v>
      </c>
      <c r="V72" s="611">
        <v>90000000</v>
      </c>
      <c r="W72" s="1813"/>
      <c r="X72" s="1841"/>
      <c r="Y72" s="1776"/>
      <c r="Z72" s="1776"/>
      <c r="AA72" s="1776"/>
      <c r="AB72" s="1776"/>
      <c r="AC72" s="1776"/>
      <c r="AD72" s="1776"/>
      <c r="AE72" s="1776"/>
      <c r="AF72" s="1776"/>
      <c r="AG72" s="1776"/>
      <c r="AH72" s="1776"/>
      <c r="AI72" s="1776"/>
      <c r="AJ72" s="1776"/>
      <c r="AK72" s="1839"/>
      <c r="AL72" s="1839"/>
      <c r="AM72" s="1822"/>
    </row>
    <row r="73" spans="1:40" ht="39" customHeight="1" x14ac:dyDescent="0.2">
      <c r="A73" s="1846"/>
      <c r="B73" s="1847"/>
      <c r="C73" s="1847"/>
      <c r="D73" s="1848"/>
      <c r="E73" s="1847"/>
      <c r="F73" s="1847"/>
      <c r="G73" s="1848"/>
      <c r="H73" s="1849"/>
      <c r="I73" s="1849"/>
      <c r="J73" s="1797"/>
      <c r="K73" s="1778"/>
      <c r="L73" s="1823"/>
      <c r="M73" s="1824"/>
      <c r="N73" s="1811"/>
      <c r="O73" s="1823"/>
      <c r="P73" s="1822"/>
      <c r="Q73" s="1825"/>
      <c r="R73" s="1840"/>
      <c r="S73" s="1822"/>
      <c r="T73" s="58" t="s">
        <v>388</v>
      </c>
      <c r="U73" s="655" t="s">
        <v>389</v>
      </c>
      <c r="V73" s="611">
        <v>203200000</v>
      </c>
      <c r="W73" s="1813"/>
      <c r="X73" s="1841"/>
      <c r="Y73" s="1776"/>
      <c r="Z73" s="1776"/>
      <c r="AA73" s="1776"/>
      <c r="AB73" s="1776"/>
      <c r="AC73" s="1776"/>
      <c r="AD73" s="1776"/>
      <c r="AE73" s="1776"/>
      <c r="AF73" s="1776"/>
      <c r="AG73" s="1776"/>
      <c r="AH73" s="1776"/>
      <c r="AI73" s="1776"/>
      <c r="AJ73" s="1776"/>
      <c r="AK73" s="1839"/>
      <c r="AL73" s="1839"/>
      <c r="AM73" s="1822"/>
    </row>
    <row r="74" spans="1:40" ht="50.25" customHeight="1" x14ac:dyDescent="0.2">
      <c r="A74" s="1846"/>
      <c r="B74" s="1847"/>
      <c r="C74" s="1847"/>
      <c r="D74" s="1848"/>
      <c r="E74" s="1847"/>
      <c r="F74" s="1847"/>
      <c r="G74" s="1848"/>
      <c r="H74" s="1849"/>
      <c r="I74" s="1849"/>
      <c r="J74" s="1797"/>
      <c r="K74" s="1778"/>
      <c r="L74" s="1823"/>
      <c r="M74" s="1824"/>
      <c r="N74" s="1812"/>
      <c r="O74" s="1823"/>
      <c r="P74" s="1822"/>
      <c r="Q74" s="1825"/>
      <c r="R74" s="1840"/>
      <c r="S74" s="1822"/>
      <c r="T74" s="58" t="s">
        <v>390</v>
      </c>
      <c r="U74" s="655" t="s">
        <v>391</v>
      </c>
      <c r="V74" s="611">
        <v>26000000</v>
      </c>
      <c r="W74" s="1814"/>
      <c r="X74" s="1842"/>
      <c r="Y74" s="1776"/>
      <c r="Z74" s="1776"/>
      <c r="AA74" s="1776"/>
      <c r="AB74" s="1776"/>
      <c r="AC74" s="1776"/>
      <c r="AD74" s="1776"/>
      <c r="AE74" s="1776"/>
      <c r="AF74" s="1776"/>
      <c r="AG74" s="1776"/>
      <c r="AH74" s="1776"/>
      <c r="AI74" s="1776"/>
      <c r="AJ74" s="1776"/>
      <c r="AK74" s="1839"/>
      <c r="AL74" s="1839"/>
      <c r="AM74" s="1822"/>
    </row>
    <row r="75" spans="1:40" s="43" customFormat="1" ht="106.5" customHeight="1" x14ac:dyDescent="0.2">
      <c r="A75" s="642"/>
      <c r="B75" s="643"/>
      <c r="C75" s="643"/>
      <c r="D75" s="644"/>
      <c r="E75" s="643"/>
      <c r="F75" s="643"/>
      <c r="G75" s="644"/>
      <c r="H75" s="643"/>
      <c r="I75" s="643"/>
      <c r="J75" s="1776">
        <v>266</v>
      </c>
      <c r="K75" s="1783" t="s">
        <v>392</v>
      </c>
      <c r="L75" s="1782" t="s">
        <v>16</v>
      </c>
      <c r="M75" s="1782">
        <v>1</v>
      </c>
      <c r="N75" s="1828" t="s">
        <v>393</v>
      </c>
      <c r="O75" s="1785">
        <v>13</v>
      </c>
      <c r="P75" s="1832" t="s">
        <v>394</v>
      </c>
      <c r="Q75" s="1835">
        <v>1</v>
      </c>
      <c r="R75" s="1836">
        <f>16000000+20000000</f>
        <v>36000000</v>
      </c>
      <c r="S75" s="1783" t="s">
        <v>395</v>
      </c>
      <c r="T75" s="50" t="s">
        <v>396</v>
      </c>
      <c r="U75" s="50" t="s">
        <v>397</v>
      </c>
      <c r="V75" s="634">
        <v>1750000</v>
      </c>
      <c r="W75" s="1837">
        <v>20</v>
      </c>
      <c r="X75" s="1833" t="s">
        <v>398</v>
      </c>
      <c r="Y75" s="1810"/>
      <c r="Z75" s="1810"/>
      <c r="AA75" s="1810"/>
      <c r="AB75" s="1776">
        <v>50</v>
      </c>
      <c r="AC75" s="1776">
        <v>220</v>
      </c>
      <c r="AD75" s="1776">
        <v>49</v>
      </c>
      <c r="AE75" s="1810"/>
      <c r="AF75" s="1776"/>
      <c r="AG75" s="1810"/>
      <c r="AH75" s="1810"/>
      <c r="AI75" s="1810"/>
      <c r="AJ75" s="1810"/>
      <c r="AK75" s="1831"/>
      <c r="AL75" s="1831"/>
      <c r="AM75" s="1832" t="s">
        <v>270</v>
      </c>
      <c r="AN75" s="1826"/>
    </row>
    <row r="76" spans="1:40" s="43" customFormat="1" ht="50.25" customHeight="1" x14ac:dyDescent="0.2">
      <c r="A76" s="642"/>
      <c r="B76" s="643"/>
      <c r="C76" s="643"/>
      <c r="D76" s="644"/>
      <c r="E76" s="643"/>
      <c r="F76" s="643"/>
      <c r="G76" s="644"/>
      <c r="H76" s="643"/>
      <c r="I76" s="643"/>
      <c r="J76" s="1776"/>
      <c r="K76" s="1783"/>
      <c r="L76" s="1782"/>
      <c r="M76" s="1782"/>
      <c r="N76" s="1829"/>
      <c r="O76" s="1785"/>
      <c r="P76" s="1832"/>
      <c r="Q76" s="1835"/>
      <c r="R76" s="1836"/>
      <c r="S76" s="1832"/>
      <c r="T76" s="1783" t="s">
        <v>399</v>
      </c>
      <c r="U76" s="50" t="s">
        <v>400</v>
      </c>
      <c r="V76" s="634">
        <f>'[1]013 (a) '!$F$8</f>
        <v>3680000</v>
      </c>
      <c r="W76" s="1838"/>
      <c r="X76" s="1834"/>
      <c r="Y76" s="1810"/>
      <c r="Z76" s="1810"/>
      <c r="AA76" s="1810"/>
      <c r="AB76" s="1776"/>
      <c r="AC76" s="1776"/>
      <c r="AD76" s="1776"/>
      <c r="AE76" s="1810"/>
      <c r="AF76" s="1776"/>
      <c r="AG76" s="1810"/>
      <c r="AH76" s="1810"/>
      <c r="AI76" s="1810"/>
      <c r="AJ76" s="1810"/>
      <c r="AK76" s="1831"/>
      <c r="AL76" s="1831"/>
      <c r="AM76" s="1832"/>
      <c r="AN76" s="1826"/>
    </row>
    <row r="77" spans="1:40" s="43" customFormat="1" ht="81" customHeight="1" x14ac:dyDescent="0.2">
      <c r="A77" s="642"/>
      <c r="B77" s="643"/>
      <c r="C77" s="643"/>
      <c r="D77" s="644"/>
      <c r="E77" s="643"/>
      <c r="F77" s="643"/>
      <c r="G77" s="644"/>
      <c r="H77" s="643"/>
      <c r="I77" s="643"/>
      <c r="J77" s="1776"/>
      <c r="K77" s="1783"/>
      <c r="L77" s="1782"/>
      <c r="M77" s="1782"/>
      <c r="N77" s="1829"/>
      <c r="O77" s="1785"/>
      <c r="P77" s="1832"/>
      <c r="Q77" s="1835"/>
      <c r="R77" s="1836"/>
      <c r="S77" s="1832"/>
      <c r="T77" s="1783"/>
      <c r="U77" s="50" t="s">
        <v>401</v>
      </c>
      <c r="V77" s="634">
        <f>'[1]013 (a) '!$F$11</f>
        <v>11120000</v>
      </c>
      <c r="W77" s="1838"/>
      <c r="X77" s="1834"/>
      <c r="Y77" s="1810"/>
      <c r="Z77" s="1810"/>
      <c r="AA77" s="1810"/>
      <c r="AB77" s="1776"/>
      <c r="AC77" s="1776"/>
      <c r="AD77" s="1776"/>
      <c r="AE77" s="1810"/>
      <c r="AF77" s="1776"/>
      <c r="AG77" s="1810"/>
      <c r="AH77" s="1810"/>
      <c r="AI77" s="1810"/>
      <c r="AJ77" s="1810"/>
      <c r="AK77" s="1831"/>
      <c r="AL77" s="1831"/>
      <c r="AM77" s="1832"/>
      <c r="AN77" s="1826"/>
    </row>
    <row r="78" spans="1:40" s="43" customFormat="1" ht="56.25" customHeight="1" x14ac:dyDescent="0.2">
      <c r="A78" s="642"/>
      <c r="B78" s="643"/>
      <c r="C78" s="643"/>
      <c r="D78" s="644"/>
      <c r="E78" s="643"/>
      <c r="F78" s="643"/>
      <c r="G78" s="644"/>
      <c r="H78" s="643"/>
      <c r="I78" s="643"/>
      <c r="J78" s="1776"/>
      <c r="K78" s="1783"/>
      <c r="L78" s="1782"/>
      <c r="M78" s="1782"/>
      <c r="N78" s="1811" t="s">
        <v>402</v>
      </c>
      <c r="O78" s="1785"/>
      <c r="P78" s="1832"/>
      <c r="Q78" s="1835"/>
      <c r="R78" s="1836"/>
      <c r="S78" s="1832"/>
      <c r="T78" s="1783"/>
      <c r="U78" s="50" t="s">
        <v>403</v>
      </c>
      <c r="V78" s="657">
        <f>'[1]013 (a) '!$F$20</f>
        <v>11040000</v>
      </c>
      <c r="W78" s="1827">
        <v>88</v>
      </c>
      <c r="X78" s="1811" t="s">
        <v>379</v>
      </c>
      <c r="Y78" s="1810"/>
      <c r="Z78" s="1810"/>
      <c r="AA78" s="1810"/>
      <c r="AB78" s="1776"/>
      <c r="AC78" s="1776"/>
      <c r="AD78" s="1776"/>
      <c r="AE78" s="1810"/>
      <c r="AF78" s="1776"/>
      <c r="AG78" s="1810"/>
      <c r="AH78" s="1810"/>
      <c r="AI78" s="1810"/>
      <c r="AJ78" s="1810"/>
      <c r="AK78" s="1831"/>
      <c r="AL78" s="1831"/>
      <c r="AM78" s="1832"/>
      <c r="AN78" s="1826"/>
    </row>
    <row r="79" spans="1:40" s="43" customFormat="1" ht="56.25" customHeight="1" x14ac:dyDescent="0.2">
      <c r="A79" s="642"/>
      <c r="B79" s="643"/>
      <c r="C79" s="643"/>
      <c r="D79" s="644"/>
      <c r="E79" s="643"/>
      <c r="F79" s="643"/>
      <c r="G79" s="644"/>
      <c r="H79" s="643"/>
      <c r="I79" s="643"/>
      <c r="J79" s="1776"/>
      <c r="K79" s="1783"/>
      <c r="L79" s="1782"/>
      <c r="M79" s="1782"/>
      <c r="N79" s="1811"/>
      <c r="O79" s="1785"/>
      <c r="P79" s="1832"/>
      <c r="Q79" s="1835"/>
      <c r="R79" s="1836"/>
      <c r="S79" s="1832"/>
      <c r="T79" s="1783"/>
      <c r="U79" s="50" t="s">
        <v>404</v>
      </c>
      <c r="V79" s="657">
        <f>'[1]013 (a) '!$F$28</f>
        <v>8075000</v>
      </c>
      <c r="W79" s="1827"/>
      <c r="X79" s="1811"/>
      <c r="Y79" s="1810"/>
      <c r="Z79" s="1810"/>
      <c r="AA79" s="1810"/>
      <c r="AB79" s="1776"/>
      <c r="AC79" s="1776"/>
      <c r="AD79" s="1776"/>
      <c r="AE79" s="1810"/>
      <c r="AF79" s="1776"/>
      <c r="AG79" s="1810"/>
      <c r="AH79" s="1810"/>
      <c r="AI79" s="1810"/>
      <c r="AJ79" s="1810"/>
      <c r="AK79" s="1831"/>
      <c r="AL79" s="1831"/>
      <c r="AM79" s="1832"/>
      <c r="AN79" s="1826"/>
    </row>
    <row r="80" spans="1:40" s="43" customFormat="1" ht="39" customHeight="1" x14ac:dyDescent="0.2">
      <c r="A80" s="642"/>
      <c r="B80" s="643"/>
      <c r="C80" s="643"/>
      <c r="D80" s="644"/>
      <c r="E80" s="643"/>
      <c r="F80" s="643"/>
      <c r="G80" s="644"/>
      <c r="H80" s="643"/>
      <c r="I80" s="643"/>
      <c r="J80" s="1776"/>
      <c r="K80" s="1783"/>
      <c r="L80" s="1782"/>
      <c r="M80" s="1782"/>
      <c r="N80" s="1811"/>
      <c r="O80" s="1785"/>
      <c r="P80" s="1832"/>
      <c r="Q80" s="1835"/>
      <c r="R80" s="1836"/>
      <c r="S80" s="1832"/>
      <c r="T80" s="1783"/>
      <c r="U80" s="658" t="s">
        <v>405</v>
      </c>
      <c r="V80" s="657">
        <f>'[1]013 (a) '!$F$33</f>
        <v>335000</v>
      </c>
      <c r="W80" s="1827"/>
      <c r="X80" s="1811"/>
      <c r="Y80" s="1810"/>
      <c r="Z80" s="1810"/>
      <c r="AA80" s="1810"/>
      <c r="AB80" s="1776"/>
      <c r="AC80" s="1776"/>
      <c r="AD80" s="1776"/>
      <c r="AE80" s="1810"/>
      <c r="AF80" s="1776"/>
      <c r="AG80" s="1810"/>
      <c r="AH80" s="1810"/>
      <c r="AI80" s="1810"/>
      <c r="AJ80" s="1810"/>
      <c r="AK80" s="1831"/>
      <c r="AL80" s="1831"/>
      <c r="AM80" s="1832"/>
      <c r="AN80" s="1826"/>
    </row>
    <row r="81" spans="1:62" ht="81.75" customHeight="1" x14ac:dyDescent="0.2">
      <c r="A81" s="600"/>
      <c r="B81" s="163"/>
      <c r="C81" s="163"/>
      <c r="D81" s="601"/>
      <c r="E81" s="163"/>
      <c r="F81" s="163"/>
      <c r="G81" s="601"/>
      <c r="H81" s="163"/>
      <c r="I81" s="602"/>
      <c r="J81" s="450">
        <v>267</v>
      </c>
      <c r="K81" s="455" t="s">
        <v>406</v>
      </c>
      <c r="L81" s="461" t="s">
        <v>287</v>
      </c>
      <c r="M81" s="659">
        <v>1</v>
      </c>
      <c r="N81" s="1828" t="s">
        <v>407</v>
      </c>
      <c r="O81" s="1823">
        <v>14</v>
      </c>
      <c r="P81" s="1822" t="s">
        <v>408</v>
      </c>
      <c r="Q81" s="454">
        <f>12000000/164300000</f>
        <v>7.3037127206329891E-2</v>
      </c>
      <c r="R81" s="1819">
        <f>SUM(V81:V90)</f>
        <v>164300000</v>
      </c>
      <c r="S81" s="1783" t="s">
        <v>409</v>
      </c>
      <c r="T81" s="455" t="s">
        <v>410</v>
      </c>
      <c r="U81" s="455" t="s">
        <v>411</v>
      </c>
      <c r="V81" s="611">
        <v>12000000</v>
      </c>
      <c r="W81" s="1817">
        <v>20</v>
      </c>
      <c r="X81" s="1817" t="s">
        <v>307</v>
      </c>
      <c r="Y81" s="1776">
        <v>0</v>
      </c>
      <c r="Z81" s="1776">
        <v>0</v>
      </c>
      <c r="AA81" s="1776">
        <v>0</v>
      </c>
      <c r="AB81" s="1776">
        <v>100</v>
      </c>
      <c r="AC81" s="1776">
        <v>250</v>
      </c>
      <c r="AD81" s="1776">
        <v>41</v>
      </c>
      <c r="AE81" s="1782"/>
      <c r="AF81" s="1782"/>
      <c r="AG81" s="1782"/>
      <c r="AH81" s="1782"/>
      <c r="AI81" s="1782"/>
      <c r="AJ81" s="1782"/>
      <c r="AK81" s="660">
        <v>42737</v>
      </c>
      <c r="AL81" s="660">
        <v>43100</v>
      </c>
      <c r="AM81" s="1822" t="s">
        <v>270</v>
      </c>
    </row>
    <row r="82" spans="1:62" ht="117.75" customHeight="1" x14ac:dyDescent="0.2">
      <c r="A82" s="600"/>
      <c r="B82" s="163"/>
      <c r="C82" s="163"/>
      <c r="D82" s="601"/>
      <c r="E82" s="163"/>
      <c r="F82" s="163"/>
      <c r="G82" s="601"/>
      <c r="H82" s="163"/>
      <c r="I82" s="602"/>
      <c r="J82" s="450">
        <v>268</v>
      </c>
      <c r="K82" s="455" t="s">
        <v>412</v>
      </c>
      <c r="L82" s="461" t="s">
        <v>287</v>
      </c>
      <c r="M82" s="659">
        <v>12</v>
      </c>
      <c r="N82" s="1829"/>
      <c r="O82" s="1823"/>
      <c r="P82" s="1822"/>
      <c r="Q82" s="454">
        <f>12000000/164300000</f>
        <v>7.3037127206329891E-2</v>
      </c>
      <c r="R82" s="1820"/>
      <c r="S82" s="1783"/>
      <c r="T82" s="1778" t="s">
        <v>413</v>
      </c>
      <c r="U82" s="455" t="s">
        <v>414</v>
      </c>
      <c r="V82" s="611">
        <v>12000000</v>
      </c>
      <c r="W82" s="1818"/>
      <c r="X82" s="1818"/>
      <c r="Y82" s="1776"/>
      <c r="Z82" s="1776"/>
      <c r="AA82" s="1776"/>
      <c r="AB82" s="1776"/>
      <c r="AC82" s="1776"/>
      <c r="AD82" s="1776"/>
      <c r="AE82" s="1782"/>
      <c r="AF82" s="1782"/>
      <c r="AG82" s="1782"/>
      <c r="AH82" s="1782"/>
      <c r="AI82" s="1782"/>
      <c r="AJ82" s="1782"/>
      <c r="AK82" s="660">
        <v>42737</v>
      </c>
      <c r="AL82" s="660">
        <v>43100</v>
      </c>
      <c r="AM82" s="1822"/>
    </row>
    <row r="83" spans="1:62" ht="111" customHeight="1" x14ac:dyDescent="0.2">
      <c r="A83" s="600"/>
      <c r="B83" s="163"/>
      <c r="C83" s="163"/>
      <c r="D83" s="601"/>
      <c r="E83" s="163"/>
      <c r="F83" s="163"/>
      <c r="G83" s="601"/>
      <c r="H83" s="163"/>
      <c r="I83" s="602"/>
      <c r="J83" s="450">
        <v>269</v>
      </c>
      <c r="K83" s="455" t="s">
        <v>415</v>
      </c>
      <c r="L83" s="461" t="s">
        <v>287</v>
      </c>
      <c r="M83" s="659">
        <v>12</v>
      </c>
      <c r="N83" s="1829"/>
      <c r="O83" s="1823"/>
      <c r="P83" s="1822"/>
      <c r="Q83" s="454">
        <f>12000000/164300000</f>
        <v>7.3037127206329891E-2</v>
      </c>
      <c r="R83" s="1820"/>
      <c r="S83" s="1783"/>
      <c r="T83" s="1778"/>
      <c r="U83" s="455" t="s">
        <v>416</v>
      </c>
      <c r="V83" s="611">
        <v>12000000</v>
      </c>
      <c r="W83" s="1818"/>
      <c r="X83" s="1818"/>
      <c r="Y83" s="1776"/>
      <c r="Z83" s="1776"/>
      <c r="AA83" s="1776"/>
      <c r="AB83" s="1776"/>
      <c r="AC83" s="1776"/>
      <c r="AD83" s="1776"/>
      <c r="AE83" s="1782"/>
      <c r="AF83" s="1782"/>
      <c r="AG83" s="1782"/>
      <c r="AH83" s="1782"/>
      <c r="AI83" s="1782"/>
      <c r="AJ83" s="1782"/>
      <c r="AK83" s="660">
        <v>42737</v>
      </c>
      <c r="AL83" s="660">
        <v>43100</v>
      </c>
      <c r="AM83" s="1822"/>
    </row>
    <row r="84" spans="1:62" ht="136.5" customHeight="1" x14ac:dyDescent="0.2">
      <c r="A84" s="600"/>
      <c r="B84" s="163"/>
      <c r="C84" s="163"/>
      <c r="D84" s="601"/>
      <c r="E84" s="163"/>
      <c r="F84" s="163"/>
      <c r="G84" s="601"/>
      <c r="H84" s="163"/>
      <c r="I84" s="602"/>
      <c r="J84" s="450">
        <v>270</v>
      </c>
      <c r="K84" s="455" t="s">
        <v>417</v>
      </c>
      <c r="L84" s="461" t="s">
        <v>287</v>
      </c>
      <c r="M84" s="659">
        <v>12</v>
      </c>
      <c r="N84" s="1829"/>
      <c r="O84" s="1823"/>
      <c r="P84" s="1822"/>
      <c r="Q84" s="454">
        <f>15000000/164300000</f>
        <v>9.129640900791236E-2</v>
      </c>
      <c r="R84" s="1820"/>
      <c r="S84" s="1783"/>
      <c r="T84" s="1778"/>
      <c r="U84" s="455" t="s">
        <v>418</v>
      </c>
      <c r="V84" s="611">
        <v>15000000</v>
      </c>
      <c r="W84" s="1818"/>
      <c r="X84" s="1818"/>
      <c r="Y84" s="1776"/>
      <c r="Z84" s="1776"/>
      <c r="AA84" s="1776"/>
      <c r="AB84" s="1776"/>
      <c r="AC84" s="1776"/>
      <c r="AD84" s="1776"/>
      <c r="AE84" s="1782"/>
      <c r="AF84" s="1782"/>
      <c r="AG84" s="1782"/>
      <c r="AH84" s="1782"/>
      <c r="AI84" s="1782"/>
      <c r="AJ84" s="1782"/>
      <c r="AK84" s="660">
        <v>42737</v>
      </c>
      <c r="AL84" s="660">
        <v>43100</v>
      </c>
      <c r="AM84" s="1822"/>
    </row>
    <row r="85" spans="1:62" ht="74.25" customHeight="1" x14ac:dyDescent="0.2">
      <c r="A85" s="600"/>
      <c r="B85" s="163"/>
      <c r="C85" s="163"/>
      <c r="D85" s="601"/>
      <c r="E85" s="163"/>
      <c r="F85" s="163"/>
      <c r="G85" s="601"/>
      <c r="H85" s="163"/>
      <c r="I85" s="602"/>
      <c r="J85" s="1797">
        <v>271</v>
      </c>
      <c r="K85" s="1778" t="s">
        <v>419</v>
      </c>
      <c r="L85" s="1823" t="s">
        <v>287</v>
      </c>
      <c r="M85" s="1824">
        <v>12</v>
      </c>
      <c r="N85" s="1829"/>
      <c r="O85" s="1823"/>
      <c r="P85" s="1822"/>
      <c r="Q85" s="1825">
        <f>45992500/164300000</f>
        <v>0.27993000608642726</v>
      </c>
      <c r="R85" s="1820"/>
      <c r="S85" s="1783"/>
      <c r="T85" s="1778"/>
      <c r="U85" s="455" t="s">
        <v>420</v>
      </c>
      <c r="V85" s="634">
        <f>28492500+17500000-V86</f>
        <v>35992500</v>
      </c>
      <c r="W85" s="1818"/>
      <c r="X85" s="1818"/>
      <c r="Y85" s="1776"/>
      <c r="Z85" s="1776"/>
      <c r="AA85" s="1776"/>
      <c r="AB85" s="1776"/>
      <c r="AC85" s="1776"/>
      <c r="AD85" s="1776"/>
      <c r="AE85" s="1782"/>
      <c r="AF85" s="1782"/>
      <c r="AG85" s="1782"/>
      <c r="AH85" s="1782"/>
      <c r="AI85" s="1782"/>
      <c r="AJ85" s="1782"/>
      <c r="AK85" s="1808">
        <v>42737</v>
      </c>
      <c r="AL85" s="1808">
        <v>42735</v>
      </c>
      <c r="AM85" s="1822"/>
    </row>
    <row r="86" spans="1:62" ht="91.5" customHeight="1" x14ac:dyDescent="0.2">
      <c r="A86" s="600"/>
      <c r="B86" s="163"/>
      <c r="C86" s="163"/>
      <c r="D86" s="601"/>
      <c r="E86" s="163"/>
      <c r="F86" s="163"/>
      <c r="G86" s="601"/>
      <c r="H86" s="163"/>
      <c r="I86" s="602"/>
      <c r="J86" s="1797"/>
      <c r="K86" s="1778"/>
      <c r="L86" s="1823"/>
      <c r="M86" s="1824"/>
      <c r="N86" s="1811" t="s">
        <v>421</v>
      </c>
      <c r="O86" s="1823"/>
      <c r="P86" s="1822"/>
      <c r="Q86" s="1825"/>
      <c r="R86" s="1820"/>
      <c r="S86" s="1783"/>
      <c r="T86" s="1778"/>
      <c r="U86" s="455" t="s">
        <v>422</v>
      </c>
      <c r="V86" s="634">
        <v>10000000</v>
      </c>
      <c r="W86" s="1813">
        <v>88</v>
      </c>
      <c r="X86" s="1815" t="s">
        <v>313</v>
      </c>
      <c r="Y86" s="1776"/>
      <c r="Z86" s="1776"/>
      <c r="AA86" s="1776"/>
      <c r="AB86" s="1776"/>
      <c r="AC86" s="1776"/>
      <c r="AD86" s="1776"/>
      <c r="AE86" s="1782"/>
      <c r="AF86" s="1782"/>
      <c r="AG86" s="1782"/>
      <c r="AH86" s="1782"/>
      <c r="AI86" s="1782"/>
      <c r="AJ86" s="1782"/>
      <c r="AK86" s="1809"/>
      <c r="AL86" s="1809"/>
      <c r="AM86" s="1822"/>
    </row>
    <row r="87" spans="1:62" ht="129" customHeight="1" x14ac:dyDescent="0.2">
      <c r="A87" s="600"/>
      <c r="B87" s="163"/>
      <c r="C87" s="163"/>
      <c r="D87" s="601"/>
      <c r="E87" s="163"/>
      <c r="F87" s="163"/>
      <c r="G87" s="601"/>
      <c r="H87" s="163"/>
      <c r="I87" s="602"/>
      <c r="J87" s="450">
        <v>272</v>
      </c>
      <c r="K87" s="455" t="s">
        <v>423</v>
      </c>
      <c r="L87" s="461" t="s">
        <v>287</v>
      </c>
      <c r="M87" s="659">
        <v>12</v>
      </c>
      <c r="N87" s="1811"/>
      <c r="O87" s="1823"/>
      <c r="P87" s="1822"/>
      <c r="Q87" s="454">
        <f>32500000/164300000</f>
        <v>0.1978088861838101</v>
      </c>
      <c r="R87" s="1820"/>
      <c r="S87" s="1783"/>
      <c r="T87" s="1778"/>
      <c r="U87" s="455" t="s">
        <v>424</v>
      </c>
      <c r="V87" s="634">
        <f>15000000+17500000</f>
        <v>32500000</v>
      </c>
      <c r="W87" s="1813"/>
      <c r="X87" s="1815"/>
      <c r="Y87" s="1776"/>
      <c r="Z87" s="1776"/>
      <c r="AA87" s="1776"/>
      <c r="AB87" s="1776"/>
      <c r="AC87" s="1776"/>
      <c r="AD87" s="1776"/>
      <c r="AE87" s="1782"/>
      <c r="AF87" s="1782"/>
      <c r="AG87" s="1782"/>
      <c r="AH87" s="1782"/>
      <c r="AI87" s="1782"/>
      <c r="AJ87" s="1782"/>
      <c r="AK87" s="649">
        <v>42737</v>
      </c>
      <c r="AL87" s="649">
        <v>42858</v>
      </c>
      <c r="AM87" s="1822"/>
    </row>
    <row r="88" spans="1:62" ht="122.25" customHeight="1" x14ac:dyDescent="0.2">
      <c r="A88" s="600"/>
      <c r="B88" s="163"/>
      <c r="C88" s="163"/>
      <c r="D88" s="601"/>
      <c r="E88" s="163"/>
      <c r="F88" s="163"/>
      <c r="G88" s="601"/>
      <c r="H88" s="163"/>
      <c r="I88" s="602"/>
      <c r="J88" s="450">
        <v>273</v>
      </c>
      <c r="K88" s="455" t="s">
        <v>425</v>
      </c>
      <c r="L88" s="461" t="s">
        <v>287</v>
      </c>
      <c r="M88" s="659">
        <v>12</v>
      </c>
      <c r="N88" s="1811"/>
      <c r="O88" s="1823"/>
      <c r="P88" s="1822"/>
      <c r="Q88" s="454">
        <f>2672500/164300000</f>
        <v>1.6265976871576385E-2</v>
      </c>
      <c r="R88" s="1820"/>
      <c r="S88" s="1783"/>
      <c r="T88" s="1778"/>
      <c r="U88" s="455" t="s">
        <v>426</v>
      </c>
      <c r="V88" s="611">
        <v>2672500</v>
      </c>
      <c r="W88" s="1813"/>
      <c r="X88" s="1815"/>
      <c r="Y88" s="1776"/>
      <c r="Z88" s="1776"/>
      <c r="AA88" s="1776"/>
      <c r="AB88" s="1776"/>
      <c r="AC88" s="1776"/>
      <c r="AD88" s="1776"/>
      <c r="AE88" s="1782"/>
      <c r="AF88" s="1782"/>
      <c r="AG88" s="1782"/>
      <c r="AH88" s="1782"/>
      <c r="AI88" s="1782"/>
      <c r="AJ88" s="1782"/>
      <c r="AK88" s="649">
        <v>42737</v>
      </c>
      <c r="AL88" s="649">
        <v>42858</v>
      </c>
      <c r="AM88" s="1822"/>
    </row>
    <row r="89" spans="1:62" ht="98.25" customHeight="1" x14ac:dyDescent="0.2">
      <c r="A89" s="600"/>
      <c r="B89" s="163"/>
      <c r="C89" s="163"/>
      <c r="D89" s="601"/>
      <c r="E89" s="163"/>
      <c r="F89" s="163"/>
      <c r="G89" s="601"/>
      <c r="H89" s="163"/>
      <c r="I89" s="602"/>
      <c r="J89" s="450">
        <v>274</v>
      </c>
      <c r="K89" s="455" t="s">
        <v>427</v>
      </c>
      <c r="L89" s="461" t="s">
        <v>287</v>
      </c>
      <c r="M89" s="659">
        <v>12</v>
      </c>
      <c r="N89" s="1811"/>
      <c r="O89" s="1823"/>
      <c r="P89" s="1822"/>
      <c r="Q89" s="454">
        <f>14135000/164300000</f>
        <v>8.6031649421789411E-2</v>
      </c>
      <c r="R89" s="1820"/>
      <c r="S89" s="1783"/>
      <c r="T89" s="1778"/>
      <c r="U89" s="455" t="s">
        <v>428</v>
      </c>
      <c r="V89" s="611">
        <v>14135000</v>
      </c>
      <c r="W89" s="1813"/>
      <c r="X89" s="1815"/>
      <c r="Y89" s="1776"/>
      <c r="Z89" s="1776"/>
      <c r="AA89" s="1776"/>
      <c r="AB89" s="1776"/>
      <c r="AC89" s="1776"/>
      <c r="AD89" s="1776"/>
      <c r="AE89" s="1782"/>
      <c r="AF89" s="1782"/>
      <c r="AG89" s="1782"/>
      <c r="AH89" s="1782"/>
      <c r="AI89" s="1782"/>
      <c r="AJ89" s="1782"/>
      <c r="AK89" s="649">
        <v>42737</v>
      </c>
      <c r="AL89" s="649">
        <v>42858</v>
      </c>
      <c r="AM89" s="1822"/>
    </row>
    <row r="90" spans="1:62" ht="99.75" customHeight="1" x14ac:dyDescent="0.2">
      <c r="A90" s="661"/>
      <c r="B90" s="613"/>
      <c r="C90" s="613"/>
      <c r="D90" s="612"/>
      <c r="E90" s="613"/>
      <c r="F90" s="613"/>
      <c r="G90" s="612"/>
      <c r="H90" s="613"/>
      <c r="I90" s="614"/>
      <c r="J90" s="450">
        <v>260</v>
      </c>
      <c r="K90" s="455" t="s">
        <v>429</v>
      </c>
      <c r="L90" s="461" t="s">
        <v>287</v>
      </c>
      <c r="M90" s="659">
        <v>12</v>
      </c>
      <c r="N90" s="1812"/>
      <c r="O90" s="1823"/>
      <c r="P90" s="1822"/>
      <c r="Q90" s="454">
        <f>18000000/164300000</f>
        <v>0.10955569080949483</v>
      </c>
      <c r="R90" s="1821"/>
      <c r="S90" s="1830"/>
      <c r="T90" s="1767"/>
      <c r="U90" s="440" t="s">
        <v>430</v>
      </c>
      <c r="V90" s="611">
        <v>18000000</v>
      </c>
      <c r="W90" s="1814"/>
      <c r="X90" s="1816"/>
      <c r="Y90" s="1776"/>
      <c r="Z90" s="1776"/>
      <c r="AA90" s="1776"/>
      <c r="AB90" s="1776"/>
      <c r="AC90" s="1776"/>
      <c r="AD90" s="1776"/>
      <c r="AE90" s="1782"/>
      <c r="AF90" s="1782"/>
      <c r="AG90" s="1782"/>
      <c r="AH90" s="1782"/>
      <c r="AI90" s="1782"/>
      <c r="AJ90" s="1782"/>
      <c r="AK90" s="649">
        <v>42737</v>
      </c>
      <c r="AL90" s="649">
        <v>42858</v>
      </c>
      <c r="AM90" s="1822"/>
    </row>
    <row r="91" spans="1:62" s="559" customFormat="1" ht="24.75" customHeight="1" x14ac:dyDescent="0.25">
      <c r="A91" s="662"/>
      <c r="B91" s="552"/>
      <c r="C91" s="552"/>
      <c r="D91" s="552"/>
      <c r="E91" s="552"/>
      <c r="F91" s="552"/>
      <c r="G91" s="552"/>
      <c r="H91" s="552"/>
      <c r="I91" s="552"/>
      <c r="J91" s="552"/>
      <c r="K91" s="663"/>
      <c r="L91" s="664"/>
      <c r="M91" s="664"/>
      <c r="N91" s="664"/>
      <c r="O91" s="665"/>
      <c r="P91" s="663"/>
      <c r="Q91" s="666"/>
      <c r="R91" s="667">
        <f>SUM(R12:R90)</f>
        <v>1530000000</v>
      </c>
      <c r="S91" s="668"/>
      <c r="T91" s="663"/>
      <c r="U91" s="669"/>
      <c r="V91" s="670">
        <f>SUM(V12:V90)</f>
        <v>1530000000</v>
      </c>
      <c r="W91" s="671"/>
      <c r="X91" s="665"/>
      <c r="Y91" s="552"/>
      <c r="Z91" s="552"/>
      <c r="AA91" s="552"/>
      <c r="AB91" s="552"/>
      <c r="AC91" s="552"/>
      <c r="AD91" s="552"/>
      <c r="AE91" s="552"/>
      <c r="AF91" s="552"/>
      <c r="AG91" s="552"/>
      <c r="AH91" s="552"/>
      <c r="AI91" s="552"/>
      <c r="AJ91" s="552"/>
      <c r="AK91" s="672"/>
      <c r="AL91" s="673"/>
      <c r="AM91" s="674"/>
    </row>
    <row r="92" spans="1:62" x14ac:dyDescent="0.2">
      <c r="U92" s="678"/>
      <c r="V92" s="679"/>
      <c r="W92" s="680"/>
    </row>
    <row r="93" spans="1:62" x14ac:dyDescent="0.2">
      <c r="V93" s="683"/>
    </row>
    <row r="95" spans="1:62" ht="15" x14ac:dyDescent="0.25">
      <c r="D95" s="1807" t="s">
        <v>431</v>
      </c>
      <c r="E95" s="1807"/>
      <c r="F95" s="1807"/>
      <c r="G95" s="1807"/>
      <c r="H95" s="1807"/>
      <c r="I95" s="1807"/>
      <c r="O95" s="153"/>
      <c r="P95" s="675"/>
      <c r="Q95" s="685"/>
      <c r="R95" s="686"/>
      <c r="S95" s="687"/>
      <c r="V95" s="160"/>
      <c r="W95" s="651"/>
      <c r="X95" s="651"/>
      <c r="Y95" s="651"/>
      <c r="Z95" s="684"/>
      <c r="AA95" s="155"/>
      <c r="AK95" s="34"/>
      <c r="AL95" s="34"/>
      <c r="AM95" s="34"/>
      <c r="BA95" s="688"/>
      <c r="BB95" s="688"/>
      <c r="BE95" s="118"/>
      <c r="BF95" s="681"/>
      <c r="BG95" s="681"/>
      <c r="BH95" s="682"/>
      <c r="BI95" s="682"/>
      <c r="BJ95" s="359"/>
    </row>
    <row r="96" spans="1:62" ht="15" x14ac:dyDescent="0.25">
      <c r="D96" s="1807" t="s">
        <v>432</v>
      </c>
      <c r="E96" s="1807"/>
      <c r="F96" s="1807"/>
      <c r="G96" s="1807"/>
      <c r="H96" s="1807"/>
      <c r="I96" s="1807"/>
      <c r="O96" s="153"/>
      <c r="P96" s="675"/>
      <c r="Q96" s="685"/>
      <c r="R96" s="686"/>
      <c r="S96" s="687"/>
      <c r="V96" s="160"/>
      <c r="W96" s="651"/>
      <c r="X96" s="651"/>
      <c r="Y96" s="651"/>
      <c r="Z96" s="684"/>
      <c r="AA96" s="155"/>
      <c r="AK96" s="34"/>
      <c r="AL96" s="34"/>
      <c r="AM96" s="34"/>
      <c r="BA96" s="688"/>
      <c r="BB96" s="688"/>
      <c r="BE96" s="118"/>
      <c r="BF96" s="681"/>
      <c r="BG96" s="681"/>
      <c r="BH96" s="682"/>
      <c r="BI96" s="682"/>
      <c r="BJ96" s="359"/>
    </row>
  </sheetData>
  <mergeCells count="328">
    <mergeCell ref="J58:J60"/>
    <mergeCell ref="K58:K60"/>
    <mergeCell ref="AK5:AM6"/>
    <mergeCell ref="A5:M6"/>
    <mergeCell ref="A7:A8"/>
    <mergeCell ref="B7:C8"/>
    <mergeCell ref="D7:D8"/>
    <mergeCell ref="E7:F8"/>
    <mergeCell ref="G7:G8"/>
    <mergeCell ref="H7:I8"/>
    <mergeCell ref="R43:R50"/>
    <mergeCell ref="AM7:AM8"/>
    <mergeCell ref="J7:J8"/>
    <mergeCell ref="K7:K8"/>
    <mergeCell ref="L7:L8"/>
    <mergeCell ref="N7:N8"/>
    <mergeCell ref="O7:O8"/>
    <mergeCell ref="W33:W36"/>
    <mergeCell ref="X33:X36"/>
    <mergeCell ref="Y7:AD7"/>
    <mergeCell ref="AE7:AJ7"/>
    <mergeCell ref="P7:P8"/>
    <mergeCell ref="Q7:Q8"/>
    <mergeCell ref="Y12:Y23"/>
    <mergeCell ref="W7:W8"/>
    <mergeCell ref="X7:X8"/>
    <mergeCell ref="R7:R8"/>
    <mergeCell ref="S7:S8"/>
    <mergeCell ref="T7:T8"/>
    <mergeCell ref="U7:U8"/>
    <mergeCell ref="AK12:AK23"/>
    <mergeCell ref="AL12:AL23"/>
    <mergeCell ref="AM12:AM23"/>
    <mergeCell ref="Z12:Z23"/>
    <mergeCell ref="AA12:AA23"/>
    <mergeCell ref="R12:R23"/>
    <mergeCell ref="S12:S23"/>
    <mergeCell ref="T12:T16"/>
    <mergeCell ref="W12:W23"/>
    <mergeCell ref="X12:X23"/>
    <mergeCell ref="B16:C16"/>
    <mergeCell ref="E16:F16"/>
    <mergeCell ref="H16:I16"/>
    <mergeCell ref="T17:T21"/>
    <mergeCell ref="AH12:AH23"/>
    <mergeCell ref="AI12:AI23"/>
    <mergeCell ref="AJ12:AJ23"/>
    <mergeCell ref="AE12:AE23"/>
    <mergeCell ref="AG12:AG23"/>
    <mergeCell ref="AB12:AB23"/>
    <mergeCell ref="AC12:AC23"/>
    <mergeCell ref="J12:J23"/>
    <mergeCell ref="K12:K23"/>
    <mergeCell ref="L12:L23"/>
    <mergeCell ref="M12:M23"/>
    <mergeCell ref="N12:N23"/>
    <mergeCell ref="O12:O23"/>
    <mergeCell ref="AF12:AF23"/>
    <mergeCell ref="Q12:Q23"/>
    <mergeCell ref="P12:P23"/>
    <mergeCell ref="O25:O30"/>
    <mergeCell ref="P25:P30"/>
    <mergeCell ref="Q25:Q30"/>
    <mergeCell ref="R25:R30"/>
    <mergeCell ref="S25:S30"/>
    <mergeCell ref="T25:T26"/>
    <mergeCell ref="J25:J30"/>
    <mergeCell ref="K25:K30"/>
    <mergeCell ref="L25:L30"/>
    <mergeCell ref="M25:M30"/>
    <mergeCell ref="N25:N30"/>
    <mergeCell ref="AA25:AA30"/>
    <mergeCell ref="AB25:AB30"/>
    <mergeCell ref="AC25:AC30"/>
    <mergeCell ref="W25:W30"/>
    <mergeCell ref="X25:X30"/>
    <mergeCell ref="Y25:Y30"/>
    <mergeCell ref="AD12:AD23"/>
    <mergeCell ref="AM33:AM40"/>
    <mergeCell ref="N37:N40"/>
    <mergeCell ref="Z25:Z30"/>
    <mergeCell ref="AG25:AG30"/>
    <mergeCell ref="AH25:AH30"/>
    <mergeCell ref="AI25:AI30"/>
    <mergeCell ref="AD25:AD30"/>
    <mergeCell ref="AE25:AE30"/>
    <mergeCell ref="AF25:AF30"/>
    <mergeCell ref="AG33:AG40"/>
    <mergeCell ref="AM25:AM30"/>
    <mergeCell ref="T27:T30"/>
    <mergeCell ref="AK25:AK30"/>
    <mergeCell ref="T33:T37"/>
    <mergeCell ref="Q33:Q40"/>
    <mergeCell ref="R33:R40"/>
    <mergeCell ref="S33:S40"/>
    <mergeCell ref="J33:J40"/>
    <mergeCell ref="K33:K40"/>
    <mergeCell ref="L33:L40"/>
    <mergeCell ref="M33:M40"/>
    <mergeCell ref="N33:N36"/>
    <mergeCell ref="O33:O40"/>
    <mergeCell ref="P33:P40"/>
    <mergeCell ref="AB33:AB40"/>
    <mergeCell ref="AC33:AC40"/>
    <mergeCell ref="AA33:AA40"/>
    <mergeCell ref="W37:W40"/>
    <mergeCell ref="X37:X40"/>
    <mergeCell ref="Y33:Y40"/>
    <mergeCell ref="Z33:Z40"/>
    <mergeCell ref="AL25:AL30"/>
    <mergeCell ref="AJ25:AJ30"/>
    <mergeCell ref="AK33:AK40"/>
    <mergeCell ref="AL33:AL40"/>
    <mergeCell ref="AJ33:AJ40"/>
    <mergeCell ref="AD33:AD40"/>
    <mergeCell ref="AE33:AE40"/>
    <mergeCell ref="AF33:AF40"/>
    <mergeCell ref="AH33:AH40"/>
    <mergeCell ref="AI33:AI40"/>
    <mergeCell ref="AL49:AL50"/>
    <mergeCell ref="AM43:AM50"/>
    <mergeCell ref="N47:N50"/>
    <mergeCell ref="W47:W50"/>
    <mergeCell ref="X47:X50"/>
    <mergeCell ref="J49:J50"/>
    <mergeCell ref="K49:K50"/>
    <mergeCell ref="L49:L50"/>
    <mergeCell ref="M49:M50"/>
    <mergeCell ref="Q49:Q50"/>
    <mergeCell ref="AK43:AK45"/>
    <mergeCell ref="AL43:AL45"/>
    <mergeCell ref="AJ43:AJ50"/>
    <mergeCell ref="AG43:AG50"/>
    <mergeCell ref="AH43:AH50"/>
    <mergeCell ref="AI43:AI50"/>
    <mergeCell ref="Z43:Z50"/>
    <mergeCell ref="O43:O50"/>
    <mergeCell ref="P43:P50"/>
    <mergeCell ref="Q43:Q45"/>
    <mergeCell ref="S43:S50"/>
    <mergeCell ref="T43:T45"/>
    <mergeCell ref="T49:T50"/>
    <mergeCell ref="J43:J45"/>
    <mergeCell ref="E51:F57"/>
    <mergeCell ref="G51:G57"/>
    <mergeCell ref="H51:I57"/>
    <mergeCell ref="J51:J57"/>
    <mergeCell ref="K51:K57"/>
    <mergeCell ref="L51:L57"/>
    <mergeCell ref="AK49:AK50"/>
    <mergeCell ref="AD43:AD50"/>
    <mergeCell ref="AE43:AE50"/>
    <mergeCell ref="AF43:AF50"/>
    <mergeCell ref="AA43:AA50"/>
    <mergeCell ref="AB43:AB50"/>
    <mergeCell ref="AC43:AC50"/>
    <mergeCell ref="W43:W46"/>
    <mergeCell ref="X43:X46"/>
    <mergeCell ref="Y43:Y50"/>
    <mergeCell ref="K43:K45"/>
    <mergeCell ref="L43:L45"/>
    <mergeCell ref="M43:M45"/>
    <mergeCell ref="N43:N46"/>
    <mergeCell ref="R51:R57"/>
    <mergeCell ref="S51:S57"/>
    <mergeCell ref="L58:L60"/>
    <mergeCell ref="M58:M60"/>
    <mergeCell ref="N58:N59"/>
    <mergeCell ref="AI51:AI57"/>
    <mergeCell ref="AJ51:AJ57"/>
    <mergeCell ref="AF51:AF57"/>
    <mergeCell ref="AG51:AG57"/>
    <mergeCell ref="AH51:AH57"/>
    <mergeCell ref="AC51:AC57"/>
    <mergeCell ref="O58:O60"/>
    <mergeCell ref="P58:P60"/>
    <mergeCell ref="W51:W57"/>
    <mergeCell ref="X51:X57"/>
    <mergeCell ref="Y51:Y57"/>
    <mergeCell ref="M51:M57"/>
    <mergeCell ref="N51:N57"/>
    <mergeCell ref="O51:O57"/>
    <mergeCell ref="P51:P57"/>
    <mergeCell ref="Q51:Q57"/>
    <mergeCell ref="T51:T53"/>
    <mergeCell ref="Z58:Z60"/>
    <mergeCell ref="Q58:Q60"/>
    <mergeCell ref="R58:R60"/>
    <mergeCell ref="S58:S60"/>
    <mergeCell ref="T58:T59"/>
    <mergeCell ref="AL51:AL57"/>
    <mergeCell ref="AM51:AM57"/>
    <mergeCell ref="T54:T57"/>
    <mergeCell ref="AK51:AK57"/>
    <mergeCell ref="AD51:AD57"/>
    <mergeCell ref="AE51:AE57"/>
    <mergeCell ref="Z51:Z57"/>
    <mergeCell ref="AA51:AA57"/>
    <mergeCell ref="AB51:AB57"/>
    <mergeCell ref="AA58:AA60"/>
    <mergeCell ref="AM58:AM60"/>
    <mergeCell ref="AN58:AN60"/>
    <mergeCell ref="A61:A74"/>
    <mergeCell ref="B61:C74"/>
    <mergeCell ref="D61:D74"/>
    <mergeCell ref="E61:F74"/>
    <mergeCell ref="G61:G74"/>
    <mergeCell ref="H61:I74"/>
    <mergeCell ref="J61:J74"/>
    <mergeCell ref="K61:K74"/>
    <mergeCell ref="AK58:AK60"/>
    <mergeCell ref="AL58:AL60"/>
    <mergeCell ref="AJ58:AJ60"/>
    <mergeCell ref="AG58:AG60"/>
    <mergeCell ref="AH58:AH60"/>
    <mergeCell ref="AI58:AI60"/>
    <mergeCell ref="AD58:AD60"/>
    <mergeCell ref="AE58:AE60"/>
    <mergeCell ref="AF58:AF60"/>
    <mergeCell ref="AB58:AB60"/>
    <mergeCell ref="AC58:AC60"/>
    <mergeCell ref="W58:W59"/>
    <mergeCell ref="X58:X59"/>
    <mergeCell ref="Y58:Y60"/>
    <mergeCell ref="AM61:AM74"/>
    <mergeCell ref="AI61:AI74"/>
    <mergeCell ref="AJ61:AJ74"/>
    <mergeCell ref="AE61:AE74"/>
    <mergeCell ref="AF61:AF74"/>
    <mergeCell ref="AG61:AG74"/>
    <mergeCell ref="T61:T67"/>
    <mergeCell ref="W61:W65"/>
    <mergeCell ref="X61:X65"/>
    <mergeCell ref="N61:N65"/>
    <mergeCell ref="O61:O74"/>
    <mergeCell ref="P61:P74"/>
    <mergeCell ref="W75:W77"/>
    <mergeCell ref="J75:J80"/>
    <mergeCell ref="K75:K80"/>
    <mergeCell ref="L75:L80"/>
    <mergeCell ref="M75:M80"/>
    <mergeCell ref="N75:N77"/>
    <mergeCell ref="AK61:AK74"/>
    <mergeCell ref="AL61:AL74"/>
    <mergeCell ref="AB61:AB74"/>
    <mergeCell ref="AC61:AC74"/>
    <mergeCell ref="AD61:AD74"/>
    <mergeCell ref="Y61:Y74"/>
    <mergeCell ref="Z61:Z74"/>
    <mergeCell ref="AA61:AA74"/>
    <mergeCell ref="Q61:Q74"/>
    <mergeCell ref="R61:R74"/>
    <mergeCell ref="S61:S74"/>
    <mergeCell ref="L61:L74"/>
    <mergeCell ref="M61:M74"/>
    <mergeCell ref="N66:N74"/>
    <mergeCell ref="W66:W74"/>
    <mergeCell ref="X66:X74"/>
    <mergeCell ref="T68:T71"/>
    <mergeCell ref="AH61:AH74"/>
    <mergeCell ref="AN75:AN80"/>
    <mergeCell ref="T76:T80"/>
    <mergeCell ref="N78:N80"/>
    <mergeCell ref="W78:W80"/>
    <mergeCell ref="X78:X80"/>
    <mergeCell ref="N81:N85"/>
    <mergeCell ref="O81:O90"/>
    <mergeCell ref="P81:P90"/>
    <mergeCell ref="S81:S90"/>
    <mergeCell ref="W81:W85"/>
    <mergeCell ref="AK75:AK80"/>
    <mergeCell ref="AL75:AL80"/>
    <mergeCell ref="AM75:AM80"/>
    <mergeCell ref="AH75:AH80"/>
    <mergeCell ref="AD75:AD80"/>
    <mergeCell ref="X75:X77"/>
    <mergeCell ref="Y75:Y80"/>
    <mergeCell ref="Z75:Z80"/>
    <mergeCell ref="AA75:AA80"/>
    <mergeCell ref="O75:O80"/>
    <mergeCell ref="P75:P80"/>
    <mergeCell ref="Q75:Q80"/>
    <mergeCell ref="R75:R80"/>
    <mergeCell ref="S75:S80"/>
    <mergeCell ref="AD81:AD90"/>
    <mergeCell ref="X81:X85"/>
    <mergeCell ref="Y81:Y90"/>
    <mergeCell ref="Z81:Z90"/>
    <mergeCell ref="AA81:AA90"/>
    <mergeCell ref="R81:R90"/>
    <mergeCell ref="AM81:AM90"/>
    <mergeCell ref="T82:T90"/>
    <mergeCell ref="J85:J86"/>
    <mergeCell ref="K85:K86"/>
    <mergeCell ref="L85:L86"/>
    <mergeCell ref="M85:M86"/>
    <mergeCell ref="Q85:Q86"/>
    <mergeCell ref="AH81:AH90"/>
    <mergeCell ref="AI81:AI90"/>
    <mergeCell ref="AJ81:AJ90"/>
    <mergeCell ref="AE81:AE90"/>
    <mergeCell ref="AF81:AF90"/>
    <mergeCell ref="AG81:AG90"/>
    <mergeCell ref="AB81:AB90"/>
    <mergeCell ref="M7:M8"/>
    <mergeCell ref="V7:V8"/>
    <mergeCell ref="AK7:AK8"/>
    <mergeCell ref="AL7:AL8"/>
    <mergeCell ref="A1:AK2"/>
    <mergeCell ref="A3:AK3"/>
    <mergeCell ref="A4:AK4"/>
    <mergeCell ref="D95:I95"/>
    <mergeCell ref="D96:I96"/>
    <mergeCell ref="N5:X6"/>
    <mergeCell ref="Y5:AJ6"/>
    <mergeCell ref="AK85:AK86"/>
    <mergeCell ref="AL85:AL86"/>
    <mergeCell ref="AI75:AI80"/>
    <mergeCell ref="AJ75:AJ80"/>
    <mergeCell ref="AE75:AE80"/>
    <mergeCell ref="AF75:AF80"/>
    <mergeCell ref="AG75:AG80"/>
    <mergeCell ref="AB75:AB80"/>
    <mergeCell ref="AC75:AC80"/>
    <mergeCell ref="N86:N90"/>
    <mergeCell ref="W86:W90"/>
    <mergeCell ref="X86:X90"/>
    <mergeCell ref="AC81:AC9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showGridLines="0" topLeftCell="M1" zoomScale="55" zoomScaleNormal="55" zoomScaleSheetLayoutView="90" workbookViewId="0">
      <selection activeCell="AL3" sqref="AL3"/>
    </sheetView>
  </sheetViews>
  <sheetFormatPr baseColWidth="10" defaultColWidth="11.42578125" defaultRowHeight="14.25" x14ac:dyDescent="0.2"/>
  <cols>
    <col min="1" max="1" width="11" style="34" customWidth="1"/>
    <col min="2" max="2" width="16.7109375" style="34" customWidth="1"/>
    <col min="3" max="3" width="11.5703125" style="34" bestFit="1" customWidth="1"/>
    <col min="4" max="4" width="17.140625" style="34" customWidth="1"/>
    <col min="5" max="5" width="4.5703125" style="34" customWidth="1"/>
    <col min="6" max="6" width="10.5703125" style="34" customWidth="1"/>
    <col min="7" max="7" width="20.5703125" style="34" customWidth="1"/>
    <col min="8" max="8" width="18.28515625" style="34" customWidth="1"/>
    <col min="9" max="9" width="19" style="766" customWidth="1"/>
    <col min="10" max="10" width="14.85546875" style="561" customWidth="1"/>
    <col min="11" max="11" width="12.5703125" style="118" customWidth="1"/>
    <col min="12" max="12" width="21.42578125" style="561" customWidth="1"/>
    <col min="13" max="13" width="11.7109375" style="560" customWidth="1"/>
    <col min="14" max="14" width="21.5703125" style="118" customWidth="1"/>
    <col min="15" max="15" width="14.85546875" style="34" bestFit="1" customWidth="1"/>
    <col min="16" max="16" width="24.85546875" style="564" customWidth="1"/>
    <col min="17" max="17" width="26.85546875" style="358" customWidth="1"/>
    <col min="18" max="18" width="27.42578125" style="358" customWidth="1"/>
    <col min="19" max="19" width="25" style="358" customWidth="1"/>
    <col min="20" max="20" width="24.42578125" style="767" customWidth="1"/>
    <col min="21" max="21" width="14.7109375" style="768" customWidth="1"/>
    <col min="22" max="22" width="19.140625" style="34" customWidth="1"/>
    <col min="23" max="23" width="9.28515625" style="34" bestFit="1" customWidth="1"/>
    <col min="24" max="25" width="9.42578125" style="34" bestFit="1" customWidth="1"/>
    <col min="26" max="26" width="9.7109375" style="34" bestFit="1" customWidth="1"/>
    <col min="27" max="27" width="11" style="34" bestFit="1" customWidth="1"/>
    <col min="28" max="29" width="9.28515625" style="34" bestFit="1" customWidth="1"/>
    <col min="30" max="30" width="7.42578125" style="34" bestFit="1" customWidth="1"/>
    <col min="31" max="32" width="4.5703125" style="34" bestFit="1" customWidth="1"/>
    <col min="33" max="33" width="9" style="34" bestFit="1" customWidth="1"/>
    <col min="34" max="34" width="9.28515625" style="34" bestFit="1" customWidth="1"/>
    <col min="35" max="36" width="22.7109375" style="561" customWidth="1"/>
    <col min="37" max="37" width="28.7109375" style="34" customWidth="1"/>
    <col min="38" max="16384" width="11.42578125" style="34"/>
  </cols>
  <sheetData>
    <row r="1" spans="1:37" ht="19.5" customHeight="1" x14ac:dyDescent="0.25">
      <c r="A1" s="1913" t="s">
        <v>1786</v>
      </c>
      <c r="B1" s="1914"/>
      <c r="C1" s="1914"/>
      <c r="D1" s="1914"/>
      <c r="E1" s="1914"/>
      <c r="F1" s="1914"/>
      <c r="G1" s="1914"/>
      <c r="H1" s="1914"/>
      <c r="I1" s="1914"/>
      <c r="J1" s="1914"/>
      <c r="K1" s="1914"/>
      <c r="L1" s="1914"/>
      <c r="M1" s="1914"/>
      <c r="N1" s="1914"/>
      <c r="O1" s="1914"/>
      <c r="P1" s="1914"/>
      <c r="Q1" s="1914"/>
      <c r="R1" s="1914"/>
      <c r="S1" s="1914"/>
      <c r="T1" s="1914"/>
      <c r="U1" s="1914"/>
      <c r="V1" s="1914"/>
      <c r="W1" s="1914"/>
      <c r="X1" s="1914"/>
      <c r="Y1" s="1914"/>
      <c r="Z1" s="1914"/>
      <c r="AA1" s="1914"/>
      <c r="AB1" s="1914"/>
      <c r="AC1" s="1914"/>
      <c r="AD1" s="1914"/>
      <c r="AE1" s="1914"/>
      <c r="AF1" s="1914"/>
      <c r="AG1" s="1914"/>
      <c r="AH1" s="1914"/>
      <c r="AI1" s="1915"/>
      <c r="AJ1" s="491" t="s">
        <v>0</v>
      </c>
      <c r="AK1" s="245" t="s">
        <v>1784</v>
      </c>
    </row>
    <row r="2" spans="1:37" ht="19.5" customHeight="1" x14ac:dyDescent="0.25">
      <c r="A2" s="1749"/>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1"/>
      <c r="AJ2" s="489" t="s">
        <v>1</v>
      </c>
      <c r="AK2" s="246">
        <v>5</v>
      </c>
    </row>
    <row r="3" spans="1:37" ht="19.5" customHeight="1" x14ac:dyDescent="0.25">
      <c r="A3" s="1916" t="s">
        <v>174</v>
      </c>
      <c r="B3" s="1917"/>
      <c r="C3" s="1917"/>
      <c r="D3" s="1917"/>
      <c r="E3" s="1917"/>
      <c r="F3" s="1917"/>
      <c r="G3" s="1917"/>
      <c r="H3" s="1917"/>
      <c r="I3" s="1917"/>
      <c r="J3" s="1917"/>
      <c r="K3" s="1917"/>
      <c r="L3" s="1917"/>
      <c r="M3" s="1917"/>
      <c r="N3" s="1917"/>
      <c r="O3" s="1917"/>
      <c r="P3" s="1917"/>
      <c r="Q3" s="1917"/>
      <c r="R3" s="1917"/>
      <c r="S3" s="1917"/>
      <c r="T3" s="1917"/>
      <c r="U3" s="1917"/>
      <c r="V3" s="1917"/>
      <c r="W3" s="1917"/>
      <c r="X3" s="1917"/>
      <c r="Y3" s="1917"/>
      <c r="Z3" s="1917"/>
      <c r="AA3" s="1917"/>
      <c r="AB3" s="1917"/>
      <c r="AC3" s="1917"/>
      <c r="AD3" s="1917"/>
      <c r="AE3" s="1917"/>
      <c r="AF3" s="1917"/>
      <c r="AG3" s="1917"/>
      <c r="AH3" s="1917"/>
      <c r="AI3" s="1918"/>
      <c r="AJ3" s="491" t="s">
        <v>2</v>
      </c>
      <c r="AK3" s="247" t="s">
        <v>1785</v>
      </c>
    </row>
    <row r="4" spans="1:37" s="36" customFormat="1" ht="19.5" customHeight="1" x14ac:dyDescent="0.2">
      <c r="A4" s="1916" t="s">
        <v>119</v>
      </c>
      <c r="B4" s="1917"/>
      <c r="C4" s="1917"/>
      <c r="D4" s="1917"/>
      <c r="E4" s="1917"/>
      <c r="F4" s="1917"/>
      <c r="G4" s="1917"/>
      <c r="H4" s="1917"/>
      <c r="I4" s="1917"/>
      <c r="J4" s="1917"/>
      <c r="K4" s="1917"/>
      <c r="L4" s="1917"/>
      <c r="M4" s="1917"/>
      <c r="N4" s="1917"/>
      <c r="O4" s="1917"/>
      <c r="P4" s="1917"/>
      <c r="Q4" s="1917"/>
      <c r="R4" s="1917"/>
      <c r="S4" s="1917"/>
      <c r="T4" s="1917"/>
      <c r="U4" s="1917"/>
      <c r="V4" s="1917"/>
      <c r="W4" s="1917"/>
      <c r="X4" s="1917"/>
      <c r="Y4" s="1917"/>
      <c r="Z4" s="1917"/>
      <c r="AA4" s="1917"/>
      <c r="AB4" s="1917"/>
      <c r="AC4" s="1917"/>
      <c r="AD4" s="1917"/>
      <c r="AE4" s="1917"/>
      <c r="AF4" s="1917"/>
      <c r="AG4" s="1917"/>
      <c r="AH4" s="1917"/>
      <c r="AI4" s="1918"/>
      <c r="AJ4" s="491" t="s">
        <v>3</v>
      </c>
      <c r="AK4" s="248" t="s">
        <v>4</v>
      </c>
    </row>
    <row r="5" spans="1:37" ht="15" customHeight="1" x14ac:dyDescent="0.2">
      <c r="A5" s="1757" t="s">
        <v>5</v>
      </c>
      <c r="B5" s="1758"/>
      <c r="C5" s="1758"/>
      <c r="D5" s="1758"/>
      <c r="E5" s="1758"/>
      <c r="F5" s="1758"/>
      <c r="G5" s="1758"/>
      <c r="H5" s="1758"/>
      <c r="I5" s="1758"/>
      <c r="J5" s="1758"/>
      <c r="K5" s="1758"/>
      <c r="L5" s="1757" t="s">
        <v>6</v>
      </c>
      <c r="M5" s="1758"/>
      <c r="N5" s="1758"/>
      <c r="O5" s="1758"/>
      <c r="P5" s="1758"/>
      <c r="Q5" s="1758"/>
      <c r="R5" s="1758"/>
      <c r="S5" s="1758"/>
      <c r="T5" s="1758"/>
      <c r="U5" s="1758"/>
      <c r="V5" s="1762"/>
      <c r="W5" s="1757" t="s">
        <v>7</v>
      </c>
      <c r="X5" s="1758"/>
      <c r="Y5" s="1758"/>
      <c r="Z5" s="1758"/>
      <c r="AA5" s="1758"/>
      <c r="AB5" s="1758"/>
      <c r="AC5" s="1758"/>
      <c r="AD5" s="1758"/>
      <c r="AE5" s="1758"/>
      <c r="AF5" s="1758"/>
      <c r="AG5" s="1758"/>
      <c r="AH5" s="1758"/>
      <c r="AI5" s="1758"/>
      <c r="AJ5" s="1758"/>
      <c r="AK5" s="1762"/>
    </row>
    <row r="6" spans="1:37" ht="14.45" customHeight="1" x14ac:dyDescent="0.2">
      <c r="A6" s="1759"/>
      <c r="B6" s="1760"/>
      <c r="C6" s="1760"/>
      <c r="D6" s="1760"/>
      <c r="E6" s="1760"/>
      <c r="F6" s="1760"/>
      <c r="G6" s="1760"/>
      <c r="H6" s="1760"/>
      <c r="I6" s="1760"/>
      <c r="J6" s="1760"/>
      <c r="K6" s="1760"/>
      <c r="L6" s="1759"/>
      <c r="M6" s="1760"/>
      <c r="N6" s="1760"/>
      <c r="O6" s="1760"/>
      <c r="P6" s="1760"/>
      <c r="Q6" s="1760"/>
      <c r="R6" s="1760"/>
      <c r="S6" s="1760"/>
      <c r="T6" s="1760"/>
      <c r="U6" s="1760"/>
      <c r="V6" s="1761"/>
      <c r="W6" s="1759"/>
      <c r="X6" s="1760"/>
      <c r="Y6" s="1760"/>
      <c r="Z6" s="1760"/>
      <c r="AA6" s="1760"/>
      <c r="AB6" s="1760"/>
      <c r="AC6" s="1760"/>
      <c r="AD6" s="1760"/>
      <c r="AE6" s="1760"/>
      <c r="AF6" s="1760"/>
      <c r="AG6" s="1760"/>
      <c r="AH6" s="1760"/>
      <c r="AI6" s="1760"/>
      <c r="AJ6" s="1760"/>
      <c r="AK6" s="1761"/>
    </row>
    <row r="7" spans="1:37" ht="22.5" customHeight="1" x14ac:dyDescent="0.2">
      <c r="A7" s="1754" t="s">
        <v>8</v>
      </c>
      <c r="B7" s="1754" t="s">
        <v>9</v>
      </c>
      <c r="C7" s="1754" t="s">
        <v>8</v>
      </c>
      <c r="D7" s="1754" t="s">
        <v>10</v>
      </c>
      <c r="E7" s="1754"/>
      <c r="F7" s="1754" t="s">
        <v>8</v>
      </c>
      <c r="G7" s="1754" t="s">
        <v>11</v>
      </c>
      <c r="H7" s="1754" t="s">
        <v>8</v>
      </c>
      <c r="I7" s="1964" t="s">
        <v>12</v>
      </c>
      <c r="J7" s="1754" t="s">
        <v>13</v>
      </c>
      <c r="K7" s="1752" t="s">
        <v>14</v>
      </c>
      <c r="L7" s="1754" t="s">
        <v>15</v>
      </c>
      <c r="M7" s="1950" t="s">
        <v>16</v>
      </c>
      <c r="N7" s="1754" t="s">
        <v>6</v>
      </c>
      <c r="O7" s="1754" t="s">
        <v>17</v>
      </c>
      <c r="P7" s="1963" t="s">
        <v>18</v>
      </c>
      <c r="Q7" s="1754" t="s">
        <v>19</v>
      </c>
      <c r="R7" s="1754" t="s">
        <v>20</v>
      </c>
      <c r="S7" s="1754" t="s">
        <v>21</v>
      </c>
      <c r="T7" s="1752" t="s">
        <v>18</v>
      </c>
      <c r="U7" s="1950" t="s">
        <v>8</v>
      </c>
      <c r="V7" s="1754" t="s">
        <v>22</v>
      </c>
      <c r="W7" s="1943" t="s">
        <v>23</v>
      </c>
      <c r="X7" s="1943"/>
      <c r="Y7" s="1943"/>
      <c r="Z7" s="1943"/>
      <c r="AA7" s="1943"/>
      <c r="AB7" s="1943"/>
      <c r="AC7" s="1943" t="s">
        <v>24</v>
      </c>
      <c r="AD7" s="1943"/>
      <c r="AE7" s="1943"/>
      <c r="AF7" s="1943"/>
      <c r="AG7" s="1943"/>
      <c r="AH7" s="1943"/>
      <c r="AI7" s="1949" t="s">
        <v>25</v>
      </c>
      <c r="AJ7" s="1949" t="s">
        <v>26</v>
      </c>
      <c r="AK7" s="1793" t="s">
        <v>27</v>
      </c>
    </row>
    <row r="8" spans="1:37" ht="118.5" customHeight="1" x14ac:dyDescent="0.2">
      <c r="A8" s="1754"/>
      <c r="B8" s="1754"/>
      <c r="C8" s="1754"/>
      <c r="D8" s="1754"/>
      <c r="E8" s="1754"/>
      <c r="F8" s="1754"/>
      <c r="G8" s="1754"/>
      <c r="H8" s="1754"/>
      <c r="I8" s="1964"/>
      <c r="J8" s="1754"/>
      <c r="K8" s="1753"/>
      <c r="L8" s="1754"/>
      <c r="M8" s="1950"/>
      <c r="N8" s="1754"/>
      <c r="O8" s="1754"/>
      <c r="P8" s="1963"/>
      <c r="Q8" s="1754"/>
      <c r="R8" s="1754"/>
      <c r="S8" s="1754"/>
      <c r="T8" s="1753"/>
      <c r="U8" s="1950"/>
      <c r="V8" s="1754"/>
      <c r="W8" s="1487" t="s">
        <v>28</v>
      </c>
      <c r="X8" s="1487" t="s">
        <v>29</v>
      </c>
      <c r="Y8" s="1487" t="s">
        <v>30</v>
      </c>
      <c r="Z8" s="1487" t="s">
        <v>31</v>
      </c>
      <c r="AA8" s="1487" t="s">
        <v>32</v>
      </c>
      <c r="AB8" s="1487" t="s">
        <v>33</v>
      </c>
      <c r="AC8" s="1487" t="s">
        <v>34</v>
      </c>
      <c r="AD8" s="1487" t="s">
        <v>35</v>
      </c>
      <c r="AE8" s="1487" t="s">
        <v>36</v>
      </c>
      <c r="AF8" s="1487" t="s">
        <v>37</v>
      </c>
      <c r="AG8" s="1487" t="s">
        <v>38</v>
      </c>
      <c r="AH8" s="1487" t="s">
        <v>39</v>
      </c>
      <c r="AI8" s="1949"/>
      <c r="AJ8" s="1949"/>
      <c r="AK8" s="1793"/>
    </row>
    <row r="9" spans="1:37" s="696" customFormat="1" ht="18.75" customHeight="1" x14ac:dyDescent="0.25">
      <c r="A9" s="689" t="s">
        <v>175</v>
      </c>
      <c r="B9" s="255" t="s">
        <v>176</v>
      </c>
      <c r="C9" s="690"/>
      <c r="D9" s="567"/>
      <c r="E9" s="567"/>
      <c r="F9" s="567"/>
      <c r="G9" s="567"/>
      <c r="H9" s="567"/>
      <c r="I9" s="40"/>
      <c r="J9" s="569"/>
      <c r="K9" s="569"/>
      <c r="L9" s="569"/>
      <c r="M9" s="690"/>
      <c r="N9" s="569"/>
      <c r="O9" s="568"/>
      <c r="P9" s="691"/>
      <c r="Q9" s="568"/>
      <c r="R9" s="568"/>
      <c r="S9" s="568"/>
      <c r="T9" s="692"/>
      <c r="U9" s="572"/>
      <c r="V9" s="567"/>
      <c r="W9" s="567"/>
      <c r="X9" s="567"/>
      <c r="Y9" s="567"/>
      <c r="Z9" s="567"/>
      <c r="AA9" s="567"/>
      <c r="AB9" s="567"/>
      <c r="AC9" s="569"/>
      <c r="AD9" s="694"/>
      <c r="AE9" s="693"/>
      <c r="AF9" s="693"/>
      <c r="AG9" s="693"/>
      <c r="AH9" s="693"/>
      <c r="AI9" s="693"/>
      <c r="AJ9" s="693"/>
      <c r="AK9" s="695"/>
    </row>
    <row r="10" spans="1:37" s="562" customFormat="1" ht="18.75" customHeight="1" x14ac:dyDescent="0.25">
      <c r="A10" s="697"/>
      <c r="B10" s="698"/>
      <c r="C10" s="699">
        <v>28</v>
      </c>
      <c r="D10" s="700" t="s">
        <v>177</v>
      </c>
      <c r="E10" s="700"/>
      <c r="F10" s="701"/>
      <c r="G10" s="701"/>
      <c r="H10" s="701"/>
      <c r="I10" s="702"/>
      <c r="J10" s="703"/>
      <c r="K10" s="703"/>
      <c r="L10" s="703"/>
      <c r="M10" s="704"/>
      <c r="N10" s="703"/>
      <c r="O10" s="701"/>
      <c r="P10" s="705"/>
      <c r="Q10" s="1456"/>
      <c r="R10" s="1456"/>
      <c r="S10" s="1456"/>
      <c r="T10" s="705"/>
      <c r="U10" s="706"/>
      <c r="V10" s="701"/>
      <c r="W10" s="701"/>
      <c r="X10" s="701"/>
      <c r="Y10" s="701"/>
      <c r="Z10" s="701"/>
      <c r="AA10" s="701"/>
      <c r="AB10" s="701"/>
      <c r="AC10" s="701"/>
      <c r="AD10" s="701"/>
      <c r="AE10" s="701"/>
      <c r="AF10" s="701"/>
      <c r="AG10" s="701"/>
      <c r="AH10" s="701"/>
      <c r="AI10" s="703"/>
      <c r="AJ10" s="703"/>
      <c r="AK10" s="707"/>
    </row>
    <row r="11" spans="1:37" s="562" customFormat="1" ht="18.75" customHeight="1" x14ac:dyDescent="0.25">
      <c r="A11" s="708"/>
      <c r="B11" s="709"/>
      <c r="C11" s="697"/>
      <c r="D11" s="710"/>
      <c r="E11" s="698"/>
      <c r="F11" s="392">
        <v>88</v>
      </c>
      <c r="G11" s="1944" t="s">
        <v>178</v>
      </c>
      <c r="H11" s="1945"/>
      <c r="I11" s="711"/>
      <c r="J11" s="712"/>
      <c r="K11" s="712"/>
      <c r="L11" s="712"/>
      <c r="M11" s="714"/>
      <c r="N11" s="712"/>
      <c r="O11" s="713"/>
      <c r="P11" s="715"/>
      <c r="Q11" s="1174"/>
      <c r="R11" s="1174"/>
      <c r="S11" s="1174"/>
      <c r="T11" s="715"/>
      <c r="U11" s="716"/>
      <c r="V11" s="713"/>
      <c r="W11" s="713"/>
      <c r="X11" s="713"/>
      <c r="Y11" s="713"/>
      <c r="Z11" s="713"/>
      <c r="AA11" s="713"/>
      <c r="AB11" s="713"/>
      <c r="AC11" s="713"/>
      <c r="AD11" s="713"/>
      <c r="AE11" s="713"/>
      <c r="AF11" s="713"/>
      <c r="AG11" s="713"/>
      <c r="AH11" s="713"/>
      <c r="AI11" s="712"/>
      <c r="AJ11" s="712"/>
      <c r="AK11" s="717"/>
    </row>
    <row r="12" spans="1:37" ht="240.75" customHeight="1" x14ac:dyDescent="0.2">
      <c r="A12" s="37"/>
      <c r="B12" s="513"/>
      <c r="C12" s="37"/>
      <c r="D12" s="513"/>
      <c r="E12" s="513"/>
      <c r="F12" s="511"/>
      <c r="G12" s="718"/>
      <c r="H12" s="1940">
        <v>275</v>
      </c>
      <c r="I12" s="1830" t="s">
        <v>179</v>
      </c>
      <c r="J12" s="1895" t="s">
        <v>180</v>
      </c>
      <c r="K12" s="1895">
        <v>4</v>
      </c>
      <c r="L12" s="1775" t="s">
        <v>1782</v>
      </c>
      <c r="M12" s="1951">
        <v>16</v>
      </c>
      <c r="N12" s="1830" t="s">
        <v>181</v>
      </c>
      <c r="O12" s="1957">
        <f>T13/P12</f>
        <v>0.69238642872312373</v>
      </c>
      <c r="P12" s="1959">
        <f>SUM(T12:T22)</f>
        <v>1763466107</v>
      </c>
      <c r="Q12" s="1830" t="s">
        <v>182</v>
      </c>
      <c r="R12" s="1830" t="s">
        <v>183</v>
      </c>
      <c r="S12" s="719" t="s">
        <v>184</v>
      </c>
      <c r="T12" s="720">
        <v>0</v>
      </c>
      <c r="U12" s="1923">
        <v>20</v>
      </c>
      <c r="V12" s="1895" t="s">
        <v>185</v>
      </c>
      <c r="W12" s="1934">
        <v>64149</v>
      </c>
      <c r="X12" s="1930">
        <v>72224</v>
      </c>
      <c r="Y12" s="1946">
        <v>27477</v>
      </c>
      <c r="Z12" s="1930">
        <v>86843</v>
      </c>
      <c r="AA12" s="1930">
        <v>236429</v>
      </c>
      <c r="AB12" s="1930">
        <v>81384</v>
      </c>
      <c r="AC12" s="1930">
        <v>13208</v>
      </c>
      <c r="AD12" s="1930">
        <v>1187</v>
      </c>
      <c r="AE12" s="1930">
        <v>0</v>
      </c>
      <c r="AF12" s="1930">
        <v>0</v>
      </c>
      <c r="AG12" s="1930">
        <v>16897</v>
      </c>
      <c r="AH12" s="1930">
        <v>81384</v>
      </c>
      <c r="AI12" s="1928">
        <v>42754</v>
      </c>
      <c r="AJ12" s="1928">
        <v>43100</v>
      </c>
      <c r="AK12" s="1931" t="s">
        <v>186</v>
      </c>
    </row>
    <row r="13" spans="1:37" ht="77.25" customHeight="1" x14ac:dyDescent="0.2">
      <c r="A13" s="37"/>
      <c r="B13" s="513"/>
      <c r="C13" s="37"/>
      <c r="D13" s="513"/>
      <c r="E13" s="513"/>
      <c r="F13" s="37"/>
      <c r="G13" s="514"/>
      <c r="H13" s="1941"/>
      <c r="I13" s="1926"/>
      <c r="J13" s="1896"/>
      <c r="K13" s="1896"/>
      <c r="L13" s="1775"/>
      <c r="M13" s="1952"/>
      <c r="N13" s="1926"/>
      <c r="O13" s="1958"/>
      <c r="P13" s="1960"/>
      <c r="Q13" s="1926"/>
      <c r="R13" s="1927"/>
      <c r="S13" s="721" t="s">
        <v>187</v>
      </c>
      <c r="T13" s="722">
        <v>1221000000</v>
      </c>
      <c r="U13" s="1925"/>
      <c r="V13" s="1897"/>
      <c r="W13" s="1935"/>
      <c r="X13" s="1930"/>
      <c r="Y13" s="1947"/>
      <c r="Z13" s="1930"/>
      <c r="AA13" s="1930"/>
      <c r="AB13" s="1930"/>
      <c r="AC13" s="1930"/>
      <c r="AD13" s="1930"/>
      <c r="AE13" s="1930"/>
      <c r="AF13" s="1930"/>
      <c r="AG13" s="1930"/>
      <c r="AH13" s="1930"/>
      <c r="AI13" s="1929"/>
      <c r="AJ13" s="1929"/>
      <c r="AK13" s="1932"/>
    </row>
    <row r="14" spans="1:37" ht="77.25" customHeight="1" x14ac:dyDescent="0.2">
      <c r="A14" s="37"/>
      <c r="B14" s="513"/>
      <c r="C14" s="37"/>
      <c r="D14" s="513"/>
      <c r="E14" s="513"/>
      <c r="F14" s="37"/>
      <c r="G14" s="514"/>
      <c r="H14" s="1796">
        <v>276</v>
      </c>
      <c r="I14" s="1783" t="s">
        <v>188</v>
      </c>
      <c r="J14" s="1775" t="s">
        <v>180</v>
      </c>
      <c r="K14" s="1775">
        <v>1</v>
      </c>
      <c r="L14" s="1775"/>
      <c r="M14" s="1952"/>
      <c r="N14" s="1926"/>
      <c r="O14" s="1954">
        <f>T16/P12</f>
        <v>0.14755032657965339</v>
      </c>
      <c r="P14" s="1960"/>
      <c r="Q14" s="1926"/>
      <c r="R14" s="1830" t="s">
        <v>189</v>
      </c>
      <c r="S14" s="1783" t="s">
        <v>190</v>
      </c>
      <c r="T14" s="720">
        <v>0</v>
      </c>
      <c r="U14" s="723"/>
      <c r="V14" s="431"/>
      <c r="W14" s="1935"/>
      <c r="X14" s="1930"/>
      <c r="Y14" s="1947"/>
      <c r="Z14" s="1930"/>
      <c r="AA14" s="1930"/>
      <c r="AB14" s="1930"/>
      <c r="AC14" s="1930"/>
      <c r="AD14" s="1930"/>
      <c r="AE14" s="1930"/>
      <c r="AF14" s="1930"/>
      <c r="AG14" s="1930"/>
      <c r="AH14" s="1930"/>
      <c r="AI14" s="724"/>
      <c r="AJ14" s="724"/>
      <c r="AK14" s="725"/>
    </row>
    <row r="15" spans="1:37" ht="121.5" customHeight="1" x14ac:dyDescent="0.2">
      <c r="A15" s="37"/>
      <c r="B15" s="513"/>
      <c r="C15" s="37"/>
      <c r="D15" s="513"/>
      <c r="E15" s="513"/>
      <c r="F15" s="37"/>
      <c r="G15" s="514"/>
      <c r="H15" s="1796"/>
      <c r="I15" s="1783"/>
      <c r="J15" s="1775"/>
      <c r="K15" s="1775"/>
      <c r="L15" s="1775"/>
      <c r="M15" s="1952"/>
      <c r="N15" s="1926"/>
      <c r="O15" s="1955"/>
      <c r="P15" s="1960"/>
      <c r="Q15" s="1926"/>
      <c r="R15" s="1926"/>
      <c r="S15" s="1783"/>
      <c r="T15" s="720">
        <v>0</v>
      </c>
      <c r="U15" s="1923" t="s">
        <v>191</v>
      </c>
      <c r="V15" s="1895" t="s">
        <v>192</v>
      </c>
      <c r="W15" s="1935"/>
      <c r="X15" s="1930"/>
      <c r="Y15" s="1947"/>
      <c r="Z15" s="1930"/>
      <c r="AA15" s="1930"/>
      <c r="AB15" s="1930"/>
      <c r="AC15" s="1930"/>
      <c r="AD15" s="1930"/>
      <c r="AE15" s="1930"/>
      <c r="AF15" s="1930"/>
      <c r="AG15" s="1930"/>
      <c r="AH15" s="1930"/>
      <c r="AI15" s="727"/>
      <c r="AJ15" s="727"/>
      <c r="AK15" s="1931" t="s">
        <v>186</v>
      </c>
    </row>
    <row r="16" spans="1:37" ht="105" customHeight="1" x14ac:dyDescent="0.2">
      <c r="A16" s="37"/>
      <c r="B16" s="513"/>
      <c r="C16" s="37"/>
      <c r="D16" s="513"/>
      <c r="E16" s="513"/>
      <c r="F16" s="37"/>
      <c r="G16" s="514"/>
      <c r="H16" s="1796"/>
      <c r="I16" s="1783"/>
      <c r="J16" s="1775"/>
      <c r="K16" s="1775"/>
      <c r="L16" s="1775"/>
      <c r="M16" s="1952"/>
      <c r="N16" s="1926"/>
      <c r="O16" s="1956"/>
      <c r="P16" s="1960"/>
      <c r="Q16" s="1926"/>
      <c r="R16" s="1927"/>
      <c r="S16" s="524" t="s">
        <v>193</v>
      </c>
      <c r="T16" s="720">
        <v>260200000</v>
      </c>
      <c r="U16" s="1925"/>
      <c r="V16" s="1897"/>
      <c r="W16" s="1935"/>
      <c r="X16" s="1930"/>
      <c r="Y16" s="1947"/>
      <c r="Z16" s="1930"/>
      <c r="AA16" s="1930"/>
      <c r="AB16" s="1930"/>
      <c r="AC16" s="1930"/>
      <c r="AD16" s="1930"/>
      <c r="AE16" s="1930"/>
      <c r="AF16" s="1930"/>
      <c r="AG16" s="1930"/>
      <c r="AH16" s="1930"/>
      <c r="AI16" s="724">
        <v>42754</v>
      </c>
      <c r="AJ16" s="724">
        <v>42962</v>
      </c>
      <c r="AK16" s="1932"/>
    </row>
    <row r="17" spans="1:37" s="43" customFormat="1" ht="108" customHeight="1" x14ac:dyDescent="0.2">
      <c r="A17" s="644"/>
      <c r="B17" s="643"/>
      <c r="C17" s="644"/>
      <c r="D17" s="643"/>
      <c r="E17" s="643"/>
      <c r="F17" s="644"/>
      <c r="G17" s="728"/>
      <c r="H17" s="1940">
        <v>277</v>
      </c>
      <c r="I17" s="1830" t="s">
        <v>194</v>
      </c>
      <c r="J17" s="1895" t="s">
        <v>180</v>
      </c>
      <c r="K17" s="1895">
        <v>1</v>
      </c>
      <c r="L17" s="1775"/>
      <c r="M17" s="1952"/>
      <c r="N17" s="1926"/>
      <c r="O17" s="1957">
        <f>(T20+T21+T22)/P12</f>
        <v>0.16006324469722286</v>
      </c>
      <c r="P17" s="1960"/>
      <c r="Q17" s="1926"/>
      <c r="R17" s="1830" t="s">
        <v>195</v>
      </c>
      <c r="S17" s="1783" t="s">
        <v>196</v>
      </c>
      <c r="T17" s="729">
        <v>0</v>
      </c>
      <c r="U17" s="1923" t="s">
        <v>197</v>
      </c>
      <c r="V17" s="730" t="s">
        <v>185</v>
      </c>
      <c r="W17" s="1935"/>
      <c r="X17" s="1930"/>
      <c r="Y17" s="1947"/>
      <c r="Z17" s="1930"/>
      <c r="AA17" s="1930"/>
      <c r="AB17" s="1930"/>
      <c r="AC17" s="1930"/>
      <c r="AD17" s="1930"/>
      <c r="AE17" s="1930"/>
      <c r="AF17" s="1930"/>
      <c r="AG17" s="1930"/>
      <c r="AH17" s="1930"/>
      <c r="AI17" s="543"/>
      <c r="AJ17" s="543"/>
      <c r="AK17" s="1919" t="s">
        <v>186</v>
      </c>
    </row>
    <row r="18" spans="1:37" s="153" customFormat="1" ht="49.5" customHeight="1" x14ac:dyDescent="0.2">
      <c r="A18" s="601"/>
      <c r="B18" s="163"/>
      <c r="C18" s="601"/>
      <c r="D18" s="163"/>
      <c r="E18" s="163"/>
      <c r="F18" s="601"/>
      <c r="G18" s="602"/>
      <c r="H18" s="1941"/>
      <c r="I18" s="1926"/>
      <c r="J18" s="1896"/>
      <c r="K18" s="1896"/>
      <c r="L18" s="1775"/>
      <c r="M18" s="1952"/>
      <c r="N18" s="1926"/>
      <c r="O18" s="1962"/>
      <c r="P18" s="1960"/>
      <c r="Q18" s="1926"/>
      <c r="R18" s="1926"/>
      <c r="S18" s="1783"/>
      <c r="T18" s="731">
        <v>0</v>
      </c>
      <c r="U18" s="1924"/>
      <c r="V18" s="67" t="s">
        <v>198</v>
      </c>
      <c r="W18" s="1935"/>
      <c r="X18" s="1930"/>
      <c r="Y18" s="1947"/>
      <c r="Z18" s="1930"/>
      <c r="AA18" s="1930"/>
      <c r="AB18" s="1930"/>
      <c r="AC18" s="1930"/>
      <c r="AD18" s="1930"/>
      <c r="AE18" s="1930"/>
      <c r="AF18" s="1930"/>
      <c r="AG18" s="1930"/>
      <c r="AH18" s="1930"/>
      <c r="AI18" s="531"/>
      <c r="AJ18" s="531"/>
      <c r="AK18" s="1919"/>
    </row>
    <row r="19" spans="1:37" s="43" customFormat="1" ht="102" customHeight="1" x14ac:dyDescent="0.2">
      <c r="A19" s="644"/>
      <c r="B19" s="643"/>
      <c r="C19" s="644"/>
      <c r="D19" s="643"/>
      <c r="E19" s="643"/>
      <c r="F19" s="644"/>
      <c r="G19" s="728"/>
      <c r="H19" s="1941"/>
      <c r="I19" s="1926"/>
      <c r="J19" s="1896"/>
      <c r="K19" s="1896"/>
      <c r="L19" s="1775"/>
      <c r="M19" s="1952"/>
      <c r="N19" s="1926"/>
      <c r="O19" s="1962"/>
      <c r="P19" s="1960"/>
      <c r="Q19" s="1926"/>
      <c r="R19" s="1926"/>
      <c r="S19" s="1783"/>
      <c r="T19" s="733">
        <v>0</v>
      </c>
      <c r="U19" s="1924"/>
      <c r="V19" s="58" t="s">
        <v>199</v>
      </c>
      <c r="W19" s="1935"/>
      <c r="X19" s="1930"/>
      <c r="Y19" s="1947"/>
      <c r="Z19" s="1930"/>
      <c r="AA19" s="1930"/>
      <c r="AB19" s="1930"/>
      <c r="AC19" s="1930"/>
      <c r="AD19" s="1930"/>
      <c r="AE19" s="1930"/>
      <c r="AF19" s="1930"/>
      <c r="AG19" s="1930"/>
      <c r="AH19" s="1930"/>
      <c r="AI19" s="543"/>
      <c r="AJ19" s="543"/>
      <c r="AK19" s="1919"/>
    </row>
    <row r="20" spans="1:37" s="43" customFormat="1" ht="41.25" customHeight="1" x14ac:dyDescent="0.2">
      <c r="A20" s="644"/>
      <c r="B20" s="643"/>
      <c r="C20" s="644"/>
      <c r="D20" s="643"/>
      <c r="E20" s="643"/>
      <c r="F20" s="644"/>
      <c r="G20" s="728"/>
      <c r="H20" s="1941"/>
      <c r="I20" s="1926"/>
      <c r="J20" s="1896"/>
      <c r="K20" s="1896"/>
      <c r="L20" s="1775"/>
      <c r="M20" s="1952"/>
      <c r="N20" s="1926"/>
      <c r="O20" s="1962"/>
      <c r="P20" s="1960"/>
      <c r="Q20" s="1926"/>
      <c r="R20" s="1926"/>
      <c r="S20" s="1926" t="s">
        <v>200</v>
      </c>
      <c r="T20" s="733">
        <v>5733586</v>
      </c>
      <c r="U20" s="1924"/>
      <c r="V20" s="58" t="s">
        <v>201</v>
      </c>
      <c r="W20" s="1935"/>
      <c r="X20" s="1930"/>
      <c r="Y20" s="1947"/>
      <c r="Z20" s="1930"/>
      <c r="AA20" s="1930"/>
      <c r="AB20" s="1930"/>
      <c r="AC20" s="1930"/>
      <c r="AD20" s="1930"/>
      <c r="AE20" s="1930"/>
      <c r="AF20" s="1930"/>
      <c r="AG20" s="1930"/>
      <c r="AH20" s="1930"/>
      <c r="AI20" s="543">
        <v>42816</v>
      </c>
      <c r="AJ20" s="543">
        <v>42917</v>
      </c>
      <c r="AK20" s="1919"/>
    </row>
    <row r="21" spans="1:37" s="43" customFormat="1" ht="41.25" customHeight="1" x14ac:dyDescent="0.2">
      <c r="A21" s="644"/>
      <c r="B21" s="643"/>
      <c r="C21" s="644"/>
      <c r="D21" s="643"/>
      <c r="E21" s="643"/>
      <c r="F21" s="644"/>
      <c r="G21" s="728"/>
      <c r="H21" s="1941"/>
      <c r="I21" s="1926"/>
      <c r="J21" s="1896"/>
      <c r="K21" s="1896"/>
      <c r="L21" s="1775"/>
      <c r="M21" s="1952"/>
      <c r="N21" s="1926"/>
      <c r="O21" s="1962"/>
      <c r="P21" s="1960"/>
      <c r="Q21" s="1926"/>
      <c r="R21" s="1926"/>
      <c r="S21" s="1926"/>
      <c r="T21" s="733">
        <f>41200000+35332521</f>
        <v>76532521</v>
      </c>
      <c r="U21" s="1924"/>
      <c r="V21" s="58" t="s">
        <v>202</v>
      </c>
      <c r="W21" s="1935"/>
      <c r="X21" s="1930"/>
      <c r="Y21" s="1947"/>
      <c r="Z21" s="1930"/>
      <c r="AA21" s="1930"/>
      <c r="AB21" s="1930"/>
      <c r="AC21" s="1930"/>
      <c r="AD21" s="1930"/>
      <c r="AE21" s="1930"/>
      <c r="AF21" s="1930"/>
      <c r="AG21" s="1930"/>
      <c r="AH21" s="1930"/>
      <c r="AI21" s="543">
        <v>42754</v>
      </c>
      <c r="AJ21" s="543">
        <v>42940</v>
      </c>
      <c r="AK21" s="1919"/>
    </row>
    <row r="22" spans="1:37" s="43" customFormat="1" ht="78.75" customHeight="1" x14ac:dyDescent="0.2">
      <c r="A22" s="644"/>
      <c r="B22" s="643"/>
      <c r="C22" s="644"/>
      <c r="D22" s="643"/>
      <c r="E22" s="643"/>
      <c r="F22" s="644"/>
      <c r="G22" s="728"/>
      <c r="H22" s="1942"/>
      <c r="I22" s="1927"/>
      <c r="J22" s="1897"/>
      <c r="K22" s="1897"/>
      <c r="L22" s="1775"/>
      <c r="M22" s="1953"/>
      <c r="N22" s="1927"/>
      <c r="O22" s="1958"/>
      <c r="P22" s="1961"/>
      <c r="Q22" s="1927"/>
      <c r="R22" s="1927"/>
      <c r="S22" s="1927"/>
      <c r="T22" s="733">
        <v>200000000</v>
      </c>
      <c r="U22" s="1925"/>
      <c r="V22" s="58" t="s">
        <v>199</v>
      </c>
      <c r="W22" s="1936"/>
      <c r="X22" s="1930"/>
      <c r="Y22" s="1948"/>
      <c r="Z22" s="1930"/>
      <c r="AA22" s="1930"/>
      <c r="AB22" s="1930"/>
      <c r="AC22" s="1930"/>
      <c r="AD22" s="1930"/>
      <c r="AE22" s="1930"/>
      <c r="AF22" s="1930"/>
      <c r="AG22" s="1930"/>
      <c r="AH22" s="1930"/>
      <c r="AI22" s="543">
        <v>42823</v>
      </c>
      <c r="AJ22" s="543">
        <v>43021</v>
      </c>
      <c r="AK22" s="1919"/>
    </row>
    <row r="23" spans="1:37" ht="150.75" customHeight="1" x14ac:dyDescent="0.2">
      <c r="A23" s="37"/>
      <c r="B23" s="513"/>
      <c r="C23" s="37"/>
      <c r="D23" s="513"/>
      <c r="E23" s="513"/>
      <c r="F23" s="37"/>
      <c r="G23" s="514"/>
      <c r="H23" s="457">
        <v>278</v>
      </c>
      <c r="I23" s="50" t="s">
        <v>203</v>
      </c>
      <c r="J23" s="436" t="s">
        <v>180</v>
      </c>
      <c r="K23" s="436">
        <v>1</v>
      </c>
      <c r="L23" s="1775" t="s">
        <v>204</v>
      </c>
      <c r="M23" s="1776">
        <v>17</v>
      </c>
      <c r="N23" s="1783" t="s">
        <v>205</v>
      </c>
      <c r="O23" s="545">
        <f>+T23/P23</f>
        <v>0.10689798506945687</v>
      </c>
      <c r="P23" s="1937">
        <v>374188531</v>
      </c>
      <c r="Q23" s="1783" t="s">
        <v>206</v>
      </c>
      <c r="R23" s="524" t="s">
        <v>207</v>
      </c>
      <c r="S23" s="486" t="s">
        <v>208</v>
      </c>
      <c r="T23" s="734">
        <v>40000000</v>
      </c>
      <c r="U23" s="735">
        <v>20</v>
      </c>
      <c r="V23" s="50" t="s">
        <v>185</v>
      </c>
      <c r="W23" s="1934">
        <v>64149</v>
      </c>
      <c r="X23" s="1934">
        <v>72224</v>
      </c>
      <c r="Y23" s="1934">
        <v>27477</v>
      </c>
      <c r="Z23" s="1934">
        <v>86843</v>
      </c>
      <c r="AA23" s="1934">
        <v>236429</v>
      </c>
      <c r="AB23" s="1934">
        <v>81384</v>
      </c>
      <c r="AC23" s="1934">
        <v>13208</v>
      </c>
      <c r="AD23" s="1934">
        <v>1817</v>
      </c>
      <c r="AE23" s="1934">
        <v>0</v>
      </c>
      <c r="AF23" s="1934">
        <v>0</v>
      </c>
      <c r="AG23" s="1934">
        <v>16897</v>
      </c>
      <c r="AH23" s="1934">
        <v>81384</v>
      </c>
      <c r="AI23" s="543"/>
      <c r="AJ23" s="543"/>
      <c r="AK23" s="737" t="s">
        <v>186</v>
      </c>
    </row>
    <row r="24" spans="1:37" ht="114.75" customHeight="1" x14ac:dyDescent="0.2">
      <c r="A24" s="37"/>
      <c r="B24" s="513"/>
      <c r="C24" s="37"/>
      <c r="D24" s="513"/>
      <c r="E24" s="513"/>
      <c r="F24" s="37"/>
      <c r="G24" s="514"/>
      <c r="H24" s="1796">
        <v>279</v>
      </c>
      <c r="I24" s="1783" t="s">
        <v>209</v>
      </c>
      <c r="J24" s="1775" t="s">
        <v>180</v>
      </c>
      <c r="K24" s="1775">
        <v>1</v>
      </c>
      <c r="L24" s="1775"/>
      <c r="M24" s="1776"/>
      <c r="N24" s="1783"/>
      <c r="O24" s="1938">
        <f>+(T24+T25)/P23</f>
        <v>0.89310201493054309</v>
      </c>
      <c r="P24" s="1937"/>
      <c r="Q24" s="1783"/>
      <c r="R24" s="1939" t="s">
        <v>210</v>
      </c>
      <c r="S24" s="1767" t="s">
        <v>211</v>
      </c>
      <c r="T24" s="722">
        <v>268800000</v>
      </c>
      <c r="U24" s="735">
        <v>20</v>
      </c>
      <c r="V24" s="50" t="s">
        <v>185</v>
      </c>
      <c r="W24" s="1935"/>
      <c r="X24" s="1935"/>
      <c r="Y24" s="1935"/>
      <c r="Z24" s="1935"/>
      <c r="AA24" s="1935"/>
      <c r="AB24" s="1935"/>
      <c r="AC24" s="1935"/>
      <c r="AD24" s="1935"/>
      <c r="AE24" s="1935"/>
      <c r="AF24" s="1935"/>
      <c r="AG24" s="1935"/>
      <c r="AH24" s="1935"/>
      <c r="AI24" s="543">
        <v>42759</v>
      </c>
      <c r="AJ24" s="543">
        <v>43021</v>
      </c>
      <c r="AK24" s="1919" t="s">
        <v>186</v>
      </c>
    </row>
    <row r="25" spans="1:37" ht="38.25" customHeight="1" x14ac:dyDescent="0.2">
      <c r="A25" s="37"/>
      <c r="B25" s="513"/>
      <c r="C25" s="37"/>
      <c r="D25" s="513"/>
      <c r="E25" s="513"/>
      <c r="F25" s="37"/>
      <c r="G25" s="514"/>
      <c r="H25" s="1796"/>
      <c r="I25" s="1783"/>
      <c r="J25" s="1775"/>
      <c r="K25" s="1775"/>
      <c r="L25" s="1775"/>
      <c r="M25" s="1776"/>
      <c r="N25" s="1783"/>
      <c r="O25" s="1938"/>
      <c r="P25" s="1937"/>
      <c r="Q25" s="1783"/>
      <c r="R25" s="1939"/>
      <c r="S25" s="1769"/>
      <c r="T25" s="722">
        <v>65388531</v>
      </c>
      <c r="U25" s="738">
        <v>88</v>
      </c>
      <c r="V25" s="739" t="s">
        <v>212</v>
      </c>
      <c r="W25" s="1936"/>
      <c r="X25" s="1936"/>
      <c r="Y25" s="1936"/>
      <c r="Z25" s="1936"/>
      <c r="AA25" s="1936"/>
      <c r="AB25" s="1936"/>
      <c r="AC25" s="1936"/>
      <c r="AD25" s="1936"/>
      <c r="AE25" s="1936"/>
      <c r="AF25" s="1936"/>
      <c r="AG25" s="1936"/>
      <c r="AH25" s="1936"/>
      <c r="AI25" s="439"/>
      <c r="AJ25" s="439"/>
      <c r="AK25" s="1919"/>
    </row>
    <row r="26" spans="1:37" x14ac:dyDescent="0.2">
      <c r="A26" s="37"/>
      <c r="B26" s="513"/>
      <c r="C26" s="546"/>
      <c r="D26" s="547"/>
      <c r="E26" s="547"/>
      <c r="F26" s="546"/>
      <c r="G26" s="548"/>
      <c r="H26" s="52"/>
      <c r="I26" s="740"/>
      <c r="J26" s="430"/>
      <c r="K26" s="430"/>
      <c r="L26" s="430"/>
      <c r="M26" s="741"/>
      <c r="N26" s="430"/>
      <c r="O26" s="742"/>
      <c r="P26" s="743"/>
      <c r="Q26" s="487"/>
      <c r="R26" s="1457"/>
      <c r="S26" s="487"/>
      <c r="T26" s="722"/>
      <c r="U26" s="744"/>
      <c r="V26" s="745"/>
      <c r="W26" s="745"/>
      <c r="X26" s="745"/>
      <c r="Y26" s="745"/>
      <c r="Z26" s="745"/>
      <c r="AA26" s="745"/>
      <c r="AB26" s="745"/>
      <c r="AC26" s="745"/>
      <c r="AD26" s="745"/>
      <c r="AE26" s="745"/>
      <c r="AF26" s="745"/>
      <c r="AG26" s="745"/>
      <c r="AH26" s="745"/>
      <c r="AI26" s="439"/>
      <c r="AJ26" s="439"/>
      <c r="AK26" s="736"/>
    </row>
    <row r="27" spans="1:37" s="562" customFormat="1" ht="30" customHeight="1" x14ac:dyDescent="0.25">
      <c r="A27" s="746"/>
      <c r="B27" s="747"/>
      <c r="C27" s="748"/>
      <c r="D27" s="748"/>
      <c r="E27" s="748"/>
      <c r="F27" s="748"/>
      <c r="G27" s="748"/>
      <c r="H27" s="747"/>
      <c r="I27" s="749"/>
      <c r="J27" s="750"/>
      <c r="K27" s="750"/>
      <c r="L27" s="750"/>
      <c r="M27" s="751"/>
      <c r="N27" s="1920" t="s">
        <v>120</v>
      </c>
      <c r="O27" s="1921"/>
      <c r="P27" s="752">
        <f>SUM(P12:P25)</f>
        <v>2137654638</v>
      </c>
      <c r="Q27" s="1458"/>
      <c r="R27" s="1459"/>
      <c r="S27" s="1460"/>
      <c r="T27" s="754">
        <f>SUM(T12:T25)</f>
        <v>2137654638</v>
      </c>
      <c r="U27" s="755"/>
      <c r="V27" s="747"/>
      <c r="W27" s="747"/>
      <c r="X27" s="747"/>
      <c r="Y27" s="747"/>
      <c r="Z27" s="747"/>
      <c r="AA27" s="747"/>
      <c r="AB27" s="747"/>
      <c r="AC27" s="747"/>
      <c r="AD27" s="747"/>
      <c r="AE27" s="747"/>
      <c r="AF27" s="747"/>
      <c r="AG27" s="747"/>
      <c r="AH27" s="747"/>
      <c r="AI27" s="750"/>
      <c r="AJ27" s="750"/>
      <c r="AK27" s="753"/>
    </row>
    <row r="28" spans="1:37" ht="15" x14ac:dyDescent="0.2">
      <c r="A28" s="513"/>
      <c r="B28" s="513"/>
      <c r="C28" s="513"/>
      <c r="D28" s="513"/>
      <c r="E28" s="513"/>
      <c r="F28" s="513"/>
      <c r="G28" s="513"/>
      <c r="H28" s="513"/>
      <c r="I28" s="756"/>
      <c r="J28" s="757"/>
      <c r="K28" s="758"/>
      <c r="L28" s="757"/>
      <c r="M28" s="759"/>
      <c r="N28" s="758"/>
      <c r="O28" s="513"/>
      <c r="P28" s="760"/>
      <c r="Q28" s="1461"/>
      <c r="R28" s="1461"/>
      <c r="S28" s="1461"/>
      <c r="T28" s="761"/>
      <c r="U28" s="762"/>
      <c r="V28" s="513"/>
      <c r="W28" s="513"/>
      <c r="X28" s="513"/>
      <c r="Y28" s="513"/>
      <c r="Z28" s="513"/>
      <c r="AA28" s="513"/>
      <c r="AB28" s="513"/>
      <c r="AC28" s="513"/>
      <c r="AD28" s="513"/>
      <c r="AE28" s="513"/>
      <c r="AF28" s="513"/>
      <c r="AG28" s="513"/>
      <c r="AH28" s="513"/>
      <c r="AI28" s="757"/>
      <c r="AJ28" s="757"/>
      <c r="AK28" s="513"/>
    </row>
    <row r="29" spans="1:37" ht="15" x14ac:dyDescent="0.2">
      <c r="A29" s="513"/>
      <c r="B29" s="513"/>
      <c r="C29" s="513"/>
      <c r="D29" s="513"/>
      <c r="E29" s="513"/>
      <c r="F29" s="513"/>
      <c r="G29" s="513"/>
      <c r="H29" s="513"/>
      <c r="I29" s="756"/>
      <c r="J29" s="757"/>
      <c r="K29" s="758"/>
      <c r="L29" s="757"/>
      <c r="M29" s="759"/>
      <c r="N29" s="758"/>
      <c r="O29" s="513"/>
      <c r="P29" s="760"/>
      <c r="Q29" s="1461"/>
      <c r="R29" s="1461"/>
      <c r="S29" s="1461"/>
      <c r="T29" s="761"/>
      <c r="U29" s="762"/>
      <c r="V29" s="513"/>
      <c r="W29" s="513"/>
      <c r="X29" s="513"/>
      <c r="Y29" s="513"/>
      <c r="Z29" s="513"/>
      <c r="AA29" s="513"/>
      <c r="AB29" s="513"/>
      <c r="AC29" s="513"/>
      <c r="AD29" s="513"/>
      <c r="AE29" s="513"/>
      <c r="AF29" s="513"/>
      <c r="AG29" s="513"/>
      <c r="AH29" s="513"/>
      <c r="AI29" s="757"/>
      <c r="AJ29" s="757"/>
      <c r="AK29" s="513"/>
    </row>
    <row r="30" spans="1:37" ht="15" x14ac:dyDescent="0.2">
      <c r="A30" s="513"/>
      <c r="B30" s="513"/>
      <c r="C30" s="513"/>
      <c r="D30" s="513"/>
      <c r="E30" s="513"/>
      <c r="F30" s="513"/>
      <c r="G30" s="513"/>
      <c r="H30" s="513"/>
      <c r="I30" s="756"/>
      <c r="J30" s="757"/>
      <c r="K30" s="758"/>
      <c r="L30" s="757"/>
      <c r="M30" s="759"/>
      <c r="N30" s="758"/>
      <c r="O30" s="513"/>
      <c r="P30" s="760"/>
      <c r="Q30" s="1461"/>
      <c r="R30" s="1461"/>
      <c r="S30" s="1461"/>
      <c r="T30" s="761"/>
      <c r="U30" s="762"/>
      <c r="V30" s="513"/>
      <c r="W30" s="513"/>
      <c r="X30" s="513"/>
      <c r="Y30" s="513"/>
      <c r="Z30" s="513"/>
      <c r="AA30" s="513"/>
      <c r="AB30" s="513"/>
      <c r="AC30" s="513"/>
      <c r="AD30" s="513"/>
      <c r="AE30" s="513"/>
      <c r="AF30" s="513"/>
      <c r="AG30" s="513"/>
      <c r="AH30" s="513"/>
      <c r="AI30" s="757"/>
      <c r="AJ30" s="757"/>
      <c r="AK30" s="513"/>
    </row>
    <row r="31" spans="1:37" x14ac:dyDescent="0.2">
      <c r="A31" s="513"/>
      <c r="B31" s="513"/>
      <c r="C31" s="513"/>
      <c r="D31" s="513"/>
      <c r="E31" s="513"/>
      <c r="F31" s="513"/>
      <c r="G31" s="513"/>
      <c r="H31" s="513"/>
      <c r="I31" s="756"/>
      <c r="J31" s="757"/>
      <c r="K31" s="758"/>
      <c r="L31" s="757"/>
      <c r="M31" s="759"/>
      <c r="N31" s="758"/>
      <c r="O31" s="513"/>
      <c r="P31" s="763"/>
      <c r="Q31" s="1461"/>
      <c r="R31" s="1461"/>
      <c r="S31" s="1462"/>
      <c r="T31" s="765"/>
      <c r="U31" s="762"/>
      <c r="V31" s="513"/>
      <c r="W31" s="513"/>
      <c r="X31" s="513"/>
      <c r="Y31" s="513"/>
      <c r="Z31" s="513"/>
      <c r="AA31" s="513"/>
      <c r="AB31" s="513"/>
      <c r="AC31" s="513"/>
      <c r="AD31" s="513"/>
      <c r="AE31" s="513"/>
      <c r="AF31" s="513"/>
      <c r="AG31" s="513"/>
      <c r="AH31" s="513"/>
      <c r="AI31" s="757"/>
      <c r="AJ31" s="757"/>
      <c r="AK31" s="513"/>
    </row>
    <row r="32" spans="1:37" x14ac:dyDescent="0.2">
      <c r="A32" s="513"/>
      <c r="B32" s="513"/>
      <c r="C32" s="513"/>
      <c r="D32" s="513"/>
      <c r="E32" s="513"/>
      <c r="F32" s="513"/>
      <c r="G32" s="513"/>
      <c r="H32" s="513"/>
      <c r="I32" s="756"/>
      <c r="J32" s="757"/>
      <c r="K32" s="758"/>
      <c r="L32" s="757"/>
      <c r="M32" s="759"/>
      <c r="N32" s="758"/>
      <c r="O32" s="513"/>
      <c r="P32" s="763"/>
      <c r="Q32" s="1461"/>
      <c r="R32" s="1461"/>
      <c r="S32" s="1462"/>
      <c r="T32" s="765"/>
      <c r="U32" s="762"/>
      <c r="V32" s="513"/>
      <c r="W32" s="513"/>
      <c r="X32" s="513"/>
      <c r="Y32" s="513"/>
      <c r="Z32" s="513"/>
      <c r="AA32" s="513"/>
      <c r="AB32" s="513"/>
      <c r="AC32" s="513"/>
      <c r="AD32" s="513"/>
      <c r="AE32" s="513"/>
      <c r="AF32" s="513"/>
      <c r="AG32" s="513"/>
      <c r="AH32" s="513"/>
      <c r="AI32" s="757"/>
      <c r="AJ32" s="757"/>
      <c r="AK32" s="513"/>
    </row>
    <row r="33" spans="1:37" x14ac:dyDescent="0.2">
      <c r="A33" s="513"/>
      <c r="B33" s="513"/>
      <c r="C33" s="513"/>
      <c r="D33" s="513"/>
      <c r="E33" s="513"/>
      <c r="F33" s="513"/>
      <c r="G33" s="513"/>
      <c r="H33" s="513"/>
      <c r="I33" s="756"/>
      <c r="J33" s="757"/>
      <c r="K33" s="758"/>
      <c r="L33" s="757"/>
      <c r="M33" s="759"/>
      <c r="N33" s="758"/>
      <c r="O33" s="513"/>
      <c r="P33" s="763"/>
      <c r="Q33" s="1461"/>
      <c r="R33" s="1461"/>
      <c r="S33" s="1462"/>
      <c r="T33" s="765"/>
      <c r="U33" s="762"/>
      <c r="V33" s="513"/>
      <c r="W33" s="513"/>
      <c r="X33" s="513"/>
      <c r="Y33" s="513"/>
      <c r="Z33" s="513"/>
      <c r="AA33" s="513"/>
      <c r="AB33" s="513"/>
      <c r="AC33" s="513"/>
      <c r="AD33" s="513"/>
      <c r="AE33" s="513"/>
      <c r="AF33" s="513"/>
      <c r="AG33" s="513"/>
      <c r="AH33" s="513"/>
      <c r="AI33" s="757"/>
      <c r="AJ33" s="757"/>
      <c r="AK33" s="513"/>
    </row>
    <row r="35" spans="1:37" ht="15" x14ac:dyDescent="0.2">
      <c r="K35" s="1922" t="s">
        <v>213</v>
      </c>
      <c r="L35" s="1922"/>
      <c r="M35" s="1922"/>
    </row>
    <row r="36" spans="1:37" x14ac:dyDescent="0.2">
      <c r="K36" s="1933" t="s">
        <v>174</v>
      </c>
      <c r="L36" s="1933"/>
      <c r="M36" s="1933"/>
    </row>
  </sheetData>
  <mergeCells count="110">
    <mergeCell ref="A5:K6"/>
    <mergeCell ref="L5:V6"/>
    <mergeCell ref="W5:AH6"/>
    <mergeCell ref="N7:N8"/>
    <mergeCell ref="O7:O8"/>
    <mergeCell ref="P7:P8"/>
    <mergeCell ref="Q7:Q8"/>
    <mergeCell ref="R7:R8"/>
    <mergeCell ref="S7:S8"/>
    <mergeCell ref="H7:H8"/>
    <mergeCell ref="I7:I8"/>
    <mergeCell ref="J7:J8"/>
    <mergeCell ref="A7:A8"/>
    <mergeCell ref="B7:B8"/>
    <mergeCell ref="C7:C8"/>
    <mergeCell ref="D7:E8"/>
    <mergeCell ref="F7:F8"/>
    <mergeCell ref="G7:G8"/>
    <mergeCell ref="AI7:AI8"/>
    <mergeCell ref="AJ7:AJ8"/>
    <mergeCell ref="L7:L8"/>
    <mergeCell ref="M7:M8"/>
    <mergeCell ref="U7:U8"/>
    <mergeCell ref="V7:V8"/>
    <mergeCell ref="K7:K8"/>
    <mergeCell ref="T7:T8"/>
    <mergeCell ref="M12:M22"/>
    <mergeCell ref="N12:N22"/>
    <mergeCell ref="U15:U16"/>
    <mergeCell ref="V15:V16"/>
    <mergeCell ref="U12:U13"/>
    <mergeCell ref="V12:V13"/>
    <mergeCell ref="O14:O16"/>
    <mergeCell ref="R14:R16"/>
    <mergeCell ref="S14:S15"/>
    <mergeCell ref="O12:O13"/>
    <mergeCell ref="P12:P22"/>
    <mergeCell ref="Q12:Q22"/>
    <mergeCell ref="R17:R22"/>
    <mergeCell ref="O17:O22"/>
    <mergeCell ref="H14:H16"/>
    <mergeCell ref="I14:I16"/>
    <mergeCell ref="J14:J16"/>
    <mergeCell ref="K14:K16"/>
    <mergeCell ref="H17:H22"/>
    <mergeCell ref="AK7:AK8"/>
    <mergeCell ref="W7:AB7"/>
    <mergeCell ref="AC7:AH7"/>
    <mergeCell ref="I17:I22"/>
    <mergeCell ref="J17:J22"/>
    <mergeCell ref="K17:K22"/>
    <mergeCell ref="G11:H11"/>
    <mergeCell ref="H12:H13"/>
    <mergeCell ref="I12:I13"/>
    <mergeCell ref="J12:J13"/>
    <mergeCell ref="K12:K13"/>
    <mergeCell ref="L12:L22"/>
    <mergeCell ref="W12:W22"/>
    <mergeCell ref="X12:X22"/>
    <mergeCell ref="Y12:Y22"/>
    <mergeCell ref="AF12:AF22"/>
    <mergeCell ref="AG12:AG22"/>
    <mergeCell ref="AH12:AH22"/>
    <mergeCell ref="AC12:AC22"/>
    <mergeCell ref="K36:M36"/>
    <mergeCell ref="AG23:AG25"/>
    <mergeCell ref="AH23:AH25"/>
    <mergeCell ref="AF23:AF25"/>
    <mergeCell ref="P23:P25"/>
    <mergeCell ref="Q23:Q25"/>
    <mergeCell ref="W23:W25"/>
    <mergeCell ref="O24:O25"/>
    <mergeCell ref="R24:R25"/>
    <mergeCell ref="S24:S25"/>
    <mergeCell ref="K24:K25"/>
    <mergeCell ref="AD23:AD25"/>
    <mergeCell ref="AE23:AE25"/>
    <mergeCell ref="AA23:AA25"/>
    <mergeCell ref="AB23:AB25"/>
    <mergeCell ref="AC23:AC25"/>
    <mergeCell ref="X23:X25"/>
    <mergeCell ref="Y23:Y25"/>
    <mergeCell ref="Z23:Z25"/>
    <mergeCell ref="L23:L25"/>
    <mergeCell ref="M23:M25"/>
    <mergeCell ref="N23:N25"/>
    <mergeCell ref="A1:AI2"/>
    <mergeCell ref="A3:AI3"/>
    <mergeCell ref="A4:AI4"/>
    <mergeCell ref="AI5:AK6"/>
    <mergeCell ref="AK24:AK25"/>
    <mergeCell ref="N27:O27"/>
    <mergeCell ref="K35:M35"/>
    <mergeCell ref="S17:S19"/>
    <mergeCell ref="U17:U22"/>
    <mergeCell ref="AK17:AK22"/>
    <mergeCell ref="S20:S22"/>
    <mergeCell ref="H24:H25"/>
    <mergeCell ref="I24:I25"/>
    <mergeCell ref="J24:J25"/>
    <mergeCell ref="AI12:AI13"/>
    <mergeCell ref="AJ12:AJ13"/>
    <mergeCell ref="Z12:Z22"/>
    <mergeCell ref="AA12:AA22"/>
    <mergeCell ref="AB12:AB22"/>
    <mergeCell ref="AE12:AE22"/>
    <mergeCell ref="AD12:AD22"/>
    <mergeCell ref="AK12:AK13"/>
    <mergeCell ref="AK15:AK16"/>
    <mergeCell ref="R12:R13"/>
  </mergeCells>
  <pageMargins left="0.70866141732283472" right="0.70866141732283472" top="0.74803149606299213" bottom="0.74803149606299213" header="0.31496062992125984" footer="0.31496062992125984"/>
  <pageSetup scale="10" orientation="portrait" r:id="rId1"/>
  <rowBreaks count="1" manualBreakCount="1">
    <brk id="18" max="5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topLeftCell="H55" zoomScale="55" zoomScaleNormal="55" workbookViewId="0">
      <selection activeCell="AJ1" sqref="AJ1:AK4"/>
    </sheetView>
  </sheetViews>
  <sheetFormatPr baseColWidth="10" defaultColWidth="11.42578125" defaultRowHeight="15" x14ac:dyDescent="0.2"/>
  <cols>
    <col min="1" max="1" width="8.42578125" style="155" customWidth="1"/>
    <col min="2" max="2" width="14.5703125" style="809" customWidth="1"/>
    <col min="3" max="3" width="8.28515625" style="155" customWidth="1"/>
    <col min="4" max="4" width="12.42578125" style="155" customWidth="1"/>
    <col min="5" max="5" width="11.42578125" style="155" customWidth="1"/>
    <col min="6" max="6" width="10.5703125" style="155" customWidth="1"/>
    <col min="7" max="7" width="13.7109375" style="155" customWidth="1"/>
    <col min="8" max="8" width="9" style="155" customWidth="1"/>
    <col min="9" max="9" width="15.5703125" style="157" customWidth="1"/>
    <col min="10" max="10" width="13.28515625" style="153" customWidth="1"/>
    <col min="11" max="11" width="9.7109375" style="153" customWidth="1"/>
    <col min="12" max="12" width="23.140625" style="153" customWidth="1"/>
    <col min="13" max="13" width="6.85546875" style="155" customWidth="1"/>
    <col min="14" max="14" width="15.140625" style="157" customWidth="1"/>
    <col min="15" max="15" width="8.42578125" style="155" customWidth="1"/>
    <col min="16" max="16" width="23.42578125" style="155" customWidth="1"/>
    <col min="17" max="17" width="21.5703125" style="157" customWidth="1"/>
    <col min="18" max="18" width="46" style="157" customWidth="1"/>
    <col min="19" max="19" width="23" style="153" customWidth="1"/>
    <col min="20" max="20" width="19.7109375" style="813" customWidth="1"/>
    <col min="21" max="21" width="13.85546875" style="675" customWidth="1"/>
    <col min="22" max="22" width="10.42578125" style="675" customWidth="1"/>
    <col min="23" max="34" width="5.7109375" style="153" customWidth="1"/>
    <col min="35" max="35" width="16" style="155" customWidth="1"/>
    <col min="36" max="36" width="14.85546875" style="155" customWidth="1"/>
    <col min="37" max="37" width="28.7109375" style="153" customWidth="1"/>
    <col min="38" max="16384" width="11.42578125" style="153"/>
  </cols>
  <sheetData>
    <row r="1" spans="1:37" ht="15" customHeight="1" x14ac:dyDescent="0.25">
      <c r="A1" s="1847" t="s">
        <v>1788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769" t="s">
        <v>0</v>
      </c>
      <c r="AK1" s="245" t="s">
        <v>1784</v>
      </c>
    </row>
    <row r="2" spans="1:37" x14ac:dyDescent="0.25">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770" t="s">
        <v>1</v>
      </c>
      <c r="AK2" s="246">
        <v>5</v>
      </c>
    </row>
    <row r="3" spans="1:37" x14ac:dyDescent="0.25">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769" t="s">
        <v>2</v>
      </c>
      <c r="AK3" s="247" t="s">
        <v>1785</v>
      </c>
    </row>
    <row r="4" spans="1:37" s="771" customFormat="1" ht="21" customHeight="1" x14ac:dyDescent="0.2">
      <c r="A4" s="1968"/>
      <c r="B4" s="1968"/>
      <c r="C4" s="1968"/>
      <c r="D4" s="1968"/>
      <c r="E4" s="1968"/>
      <c r="F4" s="1968"/>
      <c r="G4" s="1968"/>
      <c r="H4" s="1968"/>
      <c r="I4" s="1968"/>
      <c r="J4" s="1968"/>
      <c r="K4" s="1968"/>
      <c r="L4" s="1968"/>
      <c r="M4" s="1968"/>
      <c r="N4" s="1968"/>
      <c r="O4" s="1968"/>
      <c r="P4" s="1968"/>
      <c r="Q4" s="1968"/>
      <c r="R4" s="1968"/>
      <c r="S4" s="1968"/>
      <c r="T4" s="1968"/>
      <c r="U4" s="1968"/>
      <c r="V4" s="1968"/>
      <c r="W4" s="1968"/>
      <c r="X4" s="1968"/>
      <c r="Y4" s="1968"/>
      <c r="Z4" s="1968"/>
      <c r="AA4" s="1968"/>
      <c r="AB4" s="1968"/>
      <c r="AC4" s="1968"/>
      <c r="AD4" s="1968"/>
      <c r="AE4" s="1968"/>
      <c r="AF4" s="1968"/>
      <c r="AG4" s="1968"/>
      <c r="AH4" s="1968"/>
      <c r="AI4" s="1968"/>
      <c r="AJ4" s="772" t="s">
        <v>3</v>
      </c>
      <c r="AK4" s="248" t="s">
        <v>4</v>
      </c>
    </row>
    <row r="5" spans="1:37" x14ac:dyDescent="0.2">
      <c r="A5" s="1969" t="s">
        <v>5</v>
      </c>
      <c r="B5" s="1969"/>
      <c r="C5" s="1969"/>
      <c r="D5" s="1969"/>
      <c r="E5" s="1969"/>
      <c r="F5" s="1969"/>
      <c r="G5" s="1969"/>
      <c r="H5" s="1969"/>
      <c r="I5" s="1969"/>
      <c r="J5" s="1969"/>
      <c r="K5" s="1969"/>
      <c r="L5" s="773"/>
      <c r="M5" s="773"/>
      <c r="N5" s="1969" t="s">
        <v>6</v>
      </c>
      <c r="O5" s="1969"/>
      <c r="P5" s="1969"/>
      <c r="Q5" s="1969"/>
      <c r="R5" s="1969"/>
      <c r="S5" s="1969"/>
      <c r="T5" s="1969"/>
      <c r="U5" s="1969"/>
      <c r="V5" s="1969"/>
      <c r="W5" s="1969"/>
      <c r="X5" s="1969"/>
      <c r="Y5" s="1969"/>
      <c r="Z5" s="1969"/>
      <c r="AA5" s="1969"/>
      <c r="AB5" s="1969"/>
      <c r="AC5" s="1969"/>
      <c r="AD5" s="1969"/>
      <c r="AE5" s="1969"/>
      <c r="AF5" s="1969"/>
      <c r="AG5" s="1969"/>
      <c r="AH5" s="1969"/>
      <c r="AI5" s="1969"/>
      <c r="AJ5" s="1969"/>
      <c r="AK5" s="1969"/>
    </row>
    <row r="6" spans="1:37" ht="14.45" customHeight="1" x14ac:dyDescent="0.2">
      <c r="A6" s="1969"/>
      <c r="B6" s="1969"/>
      <c r="C6" s="1969"/>
      <c r="D6" s="1969"/>
      <c r="E6" s="1969"/>
      <c r="F6" s="1969"/>
      <c r="G6" s="1969"/>
      <c r="H6" s="1969"/>
      <c r="I6" s="1969"/>
      <c r="J6" s="1969"/>
      <c r="K6" s="1969"/>
      <c r="L6" s="773"/>
      <c r="M6" s="774"/>
      <c r="N6" s="1970"/>
      <c r="O6" s="1971"/>
      <c r="P6" s="1971"/>
      <c r="Q6" s="1971"/>
      <c r="R6" s="1971"/>
      <c r="S6" s="1971"/>
      <c r="T6" s="1971"/>
      <c r="U6" s="1971"/>
      <c r="V6" s="1972"/>
      <c r="W6" s="1970" t="s">
        <v>7</v>
      </c>
      <c r="X6" s="1971"/>
      <c r="Y6" s="1971"/>
      <c r="Z6" s="1971"/>
      <c r="AA6" s="1971"/>
      <c r="AB6" s="1971"/>
      <c r="AC6" s="1971"/>
      <c r="AD6" s="1971"/>
      <c r="AE6" s="1971"/>
      <c r="AF6" s="1971"/>
      <c r="AG6" s="1971"/>
      <c r="AH6" s="1971"/>
      <c r="AI6" s="1970"/>
      <c r="AJ6" s="1971"/>
      <c r="AK6" s="1972"/>
    </row>
    <row r="7" spans="1:37" ht="22.5" customHeight="1" x14ac:dyDescent="0.2">
      <c r="A7" s="1965" t="s">
        <v>8</v>
      </c>
      <c r="B7" s="1965" t="s">
        <v>9</v>
      </c>
      <c r="C7" s="1967" t="s">
        <v>8</v>
      </c>
      <c r="D7" s="1967" t="s">
        <v>10</v>
      </c>
      <c r="E7" s="1967"/>
      <c r="F7" s="1967" t="s">
        <v>8</v>
      </c>
      <c r="G7" s="1967" t="s">
        <v>11</v>
      </c>
      <c r="H7" s="1967" t="s">
        <v>8</v>
      </c>
      <c r="I7" s="1967" t="s">
        <v>12</v>
      </c>
      <c r="J7" s="1967" t="s">
        <v>13</v>
      </c>
      <c r="K7" s="1965" t="s">
        <v>14</v>
      </c>
      <c r="L7" s="1967" t="s">
        <v>15</v>
      </c>
      <c r="M7" s="1965" t="s">
        <v>16</v>
      </c>
      <c r="N7" s="1967" t="s">
        <v>6</v>
      </c>
      <c r="O7" s="1967" t="s">
        <v>17</v>
      </c>
      <c r="P7" s="1967" t="s">
        <v>18</v>
      </c>
      <c r="Q7" s="1986" t="s">
        <v>19</v>
      </c>
      <c r="R7" s="1967" t="s">
        <v>20</v>
      </c>
      <c r="S7" s="1967" t="s">
        <v>21</v>
      </c>
      <c r="T7" s="1965" t="s">
        <v>18</v>
      </c>
      <c r="U7" s="1965" t="s">
        <v>8</v>
      </c>
      <c r="V7" s="1967" t="s">
        <v>22</v>
      </c>
      <c r="W7" s="1976" t="s">
        <v>23</v>
      </c>
      <c r="X7" s="1977"/>
      <c r="Y7" s="1977"/>
      <c r="Z7" s="1977"/>
      <c r="AA7" s="1977"/>
      <c r="AB7" s="1977"/>
      <c r="AC7" s="1976" t="s">
        <v>24</v>
      </c>
      <c r="AD7" s="1977"/>
      <c r="AE7" s="1977"/>
      <c r="AF7" s="1977"/>
      <c r="AG7" s="1977"/>
      <c r="AH7" s="1977"/>
      <c r="AI7" s="1973" t="s">
        <v>25</v>
      </c>
      <c r="AJ7" s="1973" t="s">
        <v>26</v>
      </c>
      <c r="AK7" s="1975" t="s">
        <v>27</v>
      </c>
    </row>
    <row r="8" spans="1:37" ht="162.75" x14ac:dyDescent="0.2">
      <c r="A8" s="1966"/>
      <c r="B8" s="1966"/>
      <c r="C8" s="1967"/>
      <c r="D8" s="1967"/>
      <c r="E8" s="1967"/>
      <c r="F8" s="1967"/>
      <c r="G8" s="1967"/>
      <c r="H8" s="1967"/>
      <c r="I8" s="1967"/>
      <c r="J8" s="1967"/>
      <c r="K8" s="1966"/>
      <c r="L8" s="1967"/>
      <c r="M8" s="1966"/>
      <c r="N8" s="1967"/>
      <c r="O8" s="1967"/>
      <c r="P8" s="1967"/>
      <c r="Q8" s="1986"/>
      <c r="R8" s="1967"/>
      <c r="S8" s="1967"/>
      <c r="T8" s="1966"/>
      <c r="U8" s="1966"/>
      <c r="V8" s="1967"/>
      <c r="W8" s="1488" t="s">
        <v>28</v>
      </c>
      <c r="X8" s="1488" t="s">
        <v>29</v>
      </c>
      <c r="Y8" s="1488" t="s">
        <v>30</v>
      </c>
      <c r="Z8" s="1488" t="s">
        <v>31</v>
      </c>
      <c r="AA8" s="1488" t="s">
        <v>32</v>
      </c>
      <c r="AB8" s="1488" t="s">
        <v>33</v>
      </c>
      <c r="AC8" s="1488" t="s">
        <v>34</v>
      </c>
      <c r="AD8" s="1488" t="s">
        <v>35</v>
      </c>
      <c r="AE8" s="1488" t="s">
        <v>36</v>
      </c>
      <c r="AF8" s="1488" t="s">
        <v>37</v>
      </c>
      <c r="AG8" s="1488" t="s">
        <v>38</v>
      </c>
      <c r="AH8" s="1488" t="s">
        <v>39</v>
      </c>
      <c r="AI8" s="1974"/>
      <c r="AJ8" s="1974"/>
      <c r="AK8" s="1975"/>
    </row>
    <row r="9" spans="1:37" s="257" customFormat="1" ht="18" customHeight="1" x14ac:dyDescent="0.2">
      <c r="A9" s="254" t="s">
        <v>1429</v>
      </c>
      <c r="B9" s="255" t="s">
        <v>1430</v>
      </c>
      <c r="C9" s="255"/>
      <c r="D9" s="255"/>
      <c r="E9" s="255"/>
      <c r="F9" s="255"/>
      <c r="G9" s="255"/>
      <c r="H9" s="255"/>
      <c r="I9" s="256"/>
      <c r="J9" s="256"/>
      <c r="K9" s="255"/>
      <c r="L9" s="255"/>
      <c r="M9" s="255"/>
      <c r="N9" s="256"/>
      <c r="O9" s="255"/>
      <c r="P9" s="255"/>
      <c r="Q9" s="256"/>
      <c r="R9" s="256"/>
      <c r="S9" s="255"/>
      <c r="T9" s="255"/>
      <c r="U9" s="255"/>
      <c r="V9" s="255"/>
      <c r="W9" s="255"/>
      <c r="X9" s="255"/>
      <c r="Y9" s="255"/>
      <c r="Z9" s="255"/>
      <c r="AA9" s="255"/>
      <c r="AB9" s="255"/>
      <c r="AC9" s="255"/>
      <c r="AD9" s="255"/>
      <c r="AE9" s="255"/>
      <c r="AF9" s="255"/>
      <c r="AG9" s="255"/>
      <c r="AH9" s="255"/>
      <c r="AI9" s="255"/>
      <c r="AJ9" s="255"/>
      <c r="AK9" s="255"/>
    </row>
    <row r="10" spans="1:37" s="257" customFormat="1" ht="18" customHeight="1" x14ac:dyDescent="0.2">
      <c r="A10" s="258"/>
      <c r="B10" s="259"/>
      <c r="C10" s="260" t="s">
        <v>1431</v>
      </c>
      <c r="D10" s="1987" t="s">
        <v>1432</v>
      </c>
      <c r="E10" s="1987"/>
      <c r="F10" s="1988"/>
      <c r="G10" s="1988"/>
      <c r="H10" s="1988"/>
      <c r="I10" s="1988"/>
      <c r="J10" s="1988"/>
      <c r="K10" s="1988"/>
      <c r="L10" s="45"/>
      <c r="M10" s="45"/>
      <c r="N10" s="54"/>
      <c r="O10" s="45"/>
      <c r="P10" s="45"/>
      <c r="Q10" s="54"/>
      <c r="R10" s="54"/>
      <c r="S10" s="45"/>
      <c r="T10" s="45"/>
      <c r="U10" s="45"/>
      <c r="V10" s="45"/>
      <c r="W10" s="45"/>
      <c r="X10" s="45"/>
      <c r="Y10" s="45"/>
      <c r="Z10" s="45"/>
      <c r="AA10" s="45"/>
      <c r="AB10" s="45"/>
      <c r="AC10" s="45"/>
      <c r="AD10" s="45"/>
      <c r="AE10" s="45"/>
      <c r="AF10" s="45"/>
      <c r="AG10" s="45"/>
      <c r="AH10" s="45"/>
      <c r="AI10" s="45"/>
      <c r="AJ10" s="45"/>
      <c r="AK10" s="45"/>
    </row>
    <row r="11" spans="1:37" s="257" customFormat="1" ht="18" customHeight="1" x14ac:dyDescent="0.2">
      <c r="A11" s="261"/>
      <c r="B11" s="262"/>
      <c r="C11" s="259"/>
      <c r="D11" s="1876"/>
      <c r="E11" s="1875"/>
      <c r="F11" s="392" t="s">
        <v>1433</v>
      </c>
      <c r="G11" s="1989" t="s">
        <v>1434</v>
      </c>
      <c r="H11" s="1989"/>
      <c r="I11" s="1990"/>
      <c r="J11" s="1990"/>
      <c r="K11" s="1990"/>
      <c r="L11" s="81"/>
      <c r="M11" s="81"/>
      <c r="N11" s="56"/>
      <c r="O11" s="81"/>
      <c r="P11" s="81"/>
      <c r="Q11" s="56"/>
      <c r="R11" s="56"/>
      <c r="S11" s="81"/>
      <c r="T11" s="81"/>
      <c r="U11" s="81"/>
      <c r="V11" s="81"/>
      <c r="W11" s="81"/>
      <c r="X11" s="81"/>
      <c r="Y11" s="81"/>
      <c r="Z11" s="81"/>
      <c r="AA11" s="81"/>
      <c r="AB11" s="81"/>
      <c r="AC11" s="81"/>
      <c r="AD11" s="81"/>
      <c r="AE11" s="81"/>
      <c r="AF11" s="81"/>
      <c r="AG11" s="81"/>
      <c r="AH11" s="81"/>
      <c r="AI11" s="81"/>
      <c r="AJ11" s="81"/>
      <c r="AK11" s="81"/>
    </row>
    <row r="12" spans="1:37" s="775" customFormat="1" ht="50.1" customHeight="1" x14ac:dyDescent="0.25">
      <c r="A12" s="1978"/>
      <c r="B12" s="1980"/>
      <c r="C12" s="1978"/>
      <c r="D12" s="1876"/>
      <c r="E12" s="1875"/>
      <c r="F12" s="1982"/>
      <c r="G12" s="1983"/>
      <c r="H12" s="1982">
        <v>9</v>
      </c>
      <c r="I12" s="1767" t="s">
        <v>1435</v>
      </c>
      <c r="J12" s="1861" t="s">
        <v>1436</v>
      </c>
      <c r="K12" s="1982">
        <v>5</v>
      </c>
      <c r="L12" s="1861" t="s">
        <v>1437</v>
      </c>
      <c r="M12" s="1982">
        <v>22</v>
      </c>
      <c r="N12" s="1767" t="s">
        <v>1438</v>
      </c>
      <c r="O12" s="1993">
        <f>+(T12+T14+T15)/($P$12+$P$16)</f>
        <v>0.56874731615190133</v>
      </c>
      <c r="P12" s="1996">
        <v>827750071</v>
      </c>
      <c r="Q12" s="1767" t="s">
        <v>1439</v>
      </c>
      <c r="R12" s="1767" t="s">
        <v>1440</v>
      </c>
      <c r="S12" s="1861" t="s">
        <v>1441</v>
      </c>
      <c r="T12" s="1991">
        <v>316758463</v>
      </c>
      <c r="U12" s="1982">
        <v>22</v>
      </c>
      <c r="V12" s="1982" t="s">
        <v>1442</v>
      </c>
      <c r="W12" s="1982">
        <v>55079</v>
      </c>
      <c r="X12" s="1982">
        <v>63164</v>
      </c>
      <c r="Y12" s="1982">
        <v>45607</v>
      </c>
      <c r="Z12" s="1999">
        <v>140912</v>
      </c>
      <c r="AA12" s="1982">
        <v>365607</v>
      </c>
      <c r="AB12" s="1982">
        <v>75612</v>
      </c>
      <c r="AC12" s="1982">
        <v>12718</v>
      </c>
      <c r="AD12" s="1982">
        <v>2145</v>
      </c>
      <c r="AE12" s="1982">
        <v>413</v>
      </c>
      <c r="AF12" s="1982">
        <v>0</v>
      </c>
      <c r="AG12" s="1982">
        <v>16897</v>
      </c>
      <c r="AH12" s="1982">
        <v>75612</v>
      </c>
      <c r="AI12" s="461" t="s">
        <v>133</v>
      </c>
      <c r="AJ12" s="461" t="s">
        <v>133</v>
      </c>
      <c r="AK12" s="455" t="s">
        <v>1443</v>
      </c>
    </row>
    <row r="13" spans="1:37" s="775" customFormat="1" ht="58.5" customHeight="1" x14ac:dyDescent="0.25">
      <c r="A13" s="1978"/>
      <c r="B13" s="1980"/>
      <c r="C13" s="1978"/>
      <c r="D13" s="1876"/>
      <c r="E13" s="1875"/>
      <c r="F13" s="1978"/>
      <c r="G13" s="1984"/>
      <c r="H13" s="1978"/>
      <c r="I13" s="1768"/>
      <c r="J13" s="1865"/>
      <c r="K13" s="1978"/>
      <c r="L13" s="1865"/>
      <c r="M13" s="1978"/>
      <c r="N13" s="1768"/>
      <c r="O13" s="1994"/>
      <c r="P13" s="1997"/>
      <c r="Q13" s="1768"/>
      <c r="R13" s="1769"/>
      <c r="S13" s="1862"/>
      <c r="T13" s="1992"/>
      <c r="U13" s="1978"/>
      <c r="V13" s="1978"/>
      <c r="W13" s="1978"/>
      <c r="X13" s="1978"/>
      <c r="Y13" s="1978"/>
      <c r="Z13" s="2000"/>
      <c r="AA13" s="1978"/>
      <c r="AB13" s="1978"/>
      <c r="AC13" s="1978"/>
      <c r="AD13" s="1978"/>
      <c r="AE13" s="1978"/>
      <c r="AF13" s="1978"/>
      <c r="AG13" s="1978"/>
      <c r="AH13" s="1978"/>
      <c r="AI13" s="461" t="s">
        <v>133</v>
      </c>
      <c r="AJ13" s="461" t="s">
        <v>133</v>
      </c>
      <c r="AK13" s="455" t="s">
        <v>1443</v>
      </c>
    </row>
    <row r="14" spans="1:37" s="775" customFormat="1" ht="50.1" customHeight="1" x14ac:dyDescent="0.25">
      <c r="A14" s="1978"/>
      <c r="B14" s="1980"/>
      <c r="C14" s="1978"/>
      <c r="D14" s="1876"/>
      <c r="E14" s="1875"/>
      <c r="F14" s="1978"/>
      <c r="G14" s="1984"/>
      <c r="H14" s="1978"/>
      <c r="I14" s="1768"/>
      <c r="J14" s="1865"/>
      <c r="K14" s="1978"/>
      <c r="L14" s="1865"/>
      <c r="M14" s="1978"/>
      <c r="N14" s="1768"/>
      <c r="O14" s="1994"/>
      <c r="P14" s="1997"/>
      <c r="Q14" s="1768"/>
      <c r="R14" s="1768" t="s">
        <v>1444</v>
      </c>
      <c r="S14" s="65" t="s">
        <v>1445</v>
      </c>
      <c r="T14" s="777">
        <v>400000000</v>
      </c>
      <c r="U14" s="1978"/>
      <c r="V14" s="1978"/>
      <c r="W14" s="1978"/>
      <c r="X14" s="1978"/>
      <c r="Y14" s="1978"/>
      <c r="Z14" s="2000"/>
      <c r="AA14" s="1978"/>
      <c r="AB14" s="1978"/>
      <c r="AC14" s="1978"/>
      <c r="AD14" s="1978"/>
      <c r="AE14" s="1978"/>
      <c r="AF14" s="1978"/>
      <c r="AG14" s="1978"/>
      <c r="AH14" s="1978"/>
      <c r="AI14" s="461" t="s">
        <v>133</v>
      </c>
      <c r="AJ14" s="461" t="s">
        <v>133</v>
      </c>
      <c r="AK14" s="455" t="s">
        <v>1443</v>
      </c>
    </row>
    <row r="15" spans="1:37" s="775" customFormat="1" ht="50.1" customHeight="1" x14ac:dyDescent="0.25">
      <c r="A15" s="1978"/>
      <c r="B15" s="1980"/>
      <c r="C15" s="1978"/>
      <c r="D15" s="1876"/>
      <c r="E15" s="1875"/>
      <c r="F15" s="1978"/>
      <c r="G15" s="1984"/>
      <c r="H15" s="1979"/>
      <c r="I15" s="1769"/>
      <c r="J15" s="1865"/>
      <c r="K15" s="1978"/>
      <c r="L15" s="1865"/>
      <c r="M15" s="1979"/>
      <c r="N15" s="1769"/>
      <c r="O15" s="1995"/>
      <c r="P15" s="1998"/>
      <c r="Q15" s="1768"/>
      <c r="R15" s="1768"/>
      <c r="S15" s="778" t="s">
        <v>1446</v>
      </c>
      <c r="T15" s="777">
        <v>110991608</v>
      </c>
      <c r="U15" s="1979"/>
      <c r="V15" s="1979"/>
      <c r="W15" s="1979"/>
      <c r="X15" s="1979"/>
      <c r="Y15" s="1979"/>
      <c r="Z15" s="2001"/>
      <c r="AA15" s="1979"/>
      <c r="AB15" s="1979"/>
      <c r="AC15" s="1979"/>
      <c r="AD15" s="1979"/>
      <c r="AE15" s="1979"/>
      <c r="AF15" s="1979"/>
      <c r="AG15" s="1979"/>
      <c r="AH15" s="1979"/>
      <c r="AI15" s="461" t="s">
        <v>133</v>
      </c>
      <c r="AJ15" s="461" t="s">
        <v>133</v>
      </c>
      <c r="AK15" s="455" t="s">
        <v>1443</v>
      </c>
    </row>
    <row r="16" spans="1:37" s="775" customFormat="1" ht="50.1" customHeight="1" x14ac:dyDescent="0.25">
      <c r="A16" s="1978"/>
      <c r="B16" s="1980"/>
      <c r="C16" s="1978"/>
      <c r="D16" s="1876"/>
      <c r="E16" s="1875"/>
      <c r="F16" s="1978"/>
      <c r="G16" s="1984"/>
      <c r="H16" s="1982">
        <v>9</v>
      </c>
      <c r="I16" s="1767" t="s">
        <v>1435</v>
      </c>
      <c r="J16" s="1865"/>
      <c r="K16" s="1978"/>
      <c r="L16" s="1865"/>
      <c r="M16" s="1982">
        <v>23</v>
      </c>
      <c r="N16" s="1767" t="s">
        <v>1447</v>
      </c>
      <c r="O16" s="1993">
        <f>+(T17+T16)/($P$12+$P$16)</f>
        <v>0.43125268384809873</v>
      </c>
      <c r="P16" s="1996">
        <v>627641537</v>
      </c>
      <c r="Q16" s="1767" t="s">
        <v>1448</v>
      </c>
      <c r="R16" s="455" t="s">
        <v>1449</v>
      </c>
      <c r="S16" s="1982" t="s">
        <v>1450</v>
      </c>
      <c r="T16" s="779">
        <v>534400000</v>
      </c>
      <c r="U16" s="1982">
        <v>23</v>
      </c>
      <c r="V16" s="442" t="s">
        <v>1451</v>
      </c>
      <c r="W16" s="1982">
        <v>55079</v>
      </c>
      <c r="X16" s="1982">
        <v>63164</v>
      </c>
      <c r="Y16" s="1982">
        <v>45607</v>
      </c>
      <c r="Z16" s="1982">
        <v>140912</v>
      </c>
      <c r="AA16" s="1982">
        <v>365607</v>
      </c>
      <c r="AB16" s="1982">
        <v>75612</v>
      </c>
      <c r="AC16" s="1982">
        <v>12718</v>
      </c>
      <c r="AD16" s="1982">
        <v>2145</v>
      </c>
      <c r="AE16" s="1982">
        <v>413</v>
      </c>
      <c r="AF16" s="1982">
        <v>0</v>
      </c>
      <c r="AG16" s="1982">
        <v>16897</v>
      </c>
      <c r="AH16" s="1982">
        <v>75612</v>
      </c>
      <c r="AI16" s="461" t="s">
        <v>133</v>
      </c>
      <c r="AJ16" s="461" t="s">
        <v>133</v>
      </c>
      <c r="AK16" s="455" t="s">
        <v>1443</v>
      </c>
    </row>
    <row r="17" spans="1:37" s="775" customFormat="1" ht="50.1" customHeight="1" x14ac:dyDescent="0.25">
      <c r="A17" s="1978"/>
      <c r="B17" s="1980"/>
      <c r="C17" s="1978"/>
      <c r="D17" s="1876"/>
      <c r="E17" s="1875"/>
      <c r="F17" s="1978"/>
      <c r="G17" s="1984"/>
      <c r="H17" s="1979"/>
      <c r="I17" s="1769"/>
      <c r="J17" s="1862"/>
      <c r="K17" s="1979"/>
      <c r="L17" s="1865"/>
      <c r="M17" s="1979"/>
      <c r="N17" s="1769"/>
      <c r="O17" s="1995"/>
      <c r="P17" s="1998"/>
      <c r="Q17" s="1769"/>
      <c r="R17" s="455" t="s">
        <v>1452</v>
      </c>
      <c r="S17" s="1979"/>
      <c r="T17" s="781">
        <v>93241537</v>
      </c>
      <c r="U17" s="1979"/>
      <c r="V17" s="461" t="s">
        <v>1442</v>
      </c>
      <c r="W17" s="1979"/>
      <c r="X17" s="1979"/>
      <c r="Y17" s="1979"/>
      <c r="Z17" s="1979"/>
      <c r="AA17" s="1979"/>
      <c r="AB17" s="1979"/>
      <c r="AC17" s="1979"/>
      <c r="AD17" s="1979"/>
      <c r="AE17" s="1979"/>
      <c r="AF17" s="1979"/>
      <c r="AG17" s="1979"/>
      <c r="AH17" s="1979"/>
      <c r="AI17" s="732">
        <v>42737</v>
      </c>
      <c r="AJ17" s="461" t="s">
        <v>1453</v>
      </c>
      <c r="AK17" s="455" t="s">
        <v>1443</v>
      </c>
    </row>
    <row r="18" spans="1:37" s="775" customFormat="1" ht="50.1" customHeight="1" x14ac:dyDescent="0.25">
      <c r="A18" s="1978"/>
      <c r="B18" s="1980"/>
      <c r="C18" s="1978"/>
      <c r="D18" s="1876"/>
      <c r="E18" s="1875"/>
      <c r="F18" s="1978"/>
      <c r="G18" s="1984"/>
      <c r="H18" s="1982">
        <v>10</v>
      </c>
      <c r="I18" s="1767" t="s">
        <v>1454</v>
      </c>
      <c r="J18" s="1861" t="s">
        <v>1455</v>
      </c>
      <c r="K18" s="1982">
        <v>5</v>
      </c>
      <c r="L18" s="1865"/>
      <c r="M18" s="1982">
        <v>24</v>
      </c>
      <c r="N18" s="1767" t="s">
        <v>1456</v>
      </c>
      <c r="O18" s="1993">
        <v>1</v>
      </c>
      <c r="P18" s="1996">
        <v>49717418</v>
      </c>
      <c r="Q18" s="1767" t="s">
        <v>1457</v>
      </c>
      <c r="R18" s="1767" t="s">
        <v>1458</v>
      </c>
      <c r="S18" s="1982" t="s">
        <v>1459</v>
      </c>
      <c r="T18" s="1991">
        <v>49717418</v>
      </c>
      <c r="U18" s="1982">
        <v>24</v>
      </c>
      <c r="V18" s="1861" t="s">
        <v>1451</v>
      </c>
      <c r="W18" s="1982">
        <v>45983</v>
      </c>
      <c r="X18" s="1982">
        <v>90390</v>
      </c>
      <c r="Y18" s="1982">
        <v>4644</v>
      </c>
      <c r="Z18" s="1982">
        <v>49316</v>
      </c>
      <c r="AA18" s="1982">
        <v>44436</v>
      </c>
      <c r="AB18" s="1982">
        <v>81384</v>
      </c>
      <c r="AC18" s="1982">
        <v>12178</v>
      </c>
      <c r="AD18" s="1982">
        <v>2145</v>
      </c>
      <c r="AE18" s="1982">
        <v>0</v>
      </c>
      <c r="AF18" s="1982">
        <v>0</v>
      </c>
      <c r="AG18" s="1982">
        <v>0</v>
      </c>
      <c r="AH18" s="1982">
        <v>81384</v>
      </c>
      <c r="AI18" s="461" t="s">
        <v>133</v>
      </c>
      <c r="AJ18" s="461" t="s">
        <v>133</v>
      </c>
      <c r="AK18" s="455" t="s">
        <v>1443</v>
      </c>
    </row>
    <row r="19" spans="1:37" s="775" customFormat="1" ht="50.1" customHeight="1" x14ac:dyDescent="0.25">
      <c r="A19" s="1978"/>
      <c r="B19" s="1980"/>
      <c r="C19" s="1978"/>
      <c r="D19" s="1876"/>
      <c r="E19" s="1875"/>
      <c r="F19" s="1978"/>
      <c r="G19" s="1984"/>
      <c r="H19" s="1979"/>
      <c r="I19" s="1769"/>
      <c r="J19" s="1862"/>
      <c r="K19" s="1979"/>
      <c r="L19" s="1862"/>
      <c r="M19" s="1979"/>
      <c r="N19" s="1769"/>
      <c r="O19" s="1995"/>
      <c r="P19" s="1998"/>
      <c r="Q19" s="1769"/>
      <c r="R19" s="1769"/>
      <c r="S19" s="1979"/>
      <c r="T19" s="1992"/>
      <c r="U19" s="1979"/>
      <c r="V19" s="1862"/>
      <c r="W19" s="1979"/>
      <c r="X19" s="1979"/>
      <c r="Y19" s="1979"/>
      <c r="Z19" s="1979"/>
      <c r="AA19" s="1979"/>
      <c r="AB19" s="1979"/>
      <c r="AC19" s="1979"/>
      <c r="AD19" s="1979"/>
      <c r="AE19" s="1979"/>
      <c r="AF19" s="1979"/>
      <c r="AG19" s="1979"/>
      <c r="AH19" s="1979"/>
      <c r="AI19" s="461" t="s">
        <v>133</v>
      </c>
      <c r="AJ19" s="461" t="s">
        <v>133</v>
      </c>
      <c r="AK19" s="455" t="s">
        <v>1443</v>
      </c>
    </row>
    <row r="20" spans="1:37" s="775" customFormat="1" ht="50.1" customHeight="1" x14ac:dyDescent="0.25">
      <c r="A20" s="1978"/>
      <c r="B20" s="1980"/>
      <c r="C20" s="1978"/>
      <c r="D20" s="1876"/>
      <c r="E20" s="1875"/>
      <c r="F20" s="1978"/>
      <c r="G20" s="1984"/>
      <c r="H20" s="1982">
        <v>11</v>
      </c>
      <c r="I20" s="1767" t="s">
        <v>1460</v>
      </c>
      <c r="J20" s="1861" t="s">
        <v>1461</v>
      </c>
      <c r="K20" s="1982">
        <v>1</v>
      </c>
      <c r="L20" s="1774" t="s">
        <v>1462</v>
      </c>
      <c r="M20" s="1982">
        <v>25</v>
      </c>
      <c r="N20" s="1767" t="s">
        <v>1463</v>
      </c>
      <c r="O20" s="1982">
        <v>100</v>
      </c>
      <c r="P20" s="1996">
        <v>324800000</v>
      </c>
      <c r="Q20" s="1767" t="s">
        <v>1464</v>
      </c>
      <c r="R20" s="1767" t="s">
        <v>1465</v>
      </c>
      <c r="S20" s="1861" t="s">
        <v>1466</v>
      </c>
      <c r="T20" s="1991">
        <v>324800000</v>
      </c>
      <c r="U20" s="1982">
        <v>25</v>
      </c>
      <c r="V20" s="1861" t="s">
        <v>1451</v>
      </c>
      <c r="W20" s="1982">
        <v>45983</v>
      </c>
      <c r="X20" s="1982">
        <v>90390</v>
      </c>
      <c r="Y20" s="1982">
        <v>46444</v>
      </c>
      <c r="Z20" s="1982">
        <v>49316</v>
      </c>
      <c r="AA20" s="1982">
        <v>44436</v>
      </c>
      <c r="AB20" s="1982">
        <v>81384</v>
      </c>
      <c r="AC20" s="1982">
        <v>12278</v>
      </c>
      <c r="AD20" s="1982">
        <v>2145</v>
      </c>
      <c r="AE20" s="1982">
        <v>0</v>
      </c>
      <c r="AF20" s="1982">
        <v>0</v>
      </c>
      <c r="AG20" s="1982">
        <v>0</v>
      </c>
      <c r="AH20" s="1982">
        <v>81384</v>
      </c>
      <c r="AI20" s="461" t="s">
        <v>133</v>
      </c>
      <c r="AJ20" s="461" t="s">
        <v>133</v>
      </c>
      <c r="AK20" s="455" t="s">
        <v>1443</v>
      </c>
    </row>
    <row r="21" spans="1:37" s="775" customFormat="1" ht="50.1" customHeight="1" x14ac:dyDescent="0.25">
      <c r="A21" s="1978"/>
      <c r="B21" s="1980"/>
      <c r="C21" s="1978"/>
      <c r="D21" s="1876"/>
      <c r="E21" s="1875"/>
      <c r="F21" s="1978"/>
      <c r="G21" s="1984"/>
      <c r="H21" s="1978"/>
      <c r="I21" s="1768"/>
      <c r="J21" s="1865"/>
      <c r="K21" s="1978"/>
      <c r="L21" s="1774"/>
      <c r="M21" s="1978"/>
      <c r="N21" s="1768"/>
      <c r="O21" s="1978"/>
      <c r="P21" s="1997"/>
      <c r="Q21" s="1768"/>
      <c r="R21" s="1768"/>
      <c r="S21" s="1865"/>
      <c r="T21" s="2002"/>
      <c r="U21" s="1978"/>
      <c r="V21" s="1865"/>
      <c r="W21" s="1978"/>
      <c r="X21" s="1978"/>
      <c r="Y21" s="1978"/>
      <c r="Z21" s="1978"/>
      <c r="AA21" s="1978"/>
      <c r="AB21" s="1978"/>
      <c r="AC21" s="1978"/>
      <c r="AD21" s="1978"/>
      <c r="AE21" s="1978"/>
      <c r="AF21" s="1978"/>
      <c r="AG21" s="1978"/>
      <c r="AH21" s="1978"/>
      <c r="AI21" s="461" t="s">
        <v>133</v>
      </c>
      <c r="AJ21" s="461" t="s">
        <v>133</v>
      </c>
      <c r="AK21" s="455" t="s">
        <v>1443</v>
      </c>
    </row>
    <row r="22" spans="1:37" s="775" customFormat="1" ht="50.1" customHeight="1" x14ac:dyDescent="0.25">
      <c r="A22" s="1978"/>
      <c r="B22" s="1980"/>
      <c r="C22" s="1978"/>
      <c r="D22" s="1876"/>
      <c r="E22" s="1875"/>
      <c r="F22" s="1978"/>
      <c r="G22" s="1984"/>
      <c r="H22" s="1978"/>
      <c r="I22" s="1768"/>
      <c r="J22" s="1865"/>
      <c r="K22" s="1978"/>
      <c r="L22" s="1774"/>
      <c r="M22" s="1978"/>
      <c r="N22" s="1768"/>
      <c r="O22" s="1978"/>
      <c r="P22" s="1997"/>
      <c r="Q22" s="1768"/>
      <c r="R22" s="1768"/>
      <c r="S22" s="1865"/>
      <c r="T22" s="2002"/>
      <c r="U22" s="1978"/>
      <c r="V22" s="1865"/>
      <c r="W22" s="1978"/>
      <c r="X22" s="1978"/>
      <c r="Y22" s="1978"/>
      <c r="Z22" s="1978"/>
      <c r="AA22" s="1978"/>
      <c r="AB22" s="1978"/>
      <c r="AC22" s="1978"/>
      <c r="AD22" s="1978"/>
      <c r="AE22" s="1978"/>
      <c r="AF22" s="1978"/>
      <c r="AG22" s="1978"/>
      <c r="AH22" s="1978"/>
      <c r="AI22" s="461" t="s">
        <v>133</v>
      </c>
      <c r="AJ22" s="461" t="s">
        <v>133</v>
      </c>
      <c r="AK22" s="455" t="s">
        <v>1443</v>
      </c>
    </row>
    <row r="23" spans="1:37" s="775" customFormat="1" ht="50.1" customHeight="1" x14ac:dyDescent="0.25">
      <c r="A23" s="1978"/>
      <c r="B23" s="1980"/>
      <c r="C23" s="1978"/>
      <c r="D23" s="1876"/>
      <c r="E23" s="1875"/>
      <c r="F23" s="1978"/>
      <c r="G23" s="1984"/>
      <c r="H23" s="1978"/>
      <c r="I23" s="1768"/>
      <c r="J23" s="1865"/>
      <c r="K23" s="1978"/>
      <c r="L23" s="1774"/>
      <c r="M23" s="1978"/>
      <c r="N23" s="1768"/>
      <c r="O23" s="1978"/>
      <c r="P23" s="1997"/>
      <c r="Q23" s="1768"/>
      <c r="R23" s="1768"/>
      <c r="S23" s="1865"/>
      <c r="T23" s="2002"/>
      <c r="U23" s="1978"/>
      <c r="V23" s="1865"/>
      <c r="W23" s="1978"/>
      <c r="X23" s="1978"/>
      <c r="Y23" s="1978"/>
      <c r="Z23" s="1978"/>
      <c r="AA23" s="1978"/>
      <c r="AB23" s="1978"/>
      <c r="AC23" s="1978"/>
      <c r="AD23" s="1978"/>
      <c r="AE23" s="1978"/>
      <c r="AF23" s="1978"/>
      <c r="AG23" s="1978"/>
      <c r="AH23" s="1978"/>
      <c r="AI23" s="461" t="s">
        <v>133</v>
      </c>
      <c r="AJ23" s="461" t="s">
        <v>133</v>
      </c>
      <c r="AK23" s="455" t="s">
        <v>1443</v>
      </c>
    </row>
    <row r="24" spans="1:37" s="775" customFormat="1" ht="50.1" customHeight="1" x14ac:dyDescent="0.25">
      <c r="A24" s="1978"/>
      <c r="B24" s="1980"/>
      <c r="C24" s="1978"/>
      <c r="D24" s="1876"/>
      <c r="E24" s="1875"/>
      <c r="F24" s="1978"/>
      <c r="G24" s="1984"/>
      <c r="H24" s="1979"/>
      <c r="I24" s="1769"/>
      <c r="J24" s="1862"/>
      <c r="K24" s="1979"/>
      <c r="L24" s="1774"/>
      <c r="M24" s="1979"/>
      <c r="N24" s="1769"/>
      <c r="O24" s="1979"/>
      <c r="P24" s="1998"/>
      <c r="Q24" s="1769"/>
      <c r="R24" s="1769"/>
      <c r="S24" s="1862"/>
      <c r="T24" s="1992"/>
      <c r="U24" s="1979"/>
      <c r="V24" s="1862"/>
      <c r="W24" s="1979"/>
      <c r="X24" s="1979"/>
      <c r="Y24" s="1979"/>
      <c r="Z24" s="1979"/>
      <c r="AA24" s="1979"/>
      <c r="AB24" s="1979"/>
      <c r="AC24" s="1979"/>
      <c r="AD24" s="1979"/>
      <c r="AE24" s="1979"/>
      <c r="AF24" s="1979"/>
      <c r="AG24" s="1979"/>
      <c r="AH24" s="1979"/>
      <c r="AI24" s="461" t="s">
        <v>133</v>
      </c>
      <c r="AJ24" s="461" t="s">
        <v>133</v>
      </c>
      <c r="AK24" s="455" t="s">
        <v>1443</v>
      </c>
    </row>
    <row r="25" spans="1:37" s="775" customFormat="1" ht="50.1" customHeight="1" x14ac:dyDescent="0.25">
      <c r="A25" s="1978"/>
      <c r="B25" s="1980"/>
      <c r="C25" s="1978"/>
      <c r="D25" s="1876"/>
      <c r="E25" s="1875"/>
      <c r="F25" s="1978"/>
      <c r="G25" s="1984"/>
      <c r="H25" s="1982">
        <v>12</v>
      </c>
      <c r="I25" s="1767" t="s">
        <v>1467</v>
      </c>
      <c r="J25" s="1861" t="s">
        <v>1468</v>
      </c>
      <c r="K25" s="1982">
        <v>3</v>
      </c>
      <c r="L25" s="1861" t="s">
        <v>1462</v>
      </c>
      <c r="M25" s="1982">
        <v>26</v>
      </c>
      <c r="N25" s="1767" t="s">
        <v>1469</v>
      </c>
      <c r="O25" s="1982">
        <v>100</v>
      </c>
      <c r="P25" s="1996">
        <v>1032300000</v>
      </c>
      <c r="Q25" s="1767" t="s">
        <v>1470</v>
      </c>
      <c r="R25" s="455" t="s">
        <v>1471</v>
      </c>
      <c r="S25" s="442" t="s">
        <v>1472</v>
      </c>
      <c r="T25" s="777">
        <v>282300000</v>
      </c>
      <c r="U25" s="1982">
        <v>26</v>
      </c>
      <c r="V25" s="1861" t="s">
        <v>1451</v>
      </c>
      <c r="W25" s="1982">
        <v>55079</v>
      </c>
      <c r="X25" s="1982">
        <v>63164</v>
      </c>
      <c r="Y25" s="1982">
        <v>45607</v>
      </c>
      <c r="Z25" s="1982">
        <v>140912</v>
      </c>
      <c r="AA25" s="1982">
        <v>365607</v>
      </c>
      <c r="AB25" s="1982">
        <v>75612</v>
      </c>
      <c r="AC25" s="1982">
        <v>12718</v>
      </c>
      <c r="AD25" s="1982">
        <v>2145</v>
      </c>
      <c r="AE25" s="1982">
        <v>413</v>
      </c>
      <c r="AF25" s="1982">
        <v>0</v>
      </c>
      <c r="AG25" s="1982">
        <v>0</v>
      </c>
      <c r="AH25" s="1982">
        <v>75612</v>
      </c>
      <c r="AI25" s="461" t="s">
        <v>133</v>
      </c>
      <c r="AJ25" s="461" t="s">
        <v>133</v>
      </c>
      <c r="AK25" s="455" t="s">
        <v>1443</v>
      </c>
    </row>
    <row r="26" spans="1:37" s="775" customFormat="1" ht="50.1" customHeight="1" x14ac:dyDescent="0.25">
      <c r="A26" s="1978"/>
      <c r="B26" s="1980"/>
      <c r="C26" s="1978"/>
      <c r="D26" s="1876"/>
      <c r="E26" s="1875"/>
      <c r="F26" s="1978"/>
      <c r="G26" s="1984"/>
      <c r="H26" s="1979"/>
      <c r="I26" s="1769"/>
      <c r="J26" s="1862"/>
      <c r="K26" s="1979"/>
      <c r="L26" s="1862"/>
      <c r="M26" s="1979"/>
      <c r="N26" s="1769"/>
      <c r="O26" s="1979"/>
      <c r="P26" s="1998"/>
      <c r="Q26" s="1769"/>
      <c r="R26" s="455" t="s">
        <v>1473</v>
      </c>
      <c r="S26" s="442" t="s">
        <v>1474</v>
      </c>
      <c r="T26" s="777">
        <v>750000000</v>
      </c>
      <c r="U26" s="1979"/>
      <c r="V26" s="1862"/>
      <c r="W26" s="1979"/>
      <c r="X26" s="1979"/>
      <c r="Y26" s="1979"/>
      <c r="Z26" s="1979"/>
      <c r="AA26" s="1979"/>
      <c r="AB26" s="1979"/>
      <c r="AC26" s="1979"/>
      <c r="AD26" s="1979"/>
      <c r="AE26" s="1979"/>
      <c r="AF26" s="1979"/>
      <c r="AG26" s="1979"/>
      <c r="AH26" s="1979"/>
      <c r="AI26" s="461" t="s">
        <v>133</v>
      </c>
      <c r="AJ26" s="461" t="s">
        <v>133</v>
      </c>
      <c r="AK26" s="455" t="s">
        <v>1443</v>
      </c>
    </row>
    <row r="27" spans="1:37" s="775" customFormat="1" ht="72" customHeight="1" x14ac:dyDescent="0.25">
      <c r="A27" s="1978"/>
      <c r="B27" s="1980"/>
      <c r="C27" s="1978"/>
      <c r="D27" s="1876"/>
      <c r="E27" s="1875"/>
      <c r="F27" s="1978"/>
      <c r="G27" s="1984"/>
      <c r="H27" s="1982">
        <v>13</v>
      </c>
      <c r="I27" s="1767" t="s">
        <v>1475</v>
      </c>
      <c r="J27" s="1861" t="s">
        <v>1476</v>
      </c>
      <c r="K27" s="1982">
        <v>1</v>
      </c>
      <c r="L27" s="1861" t="s">
        <v>1477</v>
      </c>
      <c r="M27" s="1982">
        <v>27</v>
      </c>
      <c r="N27" s="1767" t="s">
        <v>1478</v>
      </c>
      <c r="O27" s="1982">
        <v>100</v>
      </c>
      <c r="P27" s="1996">
        <v>265000000</v>
      </c>
      <c r="Q27" s="1767" t="s">
        <v>1479</v>
      </c>
      <c r="R27" s="455" t="s">
        <v>1480</v>
      </c>
      <c r="S27" s="65" t="s">
        <v>1481</v>
      </c>
      <c r="T27" s="777">
        <v>88333333</v>
      </c>
      <c r="U27" s="1982">
        <v>27</v>
      </c>
      <c r="V27" s="1861" t="s">
        <v>1451</v>
      </c>
      <c r="W27" s="1982">
        <v>55079</v>
      </c>
      <c r="X27" s="1982">
        <v>63164</v>
      </c>
      <c r="Y27" s="1982">
        <v>45607</v>
      </c>
      <c r="Z27" s="1982">
        <v>140912</v>
      </c>
      <c r="AA27" s="1982">
        <v>365607</v>
      </c>
      <c r="AB27" s="1982">
        <v>75612</v>
      </c>
      <c r="AC27" s="1982">
        <v>12718</v>
      </c>
      <c r="AD27" s="1982">
        <v>2145</v>
      </c>
      <c r="AE27" s="1982">
        <v>413</v>
      </c>
      <c r="AF27" s="1982">
        <v>0</v>
      </c>
      <c r="AG27" s="1982">
        <v>16897</v>
      </c>
      <c r="AH27" s="1982">
        <v>75612</v>
      </c>
      <c r="AI27" s="461" t="s">
        <v>133</v>
      </c>
      <c r="AJ27" s="461" t="s">
        <v>133</v>
      </c>
      <c r="AK27" s="455" t="s">
        <v>1443</v>
      </c>
    </row>
    <row r="28" spans="1:37" s="775" customFormat="1" ht="50.1" customHeight="1" x14ac:dyDescent="0.25">
      <c r="A28" s="1978"/>
      <c r="B28" s="1980"/>
      <c r="C28" s="1978"/>
      <c r="D28" s="1876"/>
      <c r="E28" s="1875"/>
      <c r="F28" s="1978"/>
      <c r="G28" s="1984"/>
      <c r="H28" s="1978"/>
      <c r="I28" s="1768"/>
      <c r="J28" s="1865"/>
      <c r="K28" s="1978"/>
      <c r="L28" s="1865"/>
      <c r="M28" s="1978"/>
      <c r="N28" s="1768"/>
      <c r="O28" s="1978"/>
      <c r="P28" s="1997"/>
      <c r="Q28" s="1768"/>
      <c r="R28" s="1767" t="s">
        <v>1481</v>
      </c>
      <c r="S28" s="65" t="s">
        <v>1482</v>
      </c>
      <c r="T28" s="777">
        <v>88333334</v>
      </c>
      <c r="U28" s="1978"/>
      <c r="V28" s="1865"/>
      <c r="W28" s="1978"/>
      <c r="X28" s="1978"/>
      <c r="Y28" s="1978"/>
      <c r="Z28" s="1978"/>
      <c r="AA28" s="1978"/>
      <c r="AB28" s="1978"/>
      <c r="AC28" s="1978"/>
      <c r="AD28" s="1978"/>
      <c r="AE28" s="1978"/>
      <c r="AF28" s="1978"/>
      <c r="AG28" s="1978"/>
      <c r="AH28" s="1978"/>
      <c r="AI28" s="461" t="s">
        <v>133</v>
      </c>
      <c r="AJ28" s="461" t="s">
        <v>133</v>
      </c>
      <c r="AK28" s="455" t="s">
        <v>1443</v>
      </c>
    </row>
    <row r="29" spans="1:37" s="775" customFormat="1" ht="50.1" customHeight="1" x14ac:dyDescent="0.25">
      <c r="A29" s="1979"/>
      <c r="B29" s="1981"/>
      <c r="C29" s="1979"/>
      <c r="D29" s="1876"/>
      <c r="E29" s="1875"/>
      <c r="F29" s="1979"/>
      <c r="G29" s="1985"/>
      <c r="H29" s="1978"/>
      <c r="I29" s="1769"/>
      <c r="J29" s="1862"/>
      <c r="K29" s="1979"/>
      <c r="L29" s="1862"/>
      <c r="M29" s="1979"/>
      <c r="N29" s="1769"/>
      <c r="O29" s="1979"/>
      <c r="P29" s="1998"/>
      <c r="Q29" s="1769"/>
      <c r="R29" s="1769"/>
      <c r="S29" s="65" t="s">
        <v>1483</v>
      </c>
      <c r="T29" s="777">
        <v>88333333</v>
      </c>
      <c r="U29" s="1979"/>
      <c r="V29" s="1862"/>
      <c r="W29" s="1979"/>
      <c r="X29" s="1979"/>
      <c r="Y29" s="1979"/>
      <c r="Z29" s="1979"/>
      <c r="AA29" s="1979"/>
      <c r="AB29" s="1979"/>
      <c r="AC29" s="1979"/>
      <c r="AD29" s="1979"/>
      <c r="AE29" s="1979"/>
      <c r="AF29" s="1979"/>
      <c r="AG29" s="1979"/>
      <c r="AH29" s="1979"/>
      <c r="AI29" s="461" t="s">
        <v>133</v>
      </c>
      <c r="AJ29" s="461" t="s">
        <v>133</v>
      </c>
      <c r="AK29" s="455" t="s">
        <v>1443</v>
      </c>
    </row>
    <row r="30" spans="1:37" s="257" customFormat="1" ht="29.25" customHeight="1" x14ac:dyDescent="0.2">
      <c r="A30" s="254" t="s">
        <v>1433</v>
      </c>
      <c r="B30" s="255" t="s">
        <v>1484</v>
      </c>
      <c r="C30" s="255"/>
      <c r="D30" s="255"/>
      <c r="E30" s="255"/>
      <c r="F30" s="255"/>
      <c r="G30" s="255"/>
      <c r="H30" s="255"/>
      <c r="I30" s="256"/>
      <c r="J30" s="256"/>
      <c r="K30" s="255"/>
      <c r="L30" s="255"/>
      <c r="M30" s="255"/>
      <c r="N30" s="256"/>
      <c r="O30" s="255"/>
      <c r="P30" s="255"/>
      <c r="Q30" s="256"/>
      <c r="R30" s="256"/>
      <c r="S30" s="255"/>
      <c r="T30" s="255"/>
      <c r="U30" s="255"/>
      <c r="V30" s="255"/>
      <c r="W30" s="255"/>
      <c r="X30" s="255"/>
      <c r="Y30" s="255"/>
      <c r="Z30" s="255"/>
      <c r="AA30" s="255"/>
      <c r="AB30" s="255"/>
      <c r="AC30" s="255"/>
      <c r="AD30" s="255"/>
      <c r="AE30" s="255"/>
      <c r="AF30" s="255"/>
      <c r="AG30" s="255"/>
      <c r="AH30" s="255"/>
      <c r="AI30" s="255"/>
      <c r="AJ30" s="255"/>
      <c r="AK30" s="256"/>
    </row>
    <row r="31" spans="1:37" s="257" customFormat="1" ht="29.25" customHeight="1" x14ac:dyDescent="0.2">
      <c r="A31" s="784"/>
      <c r="B31" s="785"/>
      <c r="C31" s="45" t="s">
        <v>1485</v>
      </c>
      <c r="D31" s="1988" t="s">
        <v>1486</v>
      </c>
      <c r="E31" s="1988"/>
      <c r="F31" s="1988"/>
      <c r="G31" s="1988"/>
      <c r="H31" s="1988"/>
      <c r="I31" s="1988"/>
      <c r="J31" s="1988"/>
      <c r="K31" s="1988"/>
      <c r="L31" s="45"/>
      <c r="M31" s="45"/>
      <c r="N31" s="54"/>
      <c r="O31" s="45"/>
      <c r="P31" s="45"/>
      <c r="Q31" s="54"/>
      <c r="R31" s="54"/>
      <c r="S31" s="45"/>
      <c r="T31" s="45"/>
      <c r="U31" s="45"/>
      <c r="V31" s="45"/>
      <c r="W31" s="45"/>
      <c r="X31" s="45"/>
      <c r="Y31" s="45"/>
      <c r="Z31" s="45"/>
      <c r="AA31" s="45"/>
      <c r="AB31" s="45"/>
      <c r="AC31" s="45"/>
      <c r="AD31" s="45"/>
      <c r="AE31" s="45"/>
      <c r="AF31" s="45"/>
      <c r="AG31" s="45"/>
      <c r="AH31" s="45"/>
      <c r="AI31" s="45"/>
      <c r="AJ31" s="45"/>
      <c r="AK31" s="54"/>
    </row>
    <row r="32" spans="1:37" s="257" customFormat="1" ht="29.25" customHeight="1" x14ac:dyDescent="0.2">
      <c r="A32" s="782"/>
      <c r="B32" s="786"/>
      <c r="C32" s="259"/>
      <c r="D32" s="787"/>
      <c r="E32" s="788"/>
      <c r="F32" s="263" t="s">
        <v>1487</v>
      </c>
      <c r="G32" s="263"/>
      <c r="H32" s="263" t="s">
        <v>1488</v>
      </c>
      <c r="I32" s="265"/>
      <c r="J32" s="265"/>
      <c r="K32" s="264"/>
      <c r="L32" s="264"/>
      <c r="M32" s="264"/>
      <c r="N32" s="265"/>
      <c r="O32" s="264"/>
      <c r="P32" s="264"/>
      <c r="Q32" s="265"/>
      <c r="R32" s="265"/>
      <c r="S32" s="264"/>
      <c r="T32" s="264"/>
      <c r="U32" s="264"/>
      <c r="V32" s="264"/>
      <c r="W32" s="264"/>
      <c r="X32" s="264"/>
      <c r="Y32" s="264"/>
      <c r="Z32" s="264"/>
      <c r="AA32" s="264"/>
      <c r="AB32" s="264"/>
      <c r="AC32" s="264"/>
      <c r="AD32" s="264"/>
      <c r="AE32" s="264"/>
      <c r="AF32" s="264"/>
      <c r="AG32" s="264"/>
      <c r="AH32" s="264"/>
      <c r="AI32" s="264"/>
      <c r="AJ32" s="264"/>
      <c r="AK32" s="265"/>
    </row>
    <row r="33" spans="1:37" s="775" customFormat="1" ht="59.25" customHeight="1" x14ac:dyDescent="0.25">
      <c r="A33" s="782"/>
      <c r="B33" s="786"/>
      <c r="C33" s="262"/>
      <c r="D33" s="789"/>
      <c r="E33" s="790"/>
      <c r="F33" s="784"/>
      <c r="G33" s="2003"/>
      <c r="H33" s="1982">
        <v>54</v>
      </c>
      <c r="I33" s="1767" t="s">
        <v>1489</v>
      </c>
      <c r="J33" s="1861" t="s">
        <v>1490</v>
      </c>
      <c r="K33" s="1982">
        <v>130</v>
      </c>
      <c r="L33" s="1861" t="s">
        <v>1491</v>
      </c>
      <c r="M33" s="1982">
        <v>19</v>
      </c>
      <c r="N33" s="1767" t="s">
        <v>1492</v>
      </c>
      <c r="O33" s="1993">
        <f>+(T33+T34+T35+T36)/($P$33)</f>
        <v>0.33719126426811624</v>
      </c>
      <c r="P33" s="1996">
        <v>1156404493</v>
      </c>
      <c r="Q33" s="1767" t="s">
        <v>1493</v>
      </c>
      <c r="R33" s="1767" t="s">
        <v>1494</v>
      </c>
      <c r="S33" s="65" t="s">
        <v>1495</v>
      </c>
      <c r="T33" s="777">
        <v>153051080</v>
      </c>
      <c r="U33" s="2003" t="s">
        <v>1496</v>
      </c>
      <c r="V33" s="1895" t="s">
        <v>1497</v>
      </c>
      <c r="W33" s="1982">
        <v>37199</v>
      </c>
      <c r="X33" s="1982">
        <v>98821</v>
      </c>
      <c r="Y33" s="1982">
        <v>50922</v>
      </c>
      <c r="Z33" s="1982">
        <v>151591</v>
      </c>
      <c r="AA33" s="1982">
        <v>71991</v>
      </c>
      <c r="AB33" s="1982">
        <v>12718</v>
      </c>
      <c r="AC33" s="1982">
        <v>2145</v>
      </c>
      <c r="AD33" s="1982">
        <v>39704</v>
      </c>
      <c r="AE33" s="1982">
        <v>0</v>
      </c>
      <c r="AF33" s="1982">
        <v>0</v>
      </c>
      <c r="AG33" s="1982">
        <v>41543</v>
      </c>
      <c r="AH33" s="1982">
        <v>71991</v>
      </c>
      <c r="AI33" s="461" t="s">
        <v>1499</v>
      </c>
      <c r="AJ33" s="461" t="s">
        <v>1500</v>
      </c>
      <c r="AK33" s="455" t="s">
        <v>1443</v>
      </c>
    </row>
    <row r="34" spans="1:37" s="775" customFormat="1" ht="50.1" customHeight="1" x14ac:dyDescent="0.25">
      <c r="A34" s="782"/>
      <c r="B34" s="786"/>
      <c r="C34" s="262"/>
      <c r="D34" s="789"/>
      <c r="E34" s="790"/>
      <c r="F34" s="782"/>
      <c r="G34" s="2004"/>
      <c r="H34" s="1978"/>
      <c r="I34" s="1768"/>
      <c r="J34" s="1865"/>
      <c r="K34" s="1978"/>
      <c r="L34" s="1865"/>
      <c r="M34" s="1978"/>
      <c r="N34" s="1768"/>
      <c r="O34" s="1994"/>
      <c r="P34" s="1997"/>
      <c r="Q34" s="1768"/>
      <c r="R34" s="1768"/>
      <c r="S34" s="776" t="s">
        <v>1501</v>
      </c>
      <c r="T34" s="777">
        <v>85540000</v>
      </c>
      <c r="U34" s="2004"/>
      <c r="V34" s="1896"/>
      <c r="W34" s="1978"/>
      <c r="X34" s="1978"/>
      <c r="Y34" s="1978"/>
      <c r="Z34" s="1978"/>
      <c r="AA34" s="1978"/>
      <c r="AB34" s="1978"/>
      <c r="AC34" s="1978"/>
      <c r="AD34" s="1978"/>
      <c r="AE34" s="1978"/>
      <c r="AF34" s="1978"/>
      <c r="AG34" s="1978"/>
      <c r="AH34" s="1978"/>
      <c r="AI34" s="461" t="s">
        <v>1502</v>
      </c>
      <c r="AJ34" s="461" t="s">
        <v>1503</v>
      </c>
      <c r="AK34" s="455" t="s">
        <v>1443</v>
      </c>
    </row>
    <row r="35" spans="1:37" s="775" customFormat="1" ht="50.1" customHeight="1" x14ac:dyDescent="0.25">
      <c r="A35" s="782"/>
      <c r="B35" s="786"/>
      <c r="C35" s="262"/>
      <c r="D35" s="789"/>
      <c r="E35" s="790"/>
      <c r="F35" s="782"/>
      <c r="G35" s="2004"/>
      <c r="H35" s="1978"/>
      <c r="I35" s="1768"/>
      <c r="J35" s="1865"/>
      <c r="K35" s="1978"/>
      <c r="L35" s="1865"/>
      <c r="M35" s="1978"/>
      <c r="N35" s="1768"/>
      <c r="O35" s="1994"/>
      <c r="P35" s="1997"/>
      <c r="Q35" s="1768"/>
      <c r="R35" s="1768"/>
      <c r="S35" s="776" t="s">
        <v>1504</v>
      </c>
      <c r="T35" s="777">
        <v>101338413</v>
      </c>
      <c r="U35" s="2004"/>
      <c r="V35" s="1896"/>
      <c r="W35" s="1978"/>
      <c r="X35" s="1978"/>
      <c r="Y35" s="1978"/>
      <c r="Z35" s="1978"/>
      <c r="AA35" s="1978"/>
      <c r="AB35" s="1978"/>
      <c r="AC35" s="1978"/>
      <c r="AD35" s="1978"/>
      <c r="AE35" s="1978"/>
      <c r="AF35" s="1978"/>
      <c r="AG35" s="1978"/>
      <c r="AH35" s="1978"/>
      <c r="AI35" s="461" t="s">
        <v>1505</v>
      </c>
      <c r="AJ35" s="461" t="s">
        <v>133</v>
      </c>
      <c r="AK35" s="455" t="s">
        <v>1443</v>
      </c>
    </row>
    <row r="36" spans="1:37" s="775" customFormat="1" ht="50.1" customHeight="1" x14ac:dyDescent="0.25">
      <c r="A36" s="782"/>
      <c r="B36" s="786"/>
      <c r="C36" s="262"/>
      <c r="D36" s="789"/>
      <c r="E36" s="790"/>
      <c r="F36" s="782"/>
      <c r="G36" s="2004"/>
      <c r="H36" s="1979"/>
      <c r="I36" s="1769"/>
      <c r="J36" s="1862"/>
      <c r="K36" s="1979"/>
      <c r="L36" s="1865"/>
      <c r="M36" s="1978"/>
      <c r="N36" s="1768"/>
      <c r="O36" s="1995"/>
      <c r="P36" s="1997"/>
      <c r="Q36" s="1768"/>
      <c r="R36" s="1769"/>
      <c r="S36" s="776" t="s">
        <v>1506</v>
      </c>
      <c r="T36" s="777">
        <v>50000000</v>
      </c>
      <c r="U36" s="2004"/>
      <c r="V36" s="1896"/>
      <c r="W36" s="1979"/>
      <c r="X36" s="1979"/>
      <c r="Y36" s="1979"/>
      <c r="Z36" s="1979"/>
      <c r="AA36" s="1979"/>
      <c r="AB36" s="1979"/>
      <c r="AC36" s="1979"/>
      <c r="AD36" s="1979"/>
      <c r="AE36" s="1979"/>
      <c r="AF36" s="1979"/>
      <c r="AG36" s="1979"/>
      <c r="AH36" s="1979"/>
      <c r="AI36" s="461" t="s">
        <v>1507</v>
      </c>
      <c r="AJ36" s="461" t="s">
        <v>133</v>
      </c>
      <c r="AK36" s="455" t="s">
        <v>1443</v>
      </c>
    </row>
    <row r="37" spans="1:37" s="775" customFormat="1" ht="50.1" customHeight="1" x14ac:dyDescent="0.25">
      <c r="A37" s="782"/>
      <c r="B37" s="786"/>
      <c r="C37" s="262"/>
      <c r="D37" s="789"/>
      <c r="E37" s="790"/>
      <c r="F37" s="782"/>
      <c r="G37" s="2004"/>
      <c r="H37" s="1982">
        <v>55</v>
      </c>
      <c r="I37" s="1767" t="s">
        <v>1508</v>
      </c>
      <c r="J37" s="1861" t="s">
        <v>1509</v>
      </c>
      <c r="K37" s="1982">
        <v>12</v>
      </c>
      <c r="L37" s="1865"/>
      <c r="M37" s="1978"/>
      <c r="N37" s="1768"/>
      <c r="O37" s="1993">
        <f>+(T37+T38+T39)/($P$33)</f>
        <v>0.37225296391165091</v>
      </c>
      <c r="P37" s="1997"/>
      <c r="Q37" s="1768"/>
      <c r="R37" s="1767" t="s">
        <v>1510</v>
      </c>
      <c r="S37" s="65" t="s">
        <v>1511</v>
      </c>
      <c r="T37" s="777">
        <v>29375000</v>
      </c>
      <c r="U37" s="2004"/>
      <c r="V37" s="1896"/>
      <c r="W37" s="1982">
        <v>37199</v>
      </c>
      <c r="X37" s="1982">
        <v>98821</v>
      </c>
      <c r="Y37" s="1982">
        <v>50922</v>
      </c>
      <c r="Z37" s="1982">
        <v>151591</v>
      </c>
      <c r="AA37" s="1982">
        <v>71991</v>
      </c>
      <c r="AB37" s="1982">
        <v>12718</v>
      </c>
      <c r="AC37" s="1982">
        <v>2145</v>
      </c>
      <c r="AD37" s="1982">
        <v>39704</v>
      </c>
      <c r="AE37" s="1982">
        <v>0</v>
      </c>
      <c r="AF37" s="1982">
        <v>0</v>
      </c>
      <c r="AG37" s="1982">
        <v>41543</v>
      </c>
      <c r="AH37" s="1982">
        <v>71991</v>
      </c>
      <c r="AI37" s="461" t="s">
        <v>1507</v>
      </c>
      <c r="AJ37" s="461" t="s">
        <v>133</v>
      </c>
      <c r="AK37" s="455" t="s">
        <v>1443</v>
      </c>
    </row>
    <row r="38" spans="1:37" s="775" customFormat="1" ht="50.1" customHeight="1" x14ac:dyDescent="0.25">
      <c r="A38" s="782"/>
      <c r="B38" s="786"/>
      <c r="C38" s="262"/>
      <c r="D38" s="789"/>
      <c r="E38" s="790"/>
      <c r="F38" s="782"/>
      <c r="G38" s="2004"/>
      <c r="H38" s="1978"/>
      <c r="I38" s="1768"/>
      <c r="J38" s="1865"/>
      <c r="K38" s="1978"/>
      <c r="L38" s="1865"/>
      <c r="M38" s="1978"/>
      <c r="N38" s="1768"/>
      <c r="O38" s="1994"/>
      <c r="P38" s="1997"/>
      <c r="Q38" s="1768"/>
      <c r="R38" s="1768"/>
      <c r="S38" s="776" t="s">
        <v>1512</v>
      </c>
      <c r="T38" s="777">
        <v>32850000</v>
      </c>
      <c r="U38" s="2004"/>
      <c r="V38" s="1896"/>
      <c r="W38" s="1978"/>
      <c r="X38" s="1978"/>
      <c r="Y38" s="1978"/>
      <c r="Z38" s="1978"/>
      <c r="AA38" s="1978"/>
      <c r="AB38" s="1978"/>
      <c r="AC38" s="1978"/>
      <c r="AD38" s="1978"/>
      <c r="AE38" s="1978"/>
      <c r="AF38" s="1978"/>
      <c r="AG38" s="1978"/>
      <c r="AH38" s="1978"/>
      <c r="AI38" s="732">
        <v>42737</v>
      </c>
      <c r="AJ38" s="461" t="s">
        <v>133</v>
      </c>
      <c r="AK38" s="455" t="s">
        <v>1443</v>
      </c>
    </row>
    <row r="39" spans="1:37" s="775" customFormat="1" ht="50.1" customHeight="1" x14ac:dyDescent="0.25">
      <c r="A39" s="782"/>
      <c r="B39" s="786"/>
      <c r="C39" s="262"/>
      <c r="D39" s="789"/>
      <c r="E39" s="790"/>
      <c r="F39" s="782"/>
      <c r="G39" s="2004"/>
      <c r="H39" s="1979"/>
      <c r="I39" s="1769"/>
      <c r="J39" s="1862"/>
      <c r="K39" s="1979"/>
      <c r="L39" s="1865"/>
      <c r="M39" s="1978"/>
      <c r="N39" s="1768"/>
      <c r="O39" s="1995"/>
      <c r="P39" s="1997"/>
      <c r="Q39" s="1768"/>
      <c r="R39" s="1769"/>
      <c r="S39" s="776" t="s">
        <v>1501</v>
      </c>
      <c r="T39" s="777">
        <v>368250000</v>
      </c>
      <c r="U39" s="2004"/>
      <c r="V39" s="1896"/>
      <c r="W39" s="1979"/>
      <c r="X39" s="1979"/>
      <c r="Y39" s="1979"/>
      <c r="Z39" s="1979"/>
      <c r="AA39" s="1979"/>
      <c r="AB39" s="1979"/>
      <c r="AC39" s="1979"/>
      <c r="AD39" s="1979"/>
      <c r="AE39" s="1979"/>
      <c r="AF39" s="1979"/>
      <c r="AG39" s="1979"/>
      <c r="AH39" s="1979"/>
      <c r="AI39" s="461" t="s">
        <v>1502</v>
      </c>
      <c r="AJ39" s="461" t="s">
        <v>1513</v>
      </c>
      <c r="AK39" s="455" t="s">
        <v>1443</v>
      </c>
    </row>
    <row r="40" spans="1:37" s="775" customFormat="1" ht="50.1" customHeight="1" x14ac:dyDescent="0.25">
      <c r="A40" s="782"/>
      <c r="B40" s="786"/>
      <c r="C40" s="262"/>
      <c r="D40" s="789"/>
      <c r="E40" s="790"/>
      <c r="F40" s="782"/>
      <c r="G40" s="2004"/>
      <c r="H40" s="1982">
        <v>56</v>
      </c>
      <c r="I40" s="1767" t="s">
        <v>1514</v>
      </c>
      <c r="J40" s="1861" t="s">
        <v>1515</v>
      </c>
      <c r="K40" s="1982">
        <v>3</v>
      </c>
      <c r="L40" s="1865"/>
      <c r="M40" s="1978"/>
      <c r="N40" s="1768"/>
      <c r="O40" s="1993">
        <f>+(T40+T41)/($P$33)</f>
        <v>0.29055577182023279</v>
      </c>
      <c r="P40" s="1997"/>
      <c r="Q40" s="1768"/>
      <c r="R40" s="1767" t="s">
        <v>1516</v>
      </c>
      <c r="S40" s="791" t="s">
        <v>1506</v>
      </c>
      <c r="T40" s="777">
        <v>300000000</v>
      </c>
      <c r="U40" s="2004"/>
      <c r="V40" s="1896"/>
      <c r="W40" s="1982">
        <v>37199</v>
      </c>
      <c r="X40" s="1982">
        <v>98821</v>
      </c>
      <c r="Y40" s="1982">
        <v>50922</v>
      </c>
      <c r="Z40" s="1982">
        <v>151591</v>
      </c>
      <c r="AA40" s="1982">
        <v>71991</v>
      </c>
      <c r="AB40" s="1982">
        <v>12178</v>
      </c>
      <c r="AC40" s="1982">
        <v>2145</v>
      </c>
      <c r="AD40" s="1982">
        <v>39704</v>
      </c>
      <c r="AE40" s="1982">
        <v>0</v>
      </c>
      <c r="AF40" s="1982">
        <v>0</v>
      </c>
      <c r="AG40" s="1982">
        <v>41543</v>
      </c>
      <c r="AH40" s="1982">
        <v>71991</v>
      </c>
      <c r="AI40" s="461" t="s">
        <v>1502</v>
      </c>
      <c r="AJ40" s="461" t="s">
        <v>133</v>
      </c>
      <c r="AK40" s="455" t="s">
        <v>1443</v>
      </c>
    </row>
    <row r="41" spans="1:37" s="775" customFormat="1" ht="50.1" customHeight="1" x14ac:dyDescent="0.25">
      <c r="A41" s="782"/>
      <c r="B41" s="786"/>
      <c r="C41" s="262"/>
      <c r="D41" s="789"/>
      <c r="E41" s="790"/>
      <c r="F41" s="782"/>
      <c r="G41" s="2005"/>
      <c r="H41" s="1979"/>
      <c r="I41" s="1769"/>
      <c r="J41" s="1862"/>
      <c r="K41" s="1979"/>
      <c r="L41" s="1862"/>
      <c r="M41" s="1979"/>
      <c r="N41" s="1769"/>
      <c r="O41" s="1995"/>
      <c r="P41" s="1998"/>
      <c r="Q41" s="1769"/>
      <c r="R41" s="1769"/>
      <c r="S41" s="791" t="s">
        <v>1517</v>
      </c>
      <c r="T41" s="777">
        <v>36000000</v>
      </c>
      <c r="U41" s="2005"/>
      <c r="V41" s="1897"/>
      <c r="W41" s="1979"/>
      <c r="X41" s="1979"/>
      <c r="Y41" s="1979"/>
      <c r="Z41" s="1979"/>
      <c r="AA41" s="1979"/>
      <c r="AB41" s="1979"/>
      <c r="AC41" s="1979"/>
      <c r="AD41" s="1979"/>
      <c r="AE41" s="1979"/>
      <c r="AF41" s="1979"/>
      <c r="AG41" s="1979"/>
      <c r="AH41" s="1979"/>
      <c r="AI41" s="461" t="s">
        <v>1518</v>
      </c>
      <c r="AJ41" s="461" t="s">
        <v>133</v>
      </c>
      <c r="AK41" s="455" t="s">
        <v>1443</v>
      </c>
    </row>
    <row r="42" spans="1:37" s="257" customFormat="1" ht="12.75" customHeight="1" x14ac:dyDescent="0.2">
      <c r="A42" s="782"/>
      <c r="B42" s="786"/>
      <c r="C42" s="262"/>
      <c r="D42" s="789"/>
      <c r="E42" s="790"/>
      <c r="F42" s="266" t="s">
        <v>1519</v>
      </c>
      <c r="G42" s="393"/>
      <c r="H42" s="393" t="s">
        <v>1520</v>
      </c>
      <c r="I42" s="56"/>
      <c r="J42" s="56"/>
      <c r="K42" s="81"/>
      <c r="L42" s="81"/>
      <c r="M42" s="81"/>
      <c r="N42" s="56"/>
      <c r="O42" s="81"/>
      <c r="P42" s="81"/>
      <c r="Q42" s="56"/>
      <c r="R42" s="56"/>
      <c r="S42" s="81"/>
      <c r="T42" s="81"/>
      <c r="U42" s="81"/>
      <c r="V42" s="81"/>
      <c r="W42" s="81"/>
      <c r="X42" s="81"/>
      <c r="Y42" s="81"/>
      <c r="Z42" s="81"/>
      <c r="AA42" s="81"/>
      <c r="AB42" s="81"/>
      <c r="AC42" s="81"/>
      <c r="AD42" s="81"/>
      <c r="AE42" s="81"/>
      <c r="AF42" s="81"/>
      <c r="AG42" s="81"/>
      <c r="AH42" s="81"/>
      <c r="AI42" s="81"/>
      <c r="AJ42" s="81"/>
      <c r="AK42" s="56"/>
    </row>
    <row r="43" spans="1:37" s="775" customFormat="1" ht="50.1" customHeight="1" x14ac:dyDescent="0.25">
      <c r="A43" s="782"/>
      <c r="B43" s="786"/>
      <c r="C43" s="262"/>
      <c r="D43" s="789"/>
      <c r="E43" s="790"/>
      <c r="F43" s="782"/>
      <c r="G43" s="2003"/>
      <c r="H43" s="1982">
        <v>57</v>
      </c>
      <c r="I43" s="1767" t="s">
        <v>1521</v>
      </c>
      <c r="J43" s="1861" t="s">
        <v>1522</v>
      </c>
      <c r="K43" s="1982">
        <v>12</v>
      </c>
      <c r="L43" s="1861" t="s">
        <v>1523</v>
      </c>
      <c r="M43" s="1982">
        <v>21</v>
      </c>
      <c r="N43" s="1767"/>
      <c r="O43" s="1993">
        <f>+(T43+T44+T45+T46+T47)/($P$43)</f>
        <v>0.64516793761261471</v>
      </c>
      <c r="P43" s="1996">
        <v>10186227185</v>
      </c>
      <c r="Q43" s="1767" t="s">
        <v>1524</v>
      </c>
      <c r="R43" s="1767" t="s">
        <v>1525</v>
      </c>
      <c r="S43" s="792" t="s">
        <v>1511</v>
      </c>
      <c r="T43" s="777">
        <v>120000000</v>
      </c>
      <c r="U43" s="2003" t="s">
        <v>1526</v>
      </c>
      <c r="V43" s="1895" t="s">
        <v>1527</v>
      </c>
      <c r="W43" s="1982">
        <v>37199</v>
      </c>
      <c r="X43" s="1982">
        <v>98821</v>
      </c>
      <c r="Y43" s="1982">
        <v>50922</v>
      </c>
      <c r="Z43" s="1982">
        <v>151591</v>
      </c>
      <c r="AA43" s="1982">
        <v>151591</v>
      </c>
      <c r="AB43" s="1982">
        <v>71991</v>
      </c>
      <c r="AC43" s="1982">
        <v>12718</v>
      </c>
      <c r="AD43" s="1982">
        <v>2145</v>
      </c>
      <c r="AE43" s="1982">
        <v>0</v>
      </c>
      <c r="AF43" s="1982">
        <v>0</v>
      </c>
      <c r="AG43" s="1982">
        <v>41543</v>
      </c>
      <c r="AH43" s="1982">
        <v>71991</v>
      </c>
      <c r="AI43" s="732">
        <v>42737</v>
      </c>
      <c r="AJ43" s="461" t="s">
        <v>133</v>
      </c>
      <c r="AK43" s="455" t="s">
        <v>1443</v>
      </c>
    </row>
    <row r="44" spans="1:37" s="775" customFormat="1" ht="50.1" customHeight="1" x14ac:dyDescent="0.25">
      <c r="A44" s="782"/>
      <c r="B44" s="786"/>
      <c r="C44" s="262"/>
      <c r="D44" s="789"/>
      <c r="E44" s="790"/>
      <c r="F44" s="782"/>
      <c r="G44" s="2004"/>
      <c r="H44" s="1978"/>
      <c r="I44" s="1768"/>
      <c r="J44" s="1865"/>
      <c r="K44" s="1978"/>
      <c r="L44" s="1865"/>
      <c r="M44" s="1978"/>
      <c r="N44" s="1768"/>
      <c r="O44" s="1994"/>
      <c r="P44" s="1997"/>
      <c r="Q44" s="1768"/>
      <c r="R44" s="1768"/>
      <c r="S44" s="791" t="s">
        <v>1512</v>
      </c>
      <c r="T44" s="777">
        <v>121410000</v>
      </c>
      <c r="U44" s="2004"/>
      <c r="V44" s="1896"/>
      <c r="W44" s="1978"/>
      <c r="X44" s="1978"/>
      <c r="Y44" s="1978"/>
      <c r="Z44" s="1978"/>
      <c r="AA44" s="1978"/>
      <c r="AB44" s="1978"/>
      <c r="AC44" s="1978"/>
      <c r="AD44" s="1978"/>
      <c r="AE44" s="1978"/>
      <c r="AF44" s="1978"/>
      <c r="AG44" s="1978"/>
      <c r="AH44" s="1978"/>
      <c r="AI44" s="461" t="s">
        <v>1502</v>
      </c>
      <c r="AJ44" s="461" t="s">
        <v>1503</v>
      </c>
      <c r="AK44" s="455" t="s">
        <v>1443</v>
      </c>
    </row>
    <row r="45" spans="1:37" s="775" customFormat="1" ht="50.1" customHeight="1" x14ac:dyDescent="0.25">
      <c r="A45" s="782"/>
      <c r="B45" s="786"/>
      <c r="C45" s="262"/>
      <c r="D45" s="789"/>
      <c r="E45" s="790"/>
      <c r="F45" s="782"/>
      <c r="G45" s="2004"/>
      <c r="H45" s="1978"/>
      <c r="I45" s="1768"/>
      <c r="J45" s="1865"/>
      <c r="K45" s="1978"/>
      <c r="L45" s="1865"/>
      <c r="M45" s="1978"/>
      <c r="N45" s="1768"/>
      <c r="O45" s="1994"/>
      <c r="P45" s="1997"/>
      <c r="Q45" s="1768"/>
      <c r="R45" s="1768"/>
      <c r="S45" s="791" t="s">
        <v>1501</v>
      </c>
      <c r="T45" s="777">
        <v>408700000</v>
      </c>
      <c r="U45" s="2004"/>
      <c r="V45" s="1896"/>
      <c r="W45" s="1978"/>
      <c r="X45" s="1978"/>
      <c r="Y45" s="1978"/>
      <c r="Z45" s="1978"/>
      <c r="AA45" s="1978"/>
      <c r="AB45" s="1978"/>
      <c r="AC45" s="1978"/>
      <c r="AD45" s="1978"/>
      <c r="AE45" s="1978"/>
      <c r="AF45" s="1978"/>
      <c r="AG45" s="1978"/>
      <c r="AH45" s="1978"/>
      <c r="AI45" s="461" t="s">
        <v>1502</v>
      </c>
      <c r="AJ45" s="732">
        <v>42742</v>
      </c>
      <c r="AK45" s="455" t="s">
        <v>1443</v>
      </c>
    </row>
    <row r="46" spans="1:37" s="775" customFormat="1" ht="50.1" customHeight="1" x14ac:dyDescent="0.25">
      <c r="A46" s="782"/>
      <c r="B46" s="786"/>
      <c r="C46" s="262"/>
      <c r="D46" s="789"/>
      <c r="E46" s="790"/>
      <c r="F46" s="782"/>
      <c r="G46" s="2004"/>
      <c r="H46" s="1978"/>
      <c r="I46" s="1768"/>
      <c r="J46" s="1865"/>
      <c r="K46" s="1978"/>
      <c r="L46" s="1865"/>
      <c r="M46" s="1978"/>
      <c r="N46" s="1768"/>
      <c r="O46" s="1994"/>
      <c r="P46" s="1997"/>
      <c r="Q46" s="1768"/>
      <c r="R46" s="1768"/>
      <c r="S46" s="791" t="s">
        <v>1506</v>
      </c>
      <c r="T46" s="777">
        <v>802807310</v>
      </c>
      <c r="U46" s="2004"/>
      <c r="V46" s="1896"/>
      <c r="W46" s="1978"/>
      <c r="X46" s="1978"/>
      <c r="Y46" s="1978"/>
      <c r="Z46" s="1978"/>
      <c r="AA46" s="1978"/>
      <c r="AB46" s="1978"/>
      <c r="AC46" s="1978"/>
      <c r="AD46" s="1978"/>
      <c r="AE46" s="1978"/>
      <c r="AF46" s="1978"/>
      <c r="AG46" s="1978"/>
      <c r="AH46" s="1978"/>
      <c r="AI46" s="732">
        <v>42740</v>
      </c>
      <c r="AJ46" s="461" t="s">
        <v>133</v>
      </c>
      <c r="AK46" s="455" t="s">
        <v>1443</v>
      </c>
    </row>
    <row r="47" spans="1:37" s="775" customFormat="1" ht="50.1" customHeight="1" x14ac:dyDescent="0.25">
      <c r="A47" s="782"/>
      <c r="B47" s="786"/>
      <c r="C47" s="262"/>
      <c r="D47" s="789"/>
      <c r="E47" s="790"/>
      <c r="F47" s="782"/>
      <c r="G47" s="2004"/>
      <c r="H47" s="1979"/>
      <c r="I47" s="1769"/>
      <c r="J47" s="1862"/>
      <c r="K47" s="1979"/>
      <c r="L47" s="1862"/>
      <c r="M47" s="1978"/>
      <c r="N47" s="1768"/>
      <c r="O47" s="1995"/>
      <c r="P47" s="1997"/>
      <c r="Q47" s="1768"/>
      <c r="R47" s="1768"/>
      <c r="S47" s="791" t="s">
        <v>1504</v>
      </c>
      <c r="T47" s="780">
        <v>5118909875</v>
      </c>
      <c r="U47" s="2004"/>
      <c r="V47" s="1896"/>
      <c r="W47" s="1979"/>
      <c r="X47" s="1979"/>
      <c r="Y47" s="1979"/>
      <c r="Z47" s="1979"/>
      <c r="AA47" s="1979"/>
      <c r="AB47" s="1979"/>
      <c r="AC47" s="1979"/>
      <c r="AD47" s="1979"/>
      <c r="AE47" s="1979"/>
      <c r="AF47" s="1979"/>
      <c r="AG47" s="1979"/>
      <c r="AH47" s="1979"/>
      <c r="AI47" s="461" t="s">
        <v>1499</v>
      </c>
      <c r="AJ47" s="732">
        <v>42738</v>
      </c>
      <c r="AK47" s="455" t="s">
        <v>1443</v>
      </c>
    </row>
    <row r="48" spans="1:37" s="775" customFormat="1" ht="98.25" customHeight="1" x14ac:dyDescent="0.25">
      <c r="A48" s="782"/>
      <c r="B48" s="786"/>
      <c r="C48" s="262"/>
      <c r="D48" s="789"/>
      <c r="E48" s="790"/>
      <c r="F48" s="782"/>
      <c r="G48" s="2004"/>
      <c r="H48" s="461">
        <v>58</v>
      </c>
      <c r="I48" s="455" t="s">
        <v>1529</v>
      </c>
      <c r="J48" s="65" t="s">
        <v>1530</v>
      </c>
      <c r="K48" s="461">
        <v>1</v>
      </c>
      <c r="L48" s="65" t="s">
        <v>1531</v>
      </c>
      <c r="M48" s="1978"/>
      <c r="N48" s="1768"/>
      <c r="O48" s="454">
        <f>+(+T48)/($P$43)</f>
        <v>4.9085887337785702E-3</v>
      </c>
      <c r="P48" s="1997"/>
      <c r="Q48" s="1768"/>
      <c r="R48" s="1768"/>
      <c r="S48" s="791" t="s">
        <v>1506</v>
      </c>
      <c r="T48" s="777">
        <v>50000000</v>
      </c>
      <c r="U48" s="2004"/>
      <c r="V48" s="1896"/>
      <c r="W48" s="776">
        <v>31719</v>
      </c>
      <c r="X48" s="776">
        <v>98821</v>
      </c>
      <c r="Y48" s="776">
        <v>50922</v>
      </c>
      <c r="Z48" s="776">
        <v>151591</v>
      </c>
      <c r="AA48" s="776">
        <v>151591</v>
      </c>
      <c r="AB48" s="776">
        <v>71991</v>
      </c>
      <c r="AC48" s="776">
        <v>12718</v>
      </c>
      <c r="AD48" s="776">
        <v>2145</v>
      </c>
      <c r="AE48" s="776">
        <v>0</v>
      </c>
      <c r="AF48" s="776">
        <v>0</v>
      </c>
      <c r="AG48" s="776">
        <v>41543</v>
      </c>
      <c r="AH48" s="776">
        <v>71991</v>
      </c>
      <c r="AI48" s="461" t="s">
        <v>1507</v>
      </c>
      <c r="AJ48" s="461" t="s">
        <v>133</v>
      </c>
      <c r="AK48" s="455" t="s">
        <v>1443</v>
      </c>
    </row>
    <row r="49" spans="1:37" s="775" customFormat="1" ht="50.1" customHeight="1" x14ac:dyDescent="0.25">
      <c r="A49" s="782"/>
      <c r="B49" s="786"/>
      <c r="C49" s="262"/>
      <c r="D49" s="789"/>
      <c r="E49" s="790"/>
      <c r="F49" s="782"/>
      <c r="G49" s="2004"/>
      <c r="H49" s="1982">
        <v>59</v>
      </c>
      <c r="I49" s="1767" t="s">
        <v>1532</v>
      </c>
      <c r="J49" s="1861" t="s">
        <v>1533</v>
      </c>
      <c r="K49" s="1982">
        <v>12</v>
      </c>
      <c r="L49" s="1861" t="s">
        <v>1523</v>
      </c>
      <c r="M49" s="1978"/>
      <c r="N49" s="1768"/>
      <c r="O49" s="1993">
        <f>+(T50+T51+T52+T53+T54+T49)/($P$43)</f>
        <v>0.24818806355731207</v>
      </c>
      <c r="P49" s="1997"/>
      <c r="Q49" s="1768"/>
      <c r="R49" s="1768"/>
      <c r="S49" s="793" t="s">
        <v>1495</v>
      </c>
      <c r="T49" s="777">
        <v>63000000</v>
      </c>
      <c r="U49" s="2004"/>
      <c r="V49" s="1896"/>
      <c r="W49" s="1982">
        <v>31719</v>
      </c>
      <c r="X49" s="1982">
        <v>98821</v>
      </c>
      <c r="Y49" s="1982">
        <v>50922</v>
      </c>
      <c r="Z49" s="1982">
        <v>151591</v>
      </c>
      <c r="AA49" s="1982">
        <v>151591</v>
      </c>
      <c r="AB49" s="1982">
        <v>71991</v>
      </c>
      <c r="AC49" s="1982">
        <v>12718</v>
      </c>
      <c r="AD49" s="1982">
        <v>2145</v>
      </c>
      <c r="AE49" s="1982">
        <v>0</v>
      </c>
      <c r="AF49" s="1982">
        <v>0</v>
      </c>
      <c r="AG49" s="1982">
        <v>41543</v>
      </c>
      <c r="AH49" s="1982">
        <v>71991</v>
      </c>
      <c r="AI49" s="732">
        <v>42737</v>
      </c>
      <c r="AJ49" s="461" t="s">
        <v>133</v>
      </c>
      <c r="AK49" s="455" t="s">
        <v>1443</v>
      </c>
    </row>
    <row r="50" spans="1:37" s="775" customFormat="1" ht="50.1" customHeight="1" x14ac:dyDescent="0.25">
      <c r="A50" s="782"/>
      <c r="B50" s="786"/>
      <c r="C50" s="262"/>
      <c r="D50" s="789"/>
      <c r="E50" s="790"/>
      <c r="F50" s="782"/>
      <c r="G50" s="2004"/>
      <c r="H50" s="1978"/>
      <c r="I50" s="1768"/>
      <c r="J50" s="1865"/>
      <c r="K50" s="1978"/>
      <c r="L50" s="1865"/>
      <c r="M50" s="1978"/>
      <c r="N50" s="1768"/>
      <c r="O50" s="1994"/>
      <c r="P50" s="1997"/>
      <c r="Q50" s="1768"/>
      <c r="R50" s="1768"/>
      <c r="S50" s="791" t="s">
        <v>1512</v>
      </c>
      <c r="T50" s="777">
        <v>26400000</v>
      </c>
      <c r="U50" s="2004"/>
      <c r="V50" s="1896"/>
      <c r="W50" s="1978"/>
      <c r="X50" s="1978"/>
      <c r="Y50" s="1978"/>
      <c r="Z50" s="1978"/>
      <c r="AA50" s="1978"/>
      <c r="AB50" s="1978"/>
      <c r="AC50" s="1978"/>
      <c r="AD50" s="1978"/>
      <c r="AE50" s="1978"/>
      <c r="AF50" s="1978"/>
      <c r="AG50" s="1978"/>
      <c r="AH50" s="1978"/>
      <c r="AI50" s="732">
        <v>42737</v>
      </c>
      <c r="AJ50" s="461" t="s">
        <v>1534</v>
      </c>
      <c r="AK50" s="455" t="s">
        <v>1443</v>
      </c>
    </row>
    <row r="51" spans="1:37" s="775" customFormat="1" ht="50.1" customHeight="1" x14ac:dyDescent="0.25">
      <c r="A51" s="782"/>
      <c r="B51" s="786"/>
      <c r="C51" s="262"/>
      <c r="D51" s="789"/>
      <c r="E51" s="790"/>
      <c r="F51" s="782"/>
      <c r="G51" s="2004"/>
      <c r="H51" s="1978"/>
      <c r="I51" s="1768"/>
      <c r="J51" s="1865"/>
      <c r="K51" s="1978"/>
      <c r="L51" s="1865"/>
      <c r="M51" s="1978"/>
      <c r="N51" s="1768"/>
      <c r="O51" s="1994"/>
      <c r="P51" s="1997"/>
      <c r="Q51" s="1768"/>
      <c r="R51" s="1768"/>
      <c r="S51" s="791" t="s">
        <v>1535</v>
      </c>
      <c r="T51" s="777">
        <v>19550000</v>
      </c>
      <c r="U51" s="2004"/>
      <c r="V51" s="1896"/>
      <c r="W51" s="1978"/>
      <c r="X51" s="1978"/>
      <c r="Y51" s="1978"/>
      <c r="Z51" s="1978"/>
      <c r="AA51" s="1978"/>
      <c r="AB51" s="1978"/>
      <c r="AC51" s="1978"/>
      <c r="AD51" s="1978"/>
      <c r="AE51" s="1978"/>
      <c r="AF51" s="1978"/>
      <c r="AG51" s="1978"/>
      <c r="AH51" s="1978"/>
      <c r="AI51" s="732" t="s">
        <v>1536</v>
      </c>
      <c r="AJ51" s="461" t="s">
        <v>133</v>
      </c>
      <c r="AK51" s="455" t="s">
        <v>1443</v>
      </c>
    </row>
    <row r="52" spans="1:37" s="775" customFormat="1" ht="50.1" customHeight="1" x14ac:dyDescent="0.25">
      <c r="A52" s="782"/>
      <c r="B52" s="786"/>
      <c r="C52" s="262"/>
      <c r="D52" s="789"/>
      <c r="E52" s="790"/>
      <c r="F52" s="782"/>
      <c r="G52" s="2004"/>
      <c r="H52" s="1978"/>
      <c r="I52" s="1768"/>
      <c r="J52" s="1865"/>
      <c r="K52" s="1978"/>
      <c r="L52" s="1865"/>
      <c r="M52" s="1978"/>
      <c r="N52" s="1768"/>
      <c r="O52" s="1994"/>
      <c r="P52" s="1997"/>
      <c r="Q52" s="1768"/>
      <c r="R52" s="1768"/>
      <c r="S52" s="791" t="s">
        <v>1501</v>
      </c>
      <c r="T52" s="777">
        <v>54375000</v>
      </c>
      <c r="U52" s="2004"/>
      <c r="V52" s="1896"/>
      <c r="W52" s="1978"/>
      <c r="X52" s="1978"/>
      <c r="Y52" s="1978"/>
      <c r="Z52" s="1978"/>
      <c r="AA52" s="1978"/>
      <c r="AB52" s="1978"/>
      <c r="AC52" s="1978"/>
      <c r="AD52" s="1978"/>
      <c r="AE52" s="1978"/>
      <c r="AF52" s="1978"/>
      <c r="AG52" s="1978"/>
      <c r="AH52" s="1978"/>
      <c r="AI52" s="732" t="s">
        <v>1502</v>
      </c>
      <c r="AJ52" s="732">
        <v>42800</v>
      </c>
      <c r="AK52" s="455" t="s">
        <v>1443</v>
      </c>
    </row>
    <row r="53" spans="1:37" s="775" customFormat="1" ht="50.1" customHeight="1" x14ac:dyDescent="0.25">
      <c r="A53" s="782"/>
      <c r="B53" s="786"/>
      <c r="C53" s="262"/>
      <c r="D53" s="789"/>
      <c r="E53" s="790"/>
      <c r="F53" s="782"/>
      <c r="G53" s="2004"/>
      <c r="H53" s="1978"/>
      <c r="I53" s="1768"/>
      <c r="J53" s="1865"/>
      <c r="K53" s="1978"/>
      <c r="L53" s="1865"/>
      <c r="M53" s="1978"/>
      <c r="N53" s="1768"/>
      <c r="O53" s="1994"/>
      <c r="P53" s="1997"/>
      <c r="Q53" s="1768"/>
      <c r="R53" s="1768"/>
      <c r="S53" s="791" t="s">
        <v>1517</v>
      </c>
      <c r="T53" s="777">
        <v>204775000</v>
      </c>
      <c r="U53" s="2004"/>
      <c r="V53" s="1896"/>
      <c r="W53" s="1978"/>
      <c r="X53" s="1978"/>
      <c r="Y53" s="1978"/>
      <c r="Z53" s="1978"/>
      <c r="AA53" s="1978"/>
      <c r="AB53" s="1978"/>
      <c r="AC53" s="1978"/>
      <c r="AD53" s="1978"/>
      <c r="AE53" s="1978"/>
      <c r="AF53" s="1978"/>
      <c r="AG53" s="1978"/>
      <c r="AH53" s="1978"/>
      <c r="AI53" s="732">
        <v>42740</v>
      </c>
      <c r="AJ53" s="461" t="s">
        <v>133</v>
      </c>
      <c r="AK53" s="455" t="s">
        <v>1443</v>
      </c>
    </row>
    <row r="54" spans="1:37" s="775" customFormat="1" ht="50.1" customHeight="1" x14ac:dyDescent="0.25">
      <c r="A54" s="782"/>
      <c r="B54" s="786"/>
      <c r="C54" s="262"/>
      <c r="D54" s="789"/>
      <c r="E54" s="790"/>
      <c r="F54" s="782"/>
      <c r="G54" s="2004"/>
      <c r="H54" s="1979"/>
      <c r="I54" s="1769"/>
      <c r="J54" s="1862"/>
      <c r="K54" s="1979"/>
      <c r="L54" s="1862"/>
      <c r="M54" s="1978"/>
      <c r="N54" s="1768"/>
      <c r="O54" s="1995"/>
      <c r="P54" s="1997"/>
      <c r="Q54" s="1768"/>
      <c r="R54" s="1768"/>
      <c r="S54" s="791" t="s">
        <v>1504</v>
      </c>
      <c r="T54" s="777">
        <v>2160000000</v>
      </c>
      <c r="U54" s="2004"/>
      <c r="V54" s="1896"/>
      <c r="W54" s="1979"/>
      <c r="X54" s="1979"/>
      <c r="Y54" s="1979"/>
      <c r="Z54" s="1979"/>
      <c r="AA54" s="1979"/>
      <c r="AB54" s="1979"/>
      <c r="AC54" s="1979"/>
      <c r="AD54" s="1979"/>
      <c r="AE54" s="1979"/>
      <c r="AF54" s="1979"/>
      <c r="AG54" s="1979"/>
      <c r="AH54" s="1979"/>
      <c r="AI54" s="794">
        <v>42006</v>
      </c>
      <c r="AJ54" s="461" t="s">
        <v>1537</v>
      </c>
      <c r="AK54" s="455" t="s">
        <v>1443</v>
      </c>
    </row>
    <row r="55" spans="1:37" s="775" customFormat="1" ht="93.75" customHeight="1" x14ac:dyDescent="0.25">
      <c r="A55" s="782"/>
      <c r="B55" s="786"/>
      <c r="C55" s="262"/>
      <c r="D55" s="789"/>
      <c r="E55" s="790"/>
      <c r="F55" s="782"/>
      <c r="G55" s="2004"/>
      <c r="H55" s="461">
        <v>60</v>
      </c>
      <c r="I55" s="455" t="s">
        <v>1538</v>
      </c>
      <c r="J55" s="65" t="s">
        <v>1539</v>
      </c>
      <c r="K55" s="461">
        <v>12</v>
      </c>
      <c r="L55" s="65" t="s">
        <v>1531</v>
      </c>
      <c r="M55" s="1978"/>
      <c r="N55" s="1768"/>
      <c r="O55" s="454">
        <f>+T55/$P$43</f>
        <v>4.9085887337785702E-3</v>
      </c>
      <c r="P55" s="1997"/>
      <c r="Q55" s="1768"/>
      <c r="R55" s="1768"/>
      <c r="S55" s="791" t="s">
        <v>1504</v>
      </c>
      <c r="T55" s="777">
        <v>50000000</v>
      </c>
      <c r="U55" s="2004"/>
      <c r="V55" s="1896"/>
      <c r="W55" s="776">
        <v>31719</v>
      </c>
      <c r="X55" s="776">
        <v>98821</v>
      </c>
      <c r="Y55" s="776">
        <v>50922</v>
      </c>
      <c r="Z55" s="776">
        <v>151591</v>
      </c>
      <c r="AA55" s="776">
        <v>151591</v>
      </c>
      <c r="AB55" s="776">
        <v>71991</v>
      </c>
      <c r="AC55" s="776">
        <v>12718</v>
      </c>
      <c r="AD55" s="776">
        <v>2145</v>
      </c>
      <c r="AE55" s="776">
        <v>0</v>
      </c>
      <c r="AF55" s="776">
        <v>0</v>
      </c>
      <c r="AG55" s="776">
        <v>41543</v>
      </c>
      <c r="AH55" s="776">
        <v>71991</v>
      </c>
      <c r="AI55" s="732" t="s">
        <v>133</v>
      </c>
      <c r="AJ55" s="461" t="s">
        <v>133</v>
      </c>
      <c r="AK55" s="455" t="s">
        <v>1443</v>
      </c>
    </row>
    <row r="56" spans="1:37" s="775" customFormat="1" ht="50.1" customHeight="1" x14ac:dyDescent="0.25">
      <c r="A56" s="782"/>
      <c r="B56" s="786"/>
      <c r="C56" s="262"/>
      <c r="D56" s="789"/>
      <c r="E56" s="790"/>
      <c r="F56" s="782"/>
      <c r="G56" s="2004"/>
      <c r="H56" s="1982">
        <v>61</v>
      </c>
      <c r="I56" s="1767" t="s">
        <v>1540</v>
      </c>
      <c r="J56" s="1861" t="s">
        <v>1541</v>
      </c>
      <c r="K56" s="1982">
        <v>2</v>
      </c>
      <c r="L56" s="1861" t="s">
        <v>1542</v>
      </c>
      <c r="M56" s="1978"/>
      <c r="N56" s="1768"/>
      <c r="O56" s="1993">
        <f>+(T56+T57)/P43</f>
        <v>3.3604198471448091E-2</v>
      </c>
      <c r="P56" s="1997"/>
      <c r="Q56" s="1768"/>
      <c r="R56" s="1768"/>
      <c r="S56" s="65" t="s">
        <v>1495</v>
      </c>
      <c r="T56" s="777">
        <v>94300000</v>
      </c>
      <c r="U56" s="2004"/>
      <c r="V56" s="1896"/>
      <c r="W56" s="776">
        <v>31719</v>
      </c>
      <c r="X56" s="776">
        <v>98821</v>
      </c>
      <c r="Y56" s="776">
        <v>50922</v>
      </c>
      <c r="Z56" s="776">
        <v>151591</v>
      </c>
      <c r="AA56" s="776">
        <v>151591</v>
      </c>
      <c r="AB56" s="776">
        <v>71991</v>
      </c>
      <c r="AC56" s="776">
        <v>12718</v>
      </c>
      <c r="AD56" s="776">
        <v>2145</v>
      </c>
      <c r="AE56" s="776">
        <v>0</v>
      </c>
      <c r="AF56" s="776">
        <v>0</v>
      </c>
      <c r="AG56" s="776">
        <v>41543</v>
      </c>
      <c r="AH56" s="776">
        <v>71991</v>
      </c>
      <c r="AI56" s="732">
        <v>42736</v>
      </c>
      <c r="AJ56" s="461" t="s">
        <v>1528</v>
      </c>
      <c r="AK56" s="455" t="s">
        <v>1443</v>
      </c>
    </row>
    <row r="57" spans="1:37" s="775" customFormat="1" ht="50.1" customHeight="1" x14ac:dyDescent="0.25">
      <c r="A57" s="782"/>
      <c r="B57" s="786"/>
      <c r="C57" s="262"/>
      <c r="D57" s="789"/>
      <c r="E57" s="790"/>
      <c r="F57" s="782"/>
      <c r="G57" s="2004"/>
      <c r="H57" s="1979"/>
      <c r="I57" s="1769"/>
      <c r="J57" s="1862"/>
      <c r="K57" s="1979"/>
      <c r="L57" s="1862"/>
      <c r="M57" s="1978"/>
      <c r="N57" s="1768"/>
      <c r="O57" s="1995"/>
      <c r="P57" s="1997"/>
      <c r="Q57" s="1768"/>
      <c r="R57" s="1768"/>
      <c r="S57" s="461" t="s">
        <v>1504</v>
      </c>
      <c r="T57" s="777">
        <v>248000000</v>
      </c>
      <c r="U57" s="2004"/>
      <c r="V57" s="1896"/>
      <c r="W57" s="776">
        <v>31719</v>
      </c>
      <c r="X57" s="776">
        <v>98821</v>
      </c>
      <c r="Y57" s="776">
        <v>50922</v>
      </c>
      <c r="Z57" s="776">
        <v>151591</v>
      </c>
      <c r="AA57" s="776">
        <v>151591</v>
      </c>
      <c r="AB57" s="776">
        <v>71991</v>
      </c>
      <c r="AC57" s="776">
        <v>12718</v>
      </c>
      <c r="AD57" s="776">
        <v>2145</v>
      </c>
      <c r="AE57" s="776">
        <v>0</v>
      </c>
      <c r="AF57" s="776">
        <v>0</v>
      </c>
      <c r="AG57" s="776">
        <v>41543</v>
      </c>
      <c r="AH57" s="776">
        <v>71991</v>
      </c>
      <c r="AI57" s="732" t="s">
        <v>1499</v>
      </c>
      <c r="AJ57" s="732">
        <v>42738</v>
      </c>
      <c r="AK57" s="455" t="s">
        <v>1443</v>
      </c>
    </row>
    <row r="58" spans="1:37" ht="88.5" customHeight="1" x14ac:dyDescent="0.2">
      <c r="A58" s="782"/>
      <c r="B58" s="786"/>
      <c r="C58" s="262"/>
      <c r="D58" s="789"/>
      <c r="E58" s="790"/>
      <c r="F58" s="782"/>
      <c r="G58" s="2004"/>
      <c r="H58" s="461">
        <v>62</v>
      </c>
      <c r="I58" s="817" t="s">
        <v>1543</v>
      </c>
      <c r="J58" s="795" t="s">
        <v>1544</v>
      </c>
      <c r="K58" s="796">
        <v>2</v>
      </c>
      <c r="L58" s="65" t="s">
        <v>1531</v>
      </c>
      <c r="M58" s="1978"/>
      <c r="N58" s="1768"/>
      <c r="O58" s="454">
        <f>+T58/$P$43</f>
        <v>2.1008759780572282E-2</v>
      </c>
      <c r="P58" s="1997"/>
      <c r="Q58" s="1768"/>
      <c r="R58" s="1768"/>
      <c r="S58" s="461" t="s">
        <v>1504</v>
      </c>
      <c r="T58" s="777">
        <v>214000000</v>
      </c>
      <c r="U58" s="2004"/>
      <c r="V58" s="1896"/>
      <c r="W58" s="776">
        <v>31719</v>
      </c>
      <c r="X58" s="776">
        <v>98821</v>
      </c>
      <c r="Y58" s="776">
        <v>50922</v>
      </c>
      <c r="Z58" s="776">
        <v>151591</v>
      </c>
      <c r="AA58" s="776">
        <v>151591</v>
      </c>
      <c r="AB58" s="776">
        <v>71991</v>
      </c>
      <c r="AC58" s="776">
        <v>12718</v>
      </c>
      <c r="AD58" s="776">
        <v>2145</v>
      </c>
      <c r="AE58" s="776">
        <v>0</v>
      </c>
      <c r="AF58" s="776">
        <v>0</v>
      </c>
      <c r="AG58" s="776">
        <v>41543</v>
      </c>
      <c r="AH58" s="776">
        <v>71991</v>
      </c>
      <c r="AI58" s="732" t="s">
        <v>1499</v>
      </c>
      <c r="AJ58" s="461" t="s">
        <v>1528</v>
      </c>
      <c r="AK58" s="455" t="s">
        <v>1443</v>
      </c>
    </row>
    <row r="59" spans="1:37" ht="66.75" customHeight="1" x14ac:dyDescent="0.2">
      <c r="A59" s="782"/>
      <c r="B59" s="786"/>
      <c r="C59" s="262"/>
      <c r="D59" s="789"/>
      <c r="E59" s="790"/>
      <c r="F59" s="782"/>
      <c r="G59" s="2004"/>
      <c r="H59" s="461">
        <v>63</v>
      </c>
      <c r="I59" s="817" t="s">
        <v>1545</v>
      </c>
      <c r="J59" s="795" t="s">
        <v>1546</v>
      </c>
      <c r="K59" s="461">
        <v>250</v>
      </c>
      <c r="L59" s="65" t="s">
        <v>1531</v>
      </c>
      <c r="M59" s="1978"/>
      <c r="N59" s="1768"/>
      <c r="O59" s="454">
        <f>+T59/$P$43</f>
        <v>3.9268709870228562E-2</v>
      </c>
      <c r="P59" s="1997"/>
      <c r="Q59" s="1768"/>
      <c r="R59" s="1768"/>
      <c r="S59" s="461" t="s">
        <v>1504</v>
      </c>
      <c r="T59" s="777">
        <v>400000000</v>
      </c>
      <c r="U59" s="2004"/>
      <c r="V59" s="1896"/>
      <c r="W59" s="776">
        <v>31719</v>
      </c>
      <c r="X59" s="776">
        <v>98821</v>
      </c>
      <c r="Y59" s="776">
        <v>50922</v>
      </c>
      <c r="Z59" s="776">
        <v>151591</v>
      </c>
      <c r="AA59" s="776">
        <v>151591</v>
      </c>
      <c r="AB59" s="776">
        <v>71991</v>
      </c>
      <c r="AC59" s="776">
        <v>12718</v>
      </c>
      <c r="AD59" s="776">
        <v>2145</v>
      </c>
      <c r="AE59" s="776">
        <v>0</v>
      </c>
      <c r="AF59" s="776">
        <v>0</v>
      </c>
      <c r="AG59" s="776">
        <v>41543</v>
      </c>
      <c r="AH59" s="776">
        <v>71991</v>
      </c>
      <c r="AI59" s="732" t="s">
        <v>133</v>
      </c>
      <c r="AJ59" s="461" t="s">
        <v>133</v>
      </c>
      <c r="AK59" s="455" t="s">
        <v>1443</v>
      </c>
    </row>
    <row r="60" spans="1:37" ht="50.1" customHeight="1" x14ac:dyDescent="0.2">
      <c r="A60" s="782"/>
      <c r="B60" s="786"/>
      <c r="C60" s="262"/>
      <c r="D60" s="789"/>
      <c r="E60" s="790"/>
      <c r="F60" s="782"/>
      <c r="G60" s="2004"/>
      <c r="H60" s="1982">
        <v>64</v>
      </c>
      <c r="I60" s="2009" t="s">
        <v>1547</v>
      </c>
      <c r="J60" s="1861" t="s">
        <v>1548</v>
      </c>
      <c r="K60" s="1982">
        <v>1</v>
      </c>
      <c r="L60" s="1861" t="s">
        <v>1531</v>
      </c>
      <c r="M60" s="1978"/>
      <c r="N60" s="1768"/>
      <c r="O60" s="1993">
        <f>+(T60+T61)/$P$43</f>
        <v>2.945153240267142E-3</v>
      </c>
      <c r="P60" s="1997"/>
      <c r="Q60" s="1768"/>
      <c r="R60" s="1768"/>
      <c r="S60" s="442" t="s">
        <v>1495</v>
      </c>
      <c r="T60" s="777">
        <v>5400000</v>
      </c>
      <c r="U60" s="2004"/>
      <c r="V60" s="1896"/>
      <c r="W60" s="776">
        <v>31719</v>
      </c>
      <c r="X60" s="776">
        <v>98821</v>
      </c>
      <c r="Y60" s="776">
        <v>50922</v>
      </c>
      <c r="Z60" s="776">
        <v>151591</v>
      </c>
      <c r="AA60" s="776">
        <v>151591</v>
      </c>
      <c r="AB60" s="776">
        <v>71991</v>
      </c>
      <c r="AC60" s="776">
        <v>12718</v>
      </c>
      <c r="AD60" s="776">
        <v>2145</v>
      </c>
      <c r="AE60" s="776">
        <v>0</v>
      </c>
      <c r="AF60" s="776">
        <v>0</v>
      </c>
      <c r="AG60" s="776">
        <v>41543</v>
      </c>
      <c r="AH60" s="776">
        <v>71991</v>
      </c>
      <c r="AI60" s="732" t="s">
        <v>133</v>
      </c>
      <c r="AJ60" s="461" t="s">
        <v>133</v>
      </c>
      <c r="AK60" s="455" t="s">
        <v>1443</v>
      </c>
    </row>
    <row r="61" spans="1:37" ht="50.1" customHeight="1" x14ac:dyDescent="0.2">
      <c r="A61" s="783"/>
      <c r="B61" s="797"/>
      <c r="C61" s="267"/>
      <c r="D61" s="798"/>
      <c r="E61" s="799"/>
      <c r="F61" s="783"/>
      <c r="G61" s="2005"/>
      <c r="H61" s="1979"/>
      <c r="I61" s="2010"/>
      <c r="J61" s="1862"/>
      <c r="K61" s="1979"/>
      <c r="L61" s="1862"/>
      <c r="M61" s="1979"/>
      <c r="N61" s="1769"/>
      <c r="O61" s="1995">
        <f t="shared" ref="O61" si="0">+T61/$P$43</f>
        <v>2.4150256570190567E-3</v>
      </c>
      <c r="P61" s="1998"/>
      <c r="Q61" s="1769"/>
      <c r="R61" s="1769"/>
      <c r="S61" s="461" t="s">
        <v>1501</v>
      </c>
      <c r="T61" s="777">
        <v>24600000</v>
      </c>
      <c r="U61" s="2005"/>
      <c r="V61" s="1897"/>
      <c r="W61" s="776">
        <v>31719</v>
      </c>
      <c r="X61" s="776">
        <v>98821</v>
      </c>
      <c r="Y61" s="776">
        <v>50922</v>
      </c>
      <c r="Z61" s="776">
        <v>151591</v>
      </c>
      <c r="AA61" s="776">
        <v>151591</v>
      </c>
      <c r="AB61" s="776">
        <v>71991</v>
      </c>
      <c r="AC61" s="776">
        <v>12718</v>
      </c>
      <c r="AD61" s="776">
        <v>2145</v>
      </c>
      <c r="AE61" s="776">
        <v>0</v>
      </c>
      <c r="AF61" s="776">
        <v>0</v>
      </c>
      <c r="AG61" s="776">
        <v>41543</v>
      </c>
      <c r="AH61" s="776">
        <v>71991</v>
      </c>
      <c r="AI61" s="732" t="s">
        <v>133</v>
      </c>
      <c r="AJ61" s="461" t="s">
        <v>133</v>
      </c>
      <c r="AK61" s="455" t="s">
        <v>1443</v>
      </c>
    </row>
    <row r="62" spans="1:37" s="808" customFormat="1" ht="11.25" customHeight="1" x14ac:dyDescent="0.25">
      <c r="A62" s="774"/>
      <c r="B62" s="665"/>
      <c r="C62" s="665"/>
      <c r="D62" s="665"/>
      <c r="E62" s="665"/>
      <c r="F62" s="665"/>
      <c r="G62" s="665"/>
      <c r="H62" s="665"/>
      <c r="I62" s="814"/>
      <c r="J62" s="800"/>
      <c r="K62" s="800"/>
      <c r="L62" s="801"/>
      <c r="M62" s="665"/>
      <c r="N62" s="815"/>
      <c r="O62" s="665"/>
      <c r="P62" s="802"/>
      <c r="Q62" s="814"/>
      <c r="R62" s="814"/>
      <c r="S62" s="803" t="s">
        <v>120</v>
      </c>
      <c r="T62" s="804">
        <f>SUM(T12:T61)</f>
        <v>14469840704</v>
      </c>
      <c r="U62" s="805"/>
      <c r="V62" s="806"/>
      <c r="W62" s="800"/>
      <c r="X62" s="800"/>
      <c r="Y62" s="800"/>
      <c r="Z62" s="800"/>
      <c r="AA62" s="800"/>
      <c r="AB62" s="800"/>
      <c r="AC62" s="800"/>
      <c r="AD62" s="800"/>
      <c r="AE62" s="800"/>
      <c r="AF62" s="800"/>
      <c r="AG62" s="800"/>
      <c r="AH62" s="800"/>
      <c r="AI62" s="809"/>
      <c r="AJ62" s="809"/>
    </row>
    <row r="63" spans="1:37" ht="11.25" customHeight="1" x14ac:dyDescent="0.2">
      <c r="L63" s="103"/>
      <c r="M63" s="810"/>
      <c r="N63" s="816"/>
      <c r="O63" s="810"/>
      <c r="P63" s="811"/>
      <c r="S63" s="155"/>
      <c r="T63" s="812"/>
    </row>
    <row r="64" spans="1:37" ht="11.25" customHeight="1" x14ac:dyDescent="0.2">
      <c r="L64" s="103"/>
      <c r="M64" s="810"/>
      <c r="N64" s="816"/>
      <c r="O64" s="810"/>
      <c r="P64" s="810"/>
    </row>
    <row r="65" spans="1:37" ht="19.5" customHeight="1" x14ac:dyDescent="0.25">
      <c r="A65" s="2006" t="s">
        <v>1498</v>
      </c>
      <c r="B65" s="2006"/>
      <c r="C65" s="2006"/>
      <c r="D65" s="2006"/>
      <c r="E65" s="2006"/>
      <c r="F65" s="2006"/>
      <c r="G65" s="2006"/>
      <c r="H65" s="2006"/>
      <c r="I65" s="2006"/>
      <c r="J65" s="2006"/>
      <c r="K65" s="2006"/>
      <c r="L65" s="2006"/>
      <c r="M65" s="2006"/>
      <c r="N65" s="2006"/>
      <c r="O65" s="2006"/>
      <c r="P65" s="2006"/>
      <c r="Q65" s="2006"/>
      <c r="R65" s="2006"/>
      <c r="S65" s="2006"/>
      <c r="T65" s="2006"/>
      <c r="U65" s="2006"/>
      <c r="V65" s="2006"/>
      <c r="W65" s="2006"/>
      <c r="X65" s="2006"/>
      <c r="Y65" s="2006"/>
      <c r="Z65" s="2006"/>
      <c r="AA65" s="2006"/>
      <c r="AB65" s="2006"/>
      <c r="AC65" s="2006"/>
      <c r="AD65" s="2006"/>
      <c r="AE65" s="2006"/>
      <c r="AF65" s="2006"/>
      <c r="AG65" s="2006"/>
      <c r="AH65" s="2006"/>
      <c r="AI65" s="2006"/>
      <c r="AJ65" s="2006"/>
      <c r="AK65" s="2006"/>
    </row>
    <row r="66" spans="1:37" ht="11.25" customHeight="1" x14ac:dyDescent="0.25">
      <c r="A66" s="2007" t="s">
        <v>1549</v>
      </c>
      <c r="B66" s="2007"/>
      <c r="C66" s="2007"/>
      <c r="D66" s="2007"/>
      <c r="E66" s="2007"/>
      <c r="F66" s="2007"/>
      <c r="G66" s="2007"/>
      <c r="H66" s="2007"/>
      <c r="I66" s="2007"/>
      <c r="J66" s="2007"/>
      <c r="K66" s="2007"/>
      <c r="L66" s="2007"/>
      <c r="M66" s="2007"/>
      <c r="N66" s="2007"/>
      <c r="O66" s="2007"/>
      <c r="P66" s="2007"/>
      <c r="Q66" s="2007"/>
      <c r="R66" s="2007"/>
      <c r="S66" s="2007"/>
      <c r="T66" s="2007"/>
      <c r="U66" s="2007"/>
      <c r="V66" s="2007"/>
      <c r="W66" s="2007"/>
      <c r="X66" s="2007"/>
      <c r="Y66" s="2007"/>
      <c r="Z66" s="2007"/>
      <c r="AA66" s="2007"/>
      <c r="AB66" s="2007"/>
      <c r="AC66" s="2007"/>
      <c r="AD66" s="2007"/>
      <c r="AE66" s="2007"/>
      <c r="AF66" s="2007"/>
      <c r="AG66" s="2007"/>
      <c r="AH66" s="2007"/>
      <c r="AI66" s="2007"/>
      <c r="AJ66" s="2007"/>
      <c r="AK66" s="2007"/>
    </row>
    <row r="67" spans="1:37" ht="11.25" customHeight="1" x14ac:dyDescent="0.2">
      <c r="A67" s="2008" t="s">
        <v>1550</v>
      </c>
      <c r="B67" s="2008"/>
      <c r="C67" s="2008"/>
      <c r="D67" s="2008"/>
      <c r="E67" s="2008"/>
      <c r="F67" s="2008"/>
      <c r="G67" s="2008"/>
      <c r="H67" s="2008"/>
      <c r="I67" s="2008"/>
      <c r="J67" s="2008"/>
      <c r="K67" s="2008"/>
      <c r="L67" s="2008"/>
      <c r="M67" s="2008"/>
      <c r="N67" s="2008"/>
      <c r="O67" s="2008"/>
      <c r="P67" s="2008"/>
      <c r="Q67" s="2008"/>
      <c r="R67" s="2008"/>
      <c r="S67" s="2008"/>
      <c r="T67" s="2008"/>
      <c r="U67" s="2008"/>
      <c r="V67" s="2008"/>
      <c r="W67" s="2008"/>
      <c r="X67" s="2008"/>
      <c r="Y67" s="2008"/>
      <c r="Z67" s="2008"/>
      <c r="AA67" s="2008"/>
      <c r="AB67" s="2008"/>
      <c r="AC67" s="2008"/>
      <c r="AD67" s="2008"/>
      <c r="AE67" s="2008"/>
      <c r="AF67" s="2008"/>
      <c r="AG67" s="2008"/>
      <c r="AH67" s="2008"/>
      <c r="AI67" s="2008"/>
      <c r="AJ67" s="2008"/>
      <c r="AK67" s="2008"/>
    </row>
    <row r="68" spans="1:37" ht="11.25" customHeight="1" x14ac:dyDescent="0.2">
      <c r="L68" s="103"/>
      <c r="M68" s="810"/>
      <c r="N68" s="816"/>
    </row>
    <row r="69" spans="1:37" ht="11.25" customHeight="1" x14ac:dyDescent="0.2">
      <c r="L69" s="103"/>
      <c r="M69" s="810"/>
      <c r="N69" s="816"/>
    </row>
    <row r="70" spans="1:37" ht="11.25" customHeight="1" x14ac:dyDescent="0.2">
      <c r="L70" s="103"/>
      <c r="M70" s="810"/>
      <c r="N70" s="816"/>
    </row>
    <row r="71" spans="1:37" x14ac:dyDescent="0.2">
      <c r="L71" s="163"/>
      <c r="M71" s="810"/>
      <c r="N71" s="816"/>
    </row>
  </sheetData>
  <mergeCells count="313">
    <mergeCell ref="A65:AK65"/>
    <mergeCell ref="A66:AK66"/>
    <mergeCell ref="A67:AK67"/>
    <mergeCell ref="H60:H61"/>
    <mergeCell ref="I60:I61"/>
    <mergeCell ref="J60:J61"/>
    <mergeCell ref="K60:K61"/>
    <mergeCell ref="L60:L61"/>
    <mergeCell ref="H56:H57"/>
    <mergeCell ref="I56:I57"/>
    <mergeCell ref="J56:J57"/>
    <mergeCell ref="K56:K57"/>
    <mergeCell ref="L56:L57"/>
    <mergeCell ref="O56:O57"/>
    <mergeCell ref="R43:R61"/>
    <mergeCell ref="U43:U61"/>
    <mergeCell ref="V43:V61"/>
    <mergeCell ref="W43:W47"/>
    <mergeCell ref="X43:X47"/>
    <mergeCell ref="W49:W54"/>
    <mergeCell ref="X49:X54"/>
    <mergeCell ref="Z49:Z54"/>
    <mergeCell ref="AA49:AA54"/>
    <mergeCell ref="G43:G61"/>
    <mergeCell ref="AH43:AH47"/>
    <mergeCell ref="H49:H54"/>
    <mergeCell ref="I49:I54"/>
    <mergeCell ref="J49:J54"/>
    <mergeCell ref="K49:K54"/>
    <mergeCell ref="L49:L54"/>
    <mergeCell ref="O49:O54"/>
    <mergeCell ref="AE43:AE47"/>
    <mergeCell ref="AF43:AF47"/>
    <mergeCell ref="AG43:AG47"/>
    <mergeCell ref="AB43:AB47"/>
    <mergeCell ref="AC43:AC47"/>
    <mergeCell ref="AH49:AH54"/>
    <mergeCell ref="AG49:AG54"/>
    <mergeCell ref="AD43:AD47"/>
    <mergeCell ref="Y43:Y47"/>
    <mergeCell ref="Z43:Z47"/>
    <mergeCell ref="AA43:AA47"/>
    <mergeCell ref="AF40:AF41"/>
    <mergeCell ref="AA40:AA41"/>
    <mergeCell ref="AB40:AB41"/>
    <mergeCell ref="AC40:AC41"/>
    <mergeCell ref="X40:X41"/>
    <mergeCell ref="Y40:Y41"/>
    <mergeCell ref="L43:L47"/>
    <mergeCell ref="M43:M61"/>
    <mergeCell ref="N43:N61"/>
    <mergeCell ref="O43:O47"/>
    <mergeCell ref="P43:P61"/>
    <mergeCell ref="Q43:Q61"/>
    <mergeCell ref="O60:O61"/>
    <mergeCell ref="Z40:Z41"/>
    <mergeCell ref="M33:M41"/>
    <mergeCell ref="N33:N41"/>
    <mergeCell ref="O33:O36"/>
    <mergeCell ref="AE33:AE36"/>
    <mergeCell ref="AE49:AE54"/>
    <mergeCell ref="Y49:Y54"/>
    <mergeCell ref="AF49:AF54"/>
    <mergeCell ref="AB49:AB54"/>
    <mergeCell ref="AC49:AC54"/>
    <mergeCell ref="AD49:AD54"/>
    <mergeCell ref="O37:O39"/>
    <mergeCell ref="R37:R39"/>
    <mergeCell ref="W37:W39"/>
    <mergeCell ref="H43:H47"/>
    <mergeCell ref="I43:I47"/>
    <mergeCell ref="J43:J47"/>
    <mergeCell ref="K43:K47"/>
    <mergeCell ref="AD40:AD41"/>
    <mergeCell ref="AE40:AE41"/>
    <mergeCell ref="AH27:AH29"/>
    <mergeCell ref="AC27:AC29"/>
    <mergeCell ref="AD27:AD29"/>
    <mergeCell ref="AE27:AE29"/>
    <mergeCell ref="AH37:AH39"/>
    <mergeCell ref="AF37:AF39"/>
    <mergeCell ref="H40:H41"/>
    <mergeCell ref="I40:I41"/>
    <mergeCell ref="J40:J41"/>
    <mergeCell ref="K40:K41"/>
    <mergeCell ref="O40:O41"/>
    <mergeCell ref="R40:R41"/>
    <mergeCell ref="W40:W41"/>
    <mergeCell ref="AE37:AE39"/>
    <mergeCell ref="Y37:Y39"/>
    <mergeCell ref="AG37:AG39"/>
    <mergeCell ref="AB37:AB39"/>
    <mergeCell ref="AC37:AC39"/>
    <mergeCell ref="AD37:AD39"/>
    <mergeCell ref="AH40:AH41"/>
    <mergeCell ref="AG40:AG41"/>
    <mergeCell ref="P33:P41"/>
    <mergeCell ref="Q33:Q41"/>
    <mergeCell ref="R33:R36"/>
    <mergeCell ref="Z27:Z29"/>
    <mergeCell ref="AD33:AD36"/>
    <mergeCell ref="Y33:Y36"/>
    <mergeCell ref="Z33:Z36"/>
    <mergeCell ref="AA33:AA36"/>
    <mergeCell ref="AH33:AH36"/>
    <mergeCell ref="AA27:AA29"/>
    <mergeCell ref="AB27:AB29"/>
    <mergeCell ref="V27:V29"/>
    <mergeCell ref="W27:W29"/>
    <mergeCell ref="X27:X29"/>
    <mergeCell ref="Y27:Y29"/>
    <mergeCell ref="V33:V41"/>
    <mergeCell ref="W33:W36"/>
    <mergeCell ref="X33:X36"/>
    <mergeCell ref="X37:X39"/>
    <mergeCell ref="Z37:Z39"/>
    <mergeCell ref="AA37:AA39"/>
    <mergeCell ref="AF33:AF36"/>
    <mergeCell ref="AG33:AG36"/>
    <mergeCell ref="AB33:AB36"/>
    <mergeCell ref="AC33:AC36"/>
    <mergeCell ref="AF27:AF29"/>
    <mergeCell ref="AG27:AG29"/>
    <mergeCell ref="R28:R29"/>
    <mergeCell ref="D31:K31"/>
    <mergeCell ref="G33:G41"/>
    <mergeCell ref="H33:H36"/>
    <mergeCell ref="I33:I36"/>
    <mergeCell ref="J33:J36"/>
    <mergeCell ref="K33:K36"/>
    <mergeCell ref="L33:L41"/>
    <mergeCell ref="U33:U41"/>
    <mergeCell ref="H37:H39"/>
    <mergeCell ref="I37:I39"/>
    <mergeCell ref="J37:J39"/>
    <mergeCell ref="M27:M29"/>
    <mergeCell ref="N27:N29"/>
    <mergeCell ref="O27:O29"/>
    <mergeCell ref="P27:P29"/>
    <mergeCell ref="Q27:Q29"/>
    <mergeCell ref="U27:U29"/>
    <mergeCell ref="H27:H29"/>
    <mergeCell ref="I27:I29"/>
    <mergeCell ref="J27:J29"/>
    <mergeCell ref="K27:K29"/>
    <mergeCell ref="L27:L29"/>
    <mergeCell ref="K37:K39"/>
    <mergeCell ref="U25:U26"/>
    <mergeCell ref="V25:V26"/>
    <mergeCell ref="AH20:AH24"/>
    <mergeCell ref="Z20:Z24"/>
    <mergeCell ref="U20:U24"/>
    <mergeCell ref="V20:V24"/>
    <mergeCell ref="W20:W24"/>
    <mergeCell ref="O20:O24"/>
    <mergeCell ref="P20:P24"/>
    <mergeCell ref="Z25:Z26"/>
    <mergeCell ref="AA25:AA26"/>
    <mergeCell ref="AB25:AB26"/>
    <mergeCell ref="W25:W26"/>
    <mergeCell ref="X25:X26"/>
    <mergeCell ref="Y25:Y26"/>
    <mergeCell ref="AF25:AF26"/>
    <mergeCell ref="AG25:AG26"/>
    <mergeCell ref="AH25:AH26"/>
    <mergeCell ref="AC25:AC26"/>
    <mergeCell ref="AD25:AD26"/>
    <mergeCell ref="AE25:AE26"/>
    <mergeCell ref="M20:M24"/>
    <mergeCell ref="N20:N24"/>
    <mergeCell ref="AH18:AH19"/>
    <mergeCell ref="AE18:AE19"/>
    <mergeCell ref="AF18:AF19"/>
    <mergeCell ref="H25:H26"/>
    <mergeCell ref="I25:I26"/>
    <mergeCell ref="J25:J26"/>
    <mergeCell ref="K25:K26"/>
    <mergeCell ref="L25:L26"/>
    <mergeCell ref="M25:M26"/>
    <mergeCell ref="AG20:AG24"/>
    <mergeCell ref="AD20:AD24"/>
    <mergeCell ref="AE20:AE24"/>
    <mergeCell ref="AF20:AF24"/>
    <mergeCell ref="AA20:AA24"/>
    <mergeCell ref="AB20:AB24"/>
    <mergeCell ref="AC20:AC24"/>
    <mergeCell ref="X20:X24"/>
    <mergeCell ref="Y20:Y24"/>
    <mergeCell ref="N25:N26"/>
    <mergeCell ref="O25:O26"/>
    <mergeCell ref="P25:P26"/>
    <mergeCell ref="Q25:Q26"/>
    <mergeCell ref="AG18:AG19"/>
    <mergeCell ref="AB18:AB19"/>
    <mergeCell ref="AC18:AC19"/>
    <mergeCell ref="AD18:AD19"/>
    <mergeCell ref="Y18:Y19"/>
    <mergeCell ref="Z18:Z19"/>
    <mergeCell ref="AA18:AA19"/>
    <mergeCell ref="Q20:Q24"/>
    <mergeCell ref="R20:R24"/>
    <mergeCell ref="S20:S24"/>
    <mergeCell ref="T20:T24"/>
    <mergeCell ref="AB16:AB17"/>
    <mergeCell ref="AC16:AC17"/>
    <mergeCell ref="H16:H17"/>
    <mergeCell ref="I16:I17"/>
    <mergeCell ref="M16:M17"/>
    <mergeCell ref="AD16:AD17"/>
    <mergeCell ref="Y16:Y17"/>
    <mergeCell ref="U18:U19"/>
    <mergeCell ref="V18:V19"/>
    <mergeCell ref="W18:W19"/>
    <mergeCell ref="X18:X19"/>
    <mergeCell ref="W16:W17"/>
    <mergeCell ref="X16:X17"/>
    <mergeCell ref="O18:O19"/>
    <mergeCell ref="P18:P19"/>
    <mergeCell ref="Q18:Q19"/>
    <mergeCell ref="R18:R19"/>
    <mergeCell ref="S18:S19"/>
    <mergeCell ref="T18:T19"/>
    <mergeCell ref="AB12:AB15"/>
    <mergeCell ref="AC12:AC15"/>
    <mergeCell ref="Z12:Z15"/>
    <mergeCell ref="R14:R15"/>
    <mergeCell ref="AH12:AH15"/>
    <mergeCell ref="N16:N17"/>
    <mergeCell ref="O16:O17"/>
    <mergeCell ref="P16:P17"/>
    <mergeCell ref="AG12:AG15"/>
    <mergeCell ref="AD12:AD15"/>
    <mergeCell ref="AE12:AE15"/>
    <mergeCell ref="AF12:AF15"/>
    <mergeCell ref="AA12:AA15"/>
    <mergeCell ref="Z16:Z17"/>
    <mergeCell ref="AA16:AA17"/>
    <mergeCell ref="Q16:Q17"/>
    <mergeCell ref="S16:S17"/>
    <mergeCell ref="U16:U17"/>
    <mergeCell ref="X12:X15"/>
    <mergeCell ref="Y12:Y15"/>
    <mergeCell ref="AH16:AH17"/>
    <mergeCell ref="AE16:AE17"/>
    <mergeCell ref="AF16:AF17"/>
    <mergeCell ref="AG16:AG17"/>
    <mergeCell ref="D10:K10"/>
    <mergeCell ref="D11:E29"/>
    <mergeCell ref="G11:K11"/>
    <mergeCell ref="T12:T13"/>
    <mergeCell ref="U12:U15"/>
    <mergeCell ref="V12:V15"/>
    <mergeCell ref="W12:W15"/>
    <mergeCell ref="N12:N15"/>
    <mergeCell ref="O12:O15"/>
    <mergeCell ref="P12:P15"/>
    <mergeCell ref="Q12:Q15"/>
    <mergeCell ref="R12:R13"/>
    <mergeCell ref="S12:S13"/>
    <mergeCell ref="H18:H19"/>
    <mergeCell ref="I18:I19"/>
    <mergeCell ref="J18:J19"/>
    <mergeCell ref="K18:K19"/>
    <mergeCell ref="M18:M19"/>
    <mergeCell ref="N18:N19"/>
    <mergeCell ref="H20:H24"/>
    <mergeCell ref="I20:I24"/>
    <mergeCell ref="J20:J24"/>
    <mergeCell ref="K20:K24"/>
    <mergeCell ref="L20:L24"/>
    <mergeCell ref="A12:A29"/>
    <mergeCell ref="B12:B29"/>
    <mergeCell ref="C12:C29"/>
    <mergeCell ref="F12:F29"/>
    <mergeCell ref="G12:G29"/>
    <mergeCell ref="H12:H15"/>
    <mergeCell ref="U7:U8"/>
    <mergeCell ref="V7:V8"/>
    <mergeCell ref="N7:N8"/>
    <mergeCell ref="O7:O8"/>
    <mergeCell ref="P7:P8"/>
    <mergeCell ref="Q7:Q8"/>
    <mergeCell ref="R7:R8"/>
    <mergeCell ref="S7:S8"/>
    <mergeCell ref="H7:H8"/>
    <mergeCell ref="I7:I8"/>
    <mergeCell ref="J7:J8"/>
    <mergeCell ref="L7:L8"/>
    <mergeCell ref="M7:M8"/>
    <mergeCell ref="I12:I15"/>
    <mergeCell ref="J12:J17"/>
    <mergeCell ref="K12:K17"/>
    <mergeCell ref="L12:L19"/>
    <mergeCell ref="M12:M15"/>
    <mergeCell ref="T7:T8"/>
    <mergeCell ref="A7:A8"/>
    <mergeCell ref="B7:B8"/>
    <mergeCell ref="C7:C8"/>
    <mergeCell ref="D7:E8"/>
    <mergeCell ref="F7:F8"/>
    <mergeCell ref="G7:G8"/>
    <mergeCell ref="A1:AI4"/>
    <mergeCell ref="A5:K6"/>
    <mergeCell ref="N5:AK5"/>
    <mergeCell ref="N6:V6"/>
    <mergeCell ref="W6:AH6"/>
    <mergeCell ref="AI6:AK6"/>
    <mergeCell ref="AI7:AI8"/>
    <mergeCell ref="AJ7:AJ8"/>
    <mergeCell ref="AK7:AK8"/>
    <mergeCell ref="W7:AB7"/>
    <mergeCell ref="AC7:AH7"/>
    <mergeCell ref="K7:K8"/>
  </mergeCells>
  <pageMargins left="0.7" right="0.7" top="0.75" bottom="0.75" header="0.3" footer="0.3"/>
  <pageSetup orientation="portrait"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showGridLines="0" topLeftCell="A31" zoomScale="70" zoomScaleNormal="70" workbookViewId="0">
      <selection activeCell="F38" sqref="F38:I42"/>
    </sheetView>
  </sheetViews>
  <sheetFormatPr baseColWidth="10" defaultColWidth="11.42578125" defaultRowHeight="14.25" x14ac:dyDescent="0.2"/>
  <cols>
    <col min="1" max="1" width="11" style="561" customWidth="1"/>
    <col min="2" max="2" width="16.85546875" style="34" customWidth="1"/>
    <col min="3" max="3" width="11.5703125" style="562" bestFit="1" customWidth="1"/>
    <col min="4" max="4" width="17.140625" style="34" customWidth="1"/>
    <col min="5" max="5" width="11.42578125" style="34" hidden="1" customWidth="1"/>
    <col min="6" max="6" width="10.5703125" style="34" customWidth="1"/>
    <col min="7" max="7" width="21.140625" style="34" customWidth="1"/>
    <col min="8" max="8" width="14.42578125" style="34" customWidth="1"/>
    <col min="9" max="9" width="19" style="34" customWidth="1"/>
    <col min="10" max="10" width="14.85546875" style="34" customWidth="1"/>
    <col min="11" max="11" width="12.5703125" style="34" customWidth="1"/>
    <col min="12" max="12" width="21.42578125" style="34" customWidth="1"/>
    <col min="13" max="13" width="11.7109375" style="34" customWidth="1"/>
    <col min="14" max="14" width="21.5703125" style="34" customWidth="1"/>
    <col min="15" max="15" width="11.5703125" style="34" bestFit="1" customWidth="1"/>
    <col min="16" max="16" width="18.7109375" style="34" customWidth="1"/>
    <col min="17" max="17" width="26.85546875" style="34" customWidth="1"/>
    <col min="18" max="18" width="27.42578125" style="34" customWidth="1"/>
    <col min="19" max="19" width="25" style="34" customWidth="1"/>
    <col min="20" max="20" width="21.28515625" style="118" customWidth="1"/>
    <col min="21" max="21" width="15.5703125" style="34" customWidth="1"/>
    <col min="22" max="22" width="16.140625" style="34" customWidth="1"/>
    <col min="23" max="23" width="8" style="562" customWidth="1"/>
    <col min="24" max="24" width="8.140625" style="562" customWidth="1"/>
    <col min="25" max="25" width="7.85546875" style="562" customWidth="1"/>
    <col min="26" max="26" width="9.85546875" style="562" customWidth="1"/>
    <col min="27" max="27" width="9.7109375" style="562" customWidth="1"/>
    <col min="28" max="28" width="8" style="34" customWidth="1"/>
    <col min="29" max="29" width="6.7109375" style="34" customWidth="1"/>
    <col min="30" max="30" width="7.28515625" style="34" customWidth="1"/>
    <col min="31" max="31" width="6.42578125" style="34" customWidth="1"/>
    <col min="32" max="32" width="7.140625" style="34" customWidth="1"/>
    <col min="33" max="34" width="6.85546875" style="34" customWidth="1"/>
    <col min="35" max="35" width="11" style="561" customWidth="1"/>
    <col min="36" max="36" width="13" style="561" customWidth="1"/>
    <col min="37" max="37" width="20.85546875" style="34" customWidth="1"/>
    <col min="38" max="16384" width="11.42578125" style="34"/>
  </cols>
  <sheetData>
    <row r="1" spans="1:37" ht="15" customHeight="1" x14ac:dyDescent="0.25">
      <c r="A1" s="1747" t="s">
        <v>1789</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7"/>
      <c r="AI1" s="1748"/>
      <c r="AJ1" s="769" t="s">
        <v>0</v>
      </c>
      <c r="AK1" s="245" t="s">
        <v>1784</v>
      </c>
    </row>
    <row r="2" spans="1:37" ht="15" x14ac:dyDescent="0.25">
      <c r="A2" s="1747"/>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8"/>
      <c r="AJ2" s="770" t="s">
        <v>1</v>
      </c>
      <c r="AK2" s="246">
        <v>5</v>
      </c>
    </row>
    <row r="3" spans="1:37" ht="15" customHeight="1" x14ac:dyDescent="0.25">
      <c r="A3" s="1747" t="s">
        <v>118</v>
      </c>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7"/>
      <c r="AI3" s="1748"/>
      <c r="AJ3" s="769" t="s">
        <v>2</v>
      </c>
      <c r="AK3" s="247" t="s">
        <v>1785</v>
      </c>
    </row>
    <row r="4" spans="1:37" s="36" customFormat="1" ht="11.25" customHeight="1" x14ac:dyDescent="0.2">
      <c r="A4" s="1750" t="s">
        <v>119</v>
      </c>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0"/>
      <c r="AI4" s="1751"/>
      <c r="AJ4" s="772" t="s">
        <v>3</v>
      </c>
      <c r="AK4" s="248" t="s">
        <v>4</v>
      </c>
    </row>
    <row r="5" spans="1:37" ht="15" customHeight="1" x14ac:dyDescent="0.2">
      <c r="A5" s="1757" t="s">
        <v>5</v>
      </c>
      <c r="B5" s="1758"/>
      <c r="C5" s="1758"/>
      <c r="D5" s="1758"/>
      <c r="E5" s="1758"/>
      <c r="F5" s="1758"/>
      <c r="G5" s="1758"/>
      <c r="H5" s="1758"/>
      <c r="I5" s="1758"/>
      <c r="J5" s="1758"/>
      <c r="K5" s="1758"/>
      <c r="L5" s="1757" t="s">
        <v>6</v>
      </c>
      <c r="M5" s="1758"/>
      <c r="N5" s="1758"/>
      <c r="O5" s="1758"/>
      <c r="P5" s="1758"/>
      <c r="Q5" s="1758"/>
      <c r="R5" s="1758"/>
      <c r="S5" s="1758"/>
      <c r="T5" s="1758"/>
      <c r="U5" s="1758"/>
      <c r="V5" s="1762"/>
      <c r="W5" s="1757" t="s">
        <v>7</v>
      </c>
      <c r="X5" s="1758"/>
      <c r="Y5" s="1758"/>
      <c r="Z5" s="1758"/>
      <c r="AA5" s="1758"/>
      <c r="AB5" s="1758"/>
      <c r="AC5" s="1758"/>
      <c r="AD5" s="1758"/>
      <c r="AE5" s="1758"/>
      <c r="AF5" s="1758"/>
      <c r="AG5" s="1758"/>
      <c r="AH5" s="1758"/>
      <c r="AI5" s="1758"/>
      <c r="AJ5" s="1758"/>
      <c r="AK5" s="1762"/>
    </row>
    <row r="6" spans="1:37" ht="14.45" customHeight="1" x14ac:dyDescent="0.2">
      <c r="A6" s="1759"/>
      <c r="B6" s="1760"/>
      <c r="C6" s="1760"/>
      <c r="D6" s="1760"/>
      <c r="E6" s="1760"/>
      <c r="F6" s="1760"/>
      <c r="G6" s="1760"/>
      <c r="H6" s="1760"/>
      <c r="I6" s="1760"/>
      <c r="J6" s="1760"/>
      <c r="K6" s="1760"/>
      <c r="L6" s="1759"/>
      <c r="M6" s="1760"/>
      <c r="N6" s="1760"/>
      <c r="O6" s="1760"/>
      <c r="P6" s="1760"/>
      <c r="Q6" s="1760"/>
      <c r="R6" s="1760"/>
      <c r="S6" s="1760"/>
      <c r="T6" s="1760"/>
      <c r="U6" s="1760"/>
      <c r="V6" s="1761"/>
      <c r="W6" s="1759"/>
      <c r="X6" s="1760"/>
      <c r="Y6" s="1760"/>
      <c r="Z6" s="1760"/>
      <c r="AA6" s="1760"/>
      <c r="AB6" s="1760"/>
      <c r="AC6" s="1760"/>
      <c r="AD6" s="1760"/>
      <c r="AE6" s="1760"/>
      <c r="AF6" s="1760"/>
      <c r="AG6" s="1760"/>
      <c r="AH6" s="1760"/>
      <c r="AI6" s="1806"/>
      <c r="AJ6" s="1806"/>
      <c r="AK6" s="2060"/>
    </row>
    <row r="7" spans="1:37" ht="22.5" customHeight="1" x14ac:dyDescent="0.2">
      <c r="A7" s="1752" t="s">
        <v>8</v>
      </c>
      <c r="B7" s="1752" t="s">
        <v>9</v>
      </c>
      <c r="C7" s="1754" t="s">
        <v>8</v>
      </c>
      <c r="D7" s="1754" t="s">
        <v>10</v>
      </c>
      <c r="E7" s="1754"/>
      <c r="F7" s="1754" t="s">
        <v>8</v>
      </c>
      <c r="G7" s="1754" t="s">
        <v>11</v>
      </c>
      <c r="H7" s="1754" t="s">
        <v>8</v>
      </c>
      <c r="I7" s="1754" t="s">
        <v>12</v>
      </c>
      <c r="J7" s="1754" t="s">
        <v>13</v>
      </c>
      <c r="K7" s="1752" t="s">
        <v>14</v>
      </c>
      <c r="L7" s="1754" t="s">
        <v>15</v>
      </c>
      <c r="M7" s="1752" t="s">
        <v>16</v>
      </c>
      <c r="N7" s="1754" t="s">
        <v>6</v>
      </c>
      <c r="O7" s="1754" t="s">
        <v>17</v>
      </c>
      <c r="P7" s="1754" t="s">
        <v>18</v>
      </c>
      <c r="Q7" s="1754" t="s">
        <v>19</v>
      </c>
      <c r="R7" s="1754" t="s">
        <v>20</v>
      </c>
      <c r="S7" s="1754" t="s">
        <v>21</v>
      </c>
      <c r="T7" s="1752" t="s">
        <v>18</v>
      </c>
      <c r="U7" s="1752" t="s">
        <v>8</v>
      </c>
      <c r="V7" s="1754" t="s">
        <v>22</v>
      </c>
      <c r="W7" s="1755" t="s">
        <v>23</v>
      </c>
      <c r="X7" s="1756"/>
      <c r="Y7" s="1756"/>
      <c r="Z7" s="1756"/>
      <c r="AA7" s="1756"/>
      <c r="AB7" s="1756"/>
      <c r="AC7" s="1755" t="s">
        <v>24</v>
      </c>
      <c r="AD7" s="1756"/>
      <c r="AE7" s="1756"/>
      <c r="AF7" s="1756"/>
      <c r="AG7" s="1756"/>
      <c r="AH7" s="1756"/>
      <c r="AI7" s="1791" t="s">
        <v>25</v>
      </c>
      <c r="AJ7" s="1791" t="s">
        <v>26</v>
      </c>
      <c r="AK7" s="1793" t="s">
        <v>27</v>
      </c>
    </row>
    <row r="8" spans="1:37" ht="88.5" x14ac:dyDescent="0.2">
      <c r="A8" s="1753"/>
      <c r="B8" s="1753"/>
      <c r="C8" s="1754"/>
      <c r="D8" s="1754"/>
      <c r="E8" s="1754"/>
      <c r="F8" s="1754"/>
      <c r="G8" s="1754"/>
      <c r="H8" s="1754"/>
      <c r="I8" s="1754"/>
      <c r="J8" s="1754"/>
      <c r="K8" s="1753"/>
      <c r="L8" s="1754"/>
      <c r="M8" s="1753"/>
      <c r="N8" s="1754"/>
      <c r="O8" s="1754"/>
      <c r="P8" s="1754"/>
      <c r="Q8" s="1754"/>
      <c r="R8" s="1754"/>
      <c r="S8" s="1754"/>
      <c r="T8" s="1753"/>
      <c r="U8" s="1753"/>
      <c r="V8" s="1754"/>
      <c r="W8" s="1476" t="s">
        <v>28</v>
      </c>
      <c r="X8" s="1476" t="s">
        <v>29</v>
      </c>
      <c r="Y8" s="1476" t="s">
        <v>30</v>
      </c>
      <c r="Z8" s="1476" t="s">
        <v>31</v>
      </c>
      <c r="AA8" s="1476" t="s">
        <v>32</v>
      </c>
      <c r="AB8" s="1476" t="s">
        <v>33</v>
      </c>
      <c r="AC8" s="1476" t="s">
        <v>34</v>
      </c>
      <c r="AD8" s="1476" t="s">
        <v>35</v>
      </c>
      <c r="AE8" s="1476" t="s">
        <v>36</v>
      </c>
      <c r="AF8" s="1476" t="s">
        <v>37</v>
      </c>
      <c r="AG8" s="1476" t="s">
        <v>38</v>
      </c>
      <c r="AH8" s="1476" t="s">
        <v>39</v>
      </c>
      <c r="AI8" s="1792"/>
      <c r="AJ8" s="1792"/>
      <c r="AK8" s="1793"/>
    </row>
    <row r="9" spans="1:37" s="43" customFormat="1" ht="21.75" customHeight="1" x14ac:dyDescent="0.2">
      <c r="A9" s="39">
        <v>3</v>
      </c>
      <c r="B9" s="818" t="s">
        <v>42</v>
      </c>
      <c r="C9" s="819"/>
      <c r="D9" s="820"/>
      <c r="E9" s="821"/>
      <c r="F9" s="819"/>
      <c r="G9" s="819"/>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2"/>
      <c r="AJ9" s="822"/>
      <c r="AK9" s="823"/>
    </row>
    <row r="10" spans="1:37" s="43" customFormat="1" ht="21.75" customHeight="1" x14ac:dyDescent="0.2">
      <c r="A10" s="824"/>
      <c r="B10" s="825"/>
      <c r="C10" s="826">
        <v>9</v>
      </c>
      <c r="D10" s="827" t="s">
        <v>105</v>
      </c>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9"/>
      <c r="AJ10" s="829"/>
      <c r="AK10" s="830"/>
    </row>
    <row r="11" spans="1:37" s="43" customFormat="1" ht="21.75" customHeight="1" x14ac:dyDescent="0.2">
      <c r="A11" s="831"/>
      <c r="B11" s="832"/>
      <c r="C11" s="824"/>
      <c r="D11" s="825"/>
      <c r="E11" s="833"/>
      <c r="F11" s="48">
        <v>29</v>
      </c>
      <c r="G11" s="834" t="s">
        <v>43</v>
      </c>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509"/>
      <c r="AJ11" s="509"/>
      <c r="AK11" s="510"/>
    </row>
    <row r="12" spans="1:37" ht="119.25" customHeight="1" x14ac:dyDescent="0.2">
      <c r="A12" s="2022"/>
      <c r="B12" s="2023"/>
      <c r="C12" s="2024"/>
      <c r="D12" s="2025"/>
      <c r="E12" s="512"/>
      <c r="F12" s="2026"/>
      <c r="G12" s="2028"/>
      <c r="H12" s="439">
        <v>114</v>
      </c>
      <c r="I12" s="835" t="s">
        <v>44</v>
      </c>
      <c r="J12" s="835" t="s">
        <v>45</v>
      </c>
      <c r="K12" s="541">
        <v>30</v>
      </c>
      <c r="L12" s="726" t="s">
        <v>46</v>
      </c>
      <c r="M12" s="439">
        <v>45</v>
      </c>
      <c r="N12" s="460" t="s">
        <v>47</v>
      </c>
      <c r="O12" s="836">
        <v>1</v>
      </c>
      <c r="P12" s="837">
        <v>896158491</v>
      </c>
      <c r="Q12" s="50" t="s">
        <v>48</v>
      </c>
      <c r="R12" s="50" t="s">
        <v>48</v>
      </c>
      <c r="S12" s="50" t="s">
        <v>49</v>
      </c>
      <c r="T12" s="838">
        <v>896158491</v>
      </c>
      <c r="U12" s="528" t="s">
        <v>101</v>
      </c>
      <c r="V12" s="541" t="s">
        <v>104</v>
      </c>
      <c r="W12" s="839">
        <v>0</v>
      </c>
      <c r="X12" s="839">
        <v>0</v>
      </c>
      <c r="Y12" s="839">
        <v>0</v>
      </c>
      <c r="Z12" s="839">
        <v>0</v>
      </c>
      <c r="AA12" s="839">
        <v>52</v>
      </c>
      <c r="AB12" s="839">
        <v>0</v>
      </c>
      <c r="AC12" s="839">
        <v>0</v>
      </c>
      <c r="AD12" s="839">
        <v>0</v>
      </c>
      <c r="AE12" s="839">
        <v>0</v>
      </c>
      <c r="AF12" s="839">
        <v>0</v>
      </c>
      <c r="AG12" s="839">
        <v>0</v>
      </c>
      <c r="AH12" s="839">
        <v>0</v>
      </c>
      <c r="AI12" s="439"/>
      <c r="AJ12" s="439"/>
      <c r="AK12" s="2013" t="s">
        <v>50</v>
      </c>
    </row>
    <row r="13" spans="1:37" ht="115.5" customHeight="1" x14ac:dyDescent="0.2">
      <c r="A13" s="2022"/>
      <c r="B13" s="2023"/>
      <c r="C13" s="2024"/>
      <c r="D13" s="2025"/>
      <c r="E13" s="513"/>
      <c r="F13" s="2022"/>
      <c r="G13" s="2029"/>
      <c r="H13" s="439">
        <v>114</v>
      </c>
      <c r="I13" s="835" t="s">
        <v>51</v>
      </c>
      <c r="J13" s="460" t="s">
        <v>52</v>
      </c>
      <c r="K13" s="439">
        <v>30</v>
      </c>
      <c r="L13" s="726" t="s">
        <v>53</v>
      </c>
      <c r="M13" s="1770">
        <v>46</v>
      </c>
      <c r="N13" s="2013" t="s">
        <v>54</v>
      </c>
      <c r="O13" s="840">
        <f>T13/P13</f>
        <v>0.40999212423463044</v>
      </c>
      <c r="P13" s="2019">
        <v>2841761905</v>
      </c>
      <c r="Q13" s="2013" t="s">
        <v>55</v>
      </c>
      <c r="R13" s="460" t="s">
        <v>56</v>
      </c>
      <c r="S13" s="460" t="s">
        <v>57</v>
      </c>
      <c r="T13" s="841">
        <v>1165100000</v>
      </c>
      <c r="U13" s="439" t="s">
        <v>102</v>
      </c>
      <c r="V13" s="541" t="s">
        <v>103</v>
      </c>
      <c r="W13" s="2016">
        <v>5.1159999999999997</v>
      </c>
      <c r="X13" s="2016">
        <v>20.466000000000001</v>
      </c>
      <c r="Y13" s="2016">
        <v>42.637999999999998</v>
      </c>
      <c r="Z13" s="2016">
        <v>42.637999999999998</v>
      </c>
      <c r="AA13" s="2016">
        <v>25.582000000000001</v>
      </c>
      <c r="AB13" s="2016">
        <v>17.055</v>
      </c>
      <c r="AC13" s="2016">
        <v>8.5280000000000005</v>
      </c>
      <c r="AD13" s="2016">
        <v>8.5280000000000005</v>
      </c>
      <c r="AE13" s="2016">
        <v>0</v>
      </c>
      <c r="AF13" s="2016">
        <v>0</v>
      </c>
      <c r="AG13" s="2016">
        <v>0</v>
      </c>
      <c r="AH13" s="2016">
        <v>0</v>
      </c>
      <c r="AI13" s="429">
        <v>42736</v>
      </c>
      <c r="AJ13" s="429">
        <v>43100</v>
      </c>
      <c r="AK13" s="2014"/>
    </row>
    <row r="14" spans="1:37" ht="90" customHeight="1" x14ac:dyDescent="0.2">
      <c r="A14" s="2022"/>
      <c r="B14" s="2023"/>
      <c r="C14" s="2024"/>
      <c r="D14" s="2025"/>
      <c r="E14" s="513"/>
      <c r="F14" s="2022"/>
      <c r="G14" s="2029"/>
      <c r="H14" s="439">
        <v>115</v>
      </c>
      <c r="I14" s="488" t="s">
        <v>58</v>
      </c>
      <c r="J14" s="835" t="s">
        <v>59</v>
      </c>
      <c r="K14" s="439">
        <v>35</v>
      </c>
      <c r="L14" s="726" t="s">
        <v>60</v>
      </c>
      <c r="M14" s="1771"/>
      <c r="N14" s="2014"/>
      <c r="O14" s="840">
        <f>T14/P13</f>
        <v>0.47851682000783241</v>
      </c>
      <c r="P14" s="2020"/>
      <c r="Q14" s="2014"/>
      <c r="R14" s="460" t="s">
        <v>61</v>
      </c>
      <c r="S14" s="460" t="s">
        <v>62</v>
      </c>
      <c r="T14" s="841">
        <v>1359830870</v>
      </c>
      <c r="U14" s="439" t="s">
        <v>106</v>
      </c>
      <c r="V14" s="541" t="s">
        <v>104</v>
      </c>
      <c r="W14" s="2017"/>
      <c r="X14" s="2017"/>
      <c r="Y14" s="2017"/>
      <c r="Z14" s="2017"/>
      <c r="AA14" s="2017"/>
      <c r="AB14" s="2017"/>
      <c r="AC14" s="2017"/>
      <c r="AD14" s="2017"/>
      <c r="AE14" s="2017"/>
      <c r="AF14" s="2017"/>
      <c r="AG14" s="2017"/>
      <c r="AH14" s="2017"/>
      <c r="AI14" s="429">
        <v>42736</v>
      </c>
      <c r="AJ14" s="429">
        <v>43100</v>
      </c>
      <c r="AK14" s="2014"/>
    </row>
    <row r="15" spans="1:37" ht="105" customHeight="1" x14ac:dyDescent="0.2">
      <c r="A15" s="2022"/>
      <c r="B15" s="2023"/>
      <c r="C15" s="2024"/>
      <c r="D15" s="2025"/>
      <c r="E15" s="547"/>
      <c r="F15" s="2027"/>
      <c r="G15" s="2030"/>
      <c r="H15" s="439">
        <v>116</v>
      </c>
      <c r="I15" s="488" t="s">
        <v>63</v>
      </c>
      <c r="J15" s="835" t="s">
        <v>59</v>
      </c>
      <c r="K15" s="439">
        <v>11</v>
      </c>
      <c r="L15" s="726" t="s">
        <v>64</v>
      </c>
      <c r="M15" s="1772"/>
      <c r="N15" s="2015"/>
      <c r="O15" s="840">
        <f>T15/P13</f>
        <v>0.11149105575753715</v>
      </c>
      <c r="P15" s="2021"/>
      <c r="Q15" s="2015"/>
      <c r="R15" s="460" t="s">
        <v>65</v>
      </c>
      <c r="S15" s="460" t="s">
        <v>66</v>
      </c>
      <c r="T15" s="841">
        <v>316831035</v>
      </c>
      <c r="U15" s="439" t="s">
        <v>107</v>
      </c>
      <c r="V15" s="541" t="s">
        <v>104</v>
      </c>
      <c r="W15" s="2018"/>
      <c r="X15" s="2018"/>
      <c r="Y15" s="2018"/>
      <c r="Z15" s="2018"/>
      <c r="AA15" s="2018"/>
      <c r="AB15" s="2018"/>
      <c r="AC15" s="2018"/>
      <c r="AD15" s="2018"/>
      <c r="AE15" s="2018"/>
      <c r="AF15" s="2018"/>
      <c r="AG15" s="2018"/>
      <c r="AH15" s="2018"/>
      <c r="AI15" s="439"/>
      <c r="AJ15" s="439"/>
      <c r="AK15" s="2015"/>
    </row>
    <row r="16" spans="1:37" ht="8.25" customHeight="1" x14ac:dyDescent="0.2">
      <c r="A16" s="125"/>
      <c r="B16" s="126"/>
      <c r="C16" s="125"/>
      <c r="D16" s="107"/>
      <c r="E16" s="843"/>
      <c r="F16" s="843"/>
      <c r="G16" s="843"/>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5"/>
    </row>
    <row r="17" spans="1:37" ht="21.75" customHeight="1" x14ac:dyDescent="0.2">
      <c r="A17" s="846"/>
      <c r="B17" s="847"/>
      <c r="C17" s="846"/>
      <c r="D17" s="108"/>
      <c r="E17" s="848"/>
      <c r="F17" s="48">
        <v>30</v>
      </c>
      <c r="G17" s="393" t="s">
        <v>67</v>
      </c>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509"/>
      <c r="AJ17" s="509"/>
      <c r="AK17" s="510"/>
    </row>
    <row r="18" spans="1:37" ht="102" customHeight="1" x14ac:dyDescent="0.2">
      <c r="A18" s="2024"/>
      <c r="B18" s="2023"/>
      <c r="C18" s="2024"/>
      <c r="D18" s="2045"/>
      <c r="E18" s="849"/>
      <c r="F18" s="2043"/>
      <c r="G18" s="2040"/>
      <c r="H18" s="1770">
        <v>117</v>
      </c>
      <c r="I18" s="2013" t="s">
        <v>68</v>
      </c>
      <c r="J18" s="2013" t="s">
        <v>52</v>
      </c>
      <c r="K18" s="1770">
        <v>1</v>
      </c>
      <c r="L18" s="2037" t="s">
        <v>114</v>
      </c>
      <c r="M18" s="2031">
        <v>47</v>
      </c>
      <c r="N18" s="2031" t="s">
        <v>69</v>
      </c>
      <c r="O18" s="2057">
        <f>T18/P18</f>
        <v>1</v>
      </c>
      <c r="P18" s="2034">
        <v>111943025</v>
      </c>
      <c r="Q18" s="2031" t="s">
        <v>70</v>
      </c>
      <c r="R18" s="440" t="s">
        <v>109</v>
      </c>
      <c r="S18" s="441" t="s">
        <v>71</v>
      </c>
      <c r="T18" s="841">
        <v>111943025</v>
      </c>
      <c r="U18" s="1770" t="s">
        <v>102</v>
      </c>
      <c r="V18" s="2031" t="s">
        <v>103</v>
      </c>
      <c r="W18" s="1770">
        <v>0</v>
      </c>
      <c r="X18" s="1770">
        <v>0</v>
      </c>
      <c r="Y18" s="1770">
        <v>0</v>
      </c>
      <c r="Z18" s="1770">
        <v>105</v>
      </c>
      <c r="AA18" s="1770">
        <v>45</v>
      </c>
      <c r="AB18" s="1770">
        <v>0</v>
      </c>
      <c r="AC18" s="1770">
        <v>0</v>
      </c>
      <c r="AD18" s="1770">
        <v>0</v>
      </c>
      <c r="AE18" s="1770">
        <v>0</v>
      </c>
      <c r="AF18" s="1770">
        <v>0</v>
      </c>
      <c r="AG18" s="1770">
        <v>0</v>
      </c>
      <c r="AH18" s="1770">
        <v>0</v>
      </c>
      <c r="AI18" s="429">
        <v>42736</v>
      </c>
      <c r="AJ18" s="429">
        <v>43100</v>
      </c>
      <c r="AK18" s="2013" t="s">
        <v>50</v>
      </c>
    </row>
    <row r="19" spans="1:37" ht="71.25" x14ac:dyDescent="0.2">
      <c r="A19" s="2024"/>
      <c r="B19" s="2023"/>
      <c r="C19" s="2024"/>
      <c r="D19" s="2045"/>
      <c r="E19" s="849"/>
      <c r="F19" s="2024"/>
      <c r="G19" s="2041"/>
      <c r="H19" s="1771"/>
      <c r="I19" s="2014"/>
      <c r="J19" s="2014"/>
      <c r="K19" s="1771"/>
      <c r="L19" s="2038"/>
      <c r="M19" s="2032"/>
      <c r="N19" s="2032"/>
      <c r="O19" s="2058"/>
      <c r="P19" s="2035"/>
      <c r="Q19" s="2032"/>
      <c r="R19" s="455" t="s">
        <v>110</v>
      </c>
      <c r="S19" s="441" t="s">
        <v>112</v>
      </c>
      <c r="T19" s="841">
        <v>0</v>
      </c>
      <c r="U19" s="1771"/>
      <c r="V19" s="2032"/>
      <c r="W19" s="1771"/>
      <c r="X19" s="1771"/>
      <c r="Y19" s="1771"/>
      <c r="Z19" s="1771"/>
      <c r="AA19" s="1771"/>
      <c r="AB19" s="1771"/>
      <c r="AC19" s="1771"/>
      <c r="AD19" s="1771"/>
      <c r="AE19" s="1771"/>
      <c r="AF19" s="1771"/>
      <c r="AG19" s="1771"/>
      <c r="AH19" s="1771"/>
      <c r="AI19" s="439"/>
      <c r="AJ19" s="439"/>
      <c r="AK19" s="2014"/>
    </row>
    <row r="20" spans="1:37" ht="78.75" customHeight="1" x14ac:dyDescent="0.2">
      <c r="A20" s="2024"/>
      <c r="B20" s="2023"/>
      <c r="C20" s="2024"/>
      <c r="D20" s="2045"/>
      <c r="E20" s="849"/>
      <c r="F20" s="2044"/>
      <c r="G20" s="2042"/>
      <c r="H20" s="1772"/>
      <c r="I20" s="2015"/>
      <c r="J20" s="2015"/>
      <c r="K20" s="1772"/>
      <c r="L20" s="2039"/>
      <c r="M20" s="2033"/>
      <c r="N20" s="2033"/>
      <c r="O20" s="2059"/>
      <c r="P20" s="2036"/>
      <c r="Q20" s="2033"/>
      <c r="R20" s="441" t="s">
        <v>111</v>
      </c>
      <c r="S20" s="441" t="s">
        <v>113</v>
      </c>
      <c r="T20" s="842">
        <v>0</v>
      </c>
      <c r="U20" s="1772"/>
      <c r="V20" s="2033"/>
      <c r="W20" s="1772"/>
      <c r="X20" s="1772"/>
      <c r="Y20" s="1772"/>
      <c r="Z20" s="1772"/>
      <c r="AA20" s="1772"/>
      <c r="AB20" s="1772"/>
      <c r="AC20" s="1772"/>
      <c r="AD20" s="1772"/>
      <c r="AE20" s="1772"/>
      <c r="AF20" s="1772"/>
      <c r="AG20" s="1772"/>
      <c r="AH20" s="1772"/>
      <c r="AI20" s="439"/>
      <c r="AJ20" s="439"/>
      <c r="AK20" s="2015"/>
    </row>
    <row r="21" spans="1:37" ht="6" customHeight="1" x14ac:dyDescent="0.2">
      <c r="A21" s="850"/>
      <c r="B21" s="851"/>
      <c r="C21" s="850"/>
      <c r="D21" s="852"/>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4"/>
    </row>
    <row r="22" spans="1:37" ht="21" customHeight="1" x14ac:dyDescent="0.2">
      <c r="A22" s="855"/>
      <c r="B22" s="856"/>
      <c r="C22" s="855"/>
      <c r="D22" s="758"/>
      <c r="E22" s="857"/>
      <c r="F22" s="48">
        <v>31</v>
      </c>
      <c r="G22" s="393" t="s">
        <v>72</v>
      </c>
      <c r="H22" s="393"/>
      <c r="I22" s="393"/>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509"/>
      <c r="AJ22" s="509"/>
      <c r="AK22" s="510"/>
    </row>
    <row r="23" spans="1:37" ht="155.25" customHeight="1" x14ac:dyDescent="0.2">
      <c r="A23" s="2024"/>
      <c r="B23" s="2023"/>
      <c r="C23" s="2024"/>
      <c r="D23" s="2045"/>
      <c r="E23" s="849"/>
      <c r="F23" s="2043"/>
      <c r="G23" s="2040"/>
      <c r="H23" s="1770">
        <v>118</v>
      </c>
      <c r="I23" s="2013" t="s">
        <v>73</v>
      </c>
      <c r="J23" s="2013" t="s">
        <v>52</v>
      </c>
      <c r="K23" s="1770">
        <v>6</v>
      </c>
      <c r="L23" s="2031" t="s">
        <v>74</v>
      </c>
      <c r="M23" s="1770">
        <v>48</v>
      </c>
      <c r="N23" s="2013" t="s">
        <v>75</v>
      </c>
      <c r="O23" s="840">
        <f>T23/P23</f>
        <v>0.12996268524377549</v>
      </c>
      <c r="P23" s="2050">
        <v>230835489</v>
      </c>
      <c r="Q23" s="1767" t="s">
        <v>115</v>
      </c>
      <c r="R23" s="435" t="s">
        <v>76</v>
      </c>
      <c r="S23" s="441" t="s">
        <v>77</v>
      </c>
      <c r="T23" s="842">
        <v>30000000</v>
      </c>
      <c r="U23" s="1770" t="s">
        <v>116</v>
      </c>
      <c r="V23" s="2031" t="s">
        <v>104</v>
      </c>
      <c r="W23" s="2046">
        <v>2019.04</v>
      </c>
      <c r="X23" s="2046">
        <v>40380.800000000003</v>
      </c>
      <c r="Y23" s="2046">
        <v>30285.599999999999</v>
      </c>
      <c r="Z23" s="2046">
        <v>10095.200000000001</v>
      </c>
      <c r="AA23" s="2046">
        <v>10095.200000000001</v>
      </c>
      <c r="AB23" s="2046">
        <v>8076.16</v>
      </c>
      <c r="AC23" s="1770">
        <v>0</v>
      </c>
      <c r="AD23" s="1770">
        <v>0</v>
      </c>
      <c r="AE23" s="1770">
        <v>0</v>
      </c>
      <c r="AF23" s="1770">
        <v>0</v>
      </c>
      <c r="AG23" s="1770">
        <v>0</v>
      </c>
      <c r="AH23" s="1770">
        <v>0</v>
      </c>
      <c r="AI23" s="439"/>
      <c r="AJ23" s="439"/>
      <c r="AK23" s="2013" t="s">
        <v>50</v>
      </c>
    </row>
    <row r="24" spans="1:37" ht="73.5" customHeight="1" x14ac:dyDescent="0.2">
      <c r="A24" s="2024"/>
      <c r="B24" s="2023"/>
      <c r="C24" s="2024"/>
      <c r="D24" s="2045"/>
      <c r="E24" s="849"/>
      <c r="F24" s="2024"/>
      <c r="G24" s="2041"/>
      <c r="H24" s="1771"/>
      <c r="I24" s="2014"/>
      <c r="J24" s="2014"/>
      <c r="K24" s="1771"/>
      <c r="L24" s="2032"/>
      <c r="M24" s="1771"/>
      <c r="N24" s="2014"/>
      <c r="O24" s="840">
        <f>T24/P23</f>
        <v>0.57907040455118231</v>
      </c>
      <c r="P24" s="2051"/>
      <c r="Q24" s="1768"/>
      <c r="R24" s="460" t="s">
        <v>78</v>
      </c>
      <c r="S24" s="858" t="s">
        <v>108</v>
      </c>
      <c r="T24" s="842">
        <v>133670000</v>
      </c>
      <c r="U24" s="1771"/>
      <c r="V24" s="2032"/>
      <c r="W24" s="2047"/>
      <c r="X24" s="2047"/>
      <c r="Y24" s="2047"/>
      <c r="Z24" s="2047"/>
      <c r="AA24" s="2047"/>
      <c r="AB24" s="2047"/>
      <c r="AC24" s="1771"/>
      <c r="AD24" s="1771"/>
      <c r="AE24" s="1771"/>
      <c r="AF24" s="1771"/>
      <c r="AG24" s="1771"/>
      <c r="AH24" s="1771"/>
      <c r="AI24" s="429">
        <v>42736</v>
      </c>
      <c r="AJ24" s="429">
        <v>43100</v>
      </c>
      <c r="AK24" s="2014"/>
    </row>
    <row r="25" spans="1:37" ht="67.5" customHeight="1" x14ac:dyDescent="0.2">
      <c r="A25" s="2024"/>
      <c r="B25" s="2023"/>
      <c r="C25" s="2044"/>
      <c r="D25" s="2049"/>
      <c r="E25" s="849"/>
      <c r="F25" s="2044"/>
      <c r="G25" s="2042"/>
      <c r="H25" s="1772"/>
      <c r="I25" s="2015"/>
      <c r="J25" s="2015"/>
      <c r="K25" s="1772"/>
      <c r="L25" s="2033"/>
      <c r="M25" s="1772"/>
      <c r="N25" s="2015"/>
      <c r="O25" s="840">
        <f>T25/P23</f>
        <v>0.29096691020504217</v>
      </c>
      <c r="P25" s="2052"/>
      <c r="Q25" s="1769"/>
      <c r="R25" s="445" t="s">
        <v>79</v>
      </c>
      <c r="S25" s="441" t="s">
        <v>80</v>
      </c>
      <c r="T25" s="842">
        <v>67165489</v>
      </c>
      <c r="U25" s="1772"/>
      <c r="V25" s="2033"/>
      <c r="W25" s="2048"/>
      <c r="X25" s="2048"/>
      <c r="Y25" s="2048"/>
      <c r="Z25" s="2048"/>
      <c r="AA25" s="2048"/>
      <c r="AB25" s="2048"/>
      <c r="AC25" s="1772"/>
      <c r="AD25" s="1772"/>
      <c r="AE25" s="1772"/>
      <c r="AF25" s="1772"/>
      <c r="AG25" s="1772"/>
      <c r="AH25" s="1772"/>
      <c r="AI25" s="439"/>
      <c r="AJ25" s="439"/>
      <c r="AK25" s="2015"/>
    </row>
    <row r="26" spans="1:37" ht="7.5" customHeight="1" x14ac:dyDescent="0.2">
      <c r="A26" s="859"/>
      <c r="B26" s="860"/>
      <c r="C26" s="746"/>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53"/>
    </row>
    <row r="27" spans="1:37" ht="25.5" customHeight="1" x14ac:dyDescent="0.2">
      <c r="A27" s="850"/>
      <c r="B27" s="851"/>
      <c r="C27" s="861">
        <v>10</v>
      </c>
      <c r="D27" s="862" t="s">
        <v>81</v>
      </c>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9"/>
      <c r="AJ27" s="829"/>
      <c r="AK27" s="830"/>
    </row>
    <row r="28" spans="1:37" ht="21" customHeight="1" x14ac:dyDescent="0.2">
      <c r="A28" s="855"/>
      <c r="B28" s="856"/>
      <c r="C28" s="855"/>
      <c r="D28" s="758"/>
      <c r="E28" s="857"/>
      <c r="F28" s="48">
        <v>32</v>
      </c>
      <c r="G28" s="393" t="s">
        <v>82</v>
      </c>
      <c r="H28" s="393"/>
      <c r="I28" s="393"/>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509"/>
      <c r="AJ28" s="509"/>
      <c r="AK28" s="510"/>
    </row>
    <row r="29" spans="1:37" ht="148.5" customHeight="1" x14ac:dyDescent="0.2">
      <c r="A29" s="2024"/>
      <c r="B29" s="2023"/>
      <c r="C29" s="2024"/>
      <c r="D29" s="2023"/>
      <c r="E29" s="849"/>
      <c r="F29" s="2043"/>
      <c r="G29" s="2054"/>
      <c r="H29" s="1770">
        <v>119</v>
      </c>
      <c r="I29" s="2013" t="s">
        <v>83</v>
      </c>
      <c r="J29" s="2013" t="s">
        <v>52</v>
      </c>
      <c r="K29" s="1770">
        <v>9</v>
      </c>
      <c r="L29" s="2031" t="s">
        <v>84</v>
      </c>
      <c r="M29" s="1770">
        <v>49</v>
      </c>
      <c r="N29" s="2013" t="s">
        <v>85</v>
      </c>
      <c r="O29" s="840">
        <f>T29/P29</f>
        <v>0.91459749448144811</v>
      </c>
      <c r="P29" s="2050">
        <v>585462917</v>
      </c>
      <c r="Q29" s="2013" t="s">
        <v>86</v>
      </c>
      <c r="R29" s="460" t="s">
        <v>87</v>
      </c>
      <c r="S29" s="460" t="s">
        <v>88</v>
      </c>
      <c r="T29" s="842">
        <v>535462917</v>
      </c>
      <c r="U29" s="2053" t="s">
        <v>117</v>
      </c>
      <c r="V29" s="655" t="s">
        <v>89</v>
      </c>
      <c r="W29" s="1770">
        <v>0</v>
      </c>
      <c r="X29" s="2046">
        <v>17055.5</v>
      </c>
      <c r="Y29" s="2046">
        <v>34111</v>
      </c>
      <c r="Z29" s="2046">
        <v>34111</v>
      </c>
      <c r="AA29" s="2046">
        <v>51166.5</v>
      </c>
      <c r="AB29" s="2046">
        <v>25583.25</v>
      </c>
      <c r="AC29" s="2046">
        <v>4263.875</v>
      </c>
      <c r="AD29" s="2046">
        <v>4263.875</v>
      </c>
      <c r="AE29" s="1770">
        <v>0</v>
      </c>
      <c r="AF29" s="1770">
        <v>0</v>
      </c>
      <c r="AG29" s="1770">
        <v>0</v>
      </c>
      <c r="AH29" s="1770">
        <v>0</v>
      </c>
      <c r="AI29" s="429">
        <v>42736</v>
      </c>
      <c r="AJ29" s="429">
        <v>43100</v>
      </c>
      <c r="AK29" s="2013" t="s">
        <v>50</v>
      </c>
    </row>
    <row r="30" spans="1:37" ht="67.5" customHeight="1" x14ac:dyDescent="0.2">
      <c r="A30" s="2024"/>
      <c r="B30" s="2023"/>
      <c r="C30" s="2024"/>
      <c r="D30" s="2023"/>
      <c r="E30" s="718"/>
      <c r="F30" s="2024"/>
      <c r="G30" s="2023"/>
      <c r="H30" s="1772"/>
      <c r="I30" s="2015"/>
      <c r="J30" s="2015"/>
      <c r="K30" s="1772"/>
      <c r="L30" s="2033"/>
      <c r="M30" s="1772"/>
      <c r="N30" s="2015"/>
      <c r="O30" s="840">
        <f>T30/P29</f>
        <v>8.5402505518551913E-2</v>
      </c>
      <c r="P30" s="2052"/>
      <c r="Q30" s="2015"/>
      <c r="R30" s="460" t="s">
        <v>90</v>
      </c>
      <c r="S30" s="460" t="s">
        <v>91</v>
      </c>
      <c r="T30" s="842">
        <v>50000000</v>
      </c>
      <c r="U30" s="2053"/>
      <c r="V30" s="655" t="s">
        <v>89</v>
      </c>
      <c r="W30" s="1772"/>
      <c r="X30" s="2048"/>
      <c r="Y30" s="2048"/>
      <c r="Z30" s="2048"/>
      <c r="AA30" s="2048"/>
      <c r="AB30" s="2048"/>
      <c r="AC30" s="2048"/>
      <c r="AD30" s="2048"/>
      <c r="AE30" s="1772"/>
      <c r="AF30" s="1772"/>
      <c r="AG30" s="1772"/>
      <c r="AH30" s="1772"/>
      <c r="AI30" s="439"/>
      <c r="AJ30" s="439"/>
      <c r="AK30" s="2015"/>
    </row>
    <row r="31" spans="1:37" ht="111" customHeight="1" x14ac:dyDescent="0.2">
      <c r="A31" s="2024"/>
      <c r="B31" s="2023"/>
      <c r="C31" s="2024"/>
      <c r="D31" s="2023"/>
      <c r="E31" s="863"/>
      <c r="F31" s="2024"/>
      <c r="G31" s="2023"/>
      <c r="H31" s="439">
        <v>120</v>
      </c>
      <c r="I31" s="835" t="s">
        <v>92</v>
      </c>
      <c r="J31" s="2013" t="s">
        <v>52</v>
      </c>
      <c r="K31" s="439">
        <v>3</v>
      </c>
      <c r="L31" s="2031" t="s">
        <v>93</v>
      </c>
      <c r="M31" s="1770">
        <v>50</v>
      </c>
      <c r="N31" s="2013" t="s">
        <v>94</v>
      </c>
      <c r="O31" s="840">
        <f>T31/P31</f>
        <v>0.33333333333333331</v>
      </c>
      <c r="P31" s="2050">
        <v>150000000</v>
      </c>
      <c r="Q31" s="2013" t="s">
        <v>95</v>
      </c>
      <c r="R31" s="460" t="s">
        <v>96</v>
      </c>
      <c r="S31" s="460" t="s">
        <v>97</v>
      </c>
      <c r="T31" s="842">
        <v>50000000</v>
      </c>
      <c r="U31" s="446">
        <v>88</v>
      </c>
      <c r="V31" s="460" t="s">
        <v>103</v>
      </c>
      <c r="W31" s="1770">
        <v>0</v>
      </c>
      <c r="X31" s="2055">
        <v>85276.2</v>
      </c>
      <c r="Y31" s="2055">
        <v>85276.2</v>
      </c>
      <c r="Z31" s="2055">
        <v>85276.2</v>
      </c>
      <c r="AA31" s="2055">
        <v>14212.7</v>
      </c>
      <c r="AB31" s="2055">
        <v>14212.7</v>
      </c>
      <c r="AC31" s="1770">
        <v>0</v>
      </c>
      <c r="AD31" s="1770">
        <v>0</v>
      </c>
      <c r="AE31" s="1770">
        <v>0</v>
      </c>
      <c r="AF31" s="1770">
        <v>0</v>
      </c>
      <c r="AG31" s="1770">
        <v>0</v>
      </c>
      <c r="AH31" s="1770">
        <v>0</v>
      </c>
      <c r="AI31" s="439"/>
      <c r="AJ31" s="439"/>
      <c r="AK31" s="2013" t="s">
        <v>50</v>
      </c>
    </row>
    <row r="32" spans="1:37" ht="96" customHeight="1" x14ac:dyDescent="0.2">
      <c r="A32" s="2044"/>
      <c r="B32" s="2061"/>
      <c r="C32" s="2044"/>
      <c r="D32" s="2061"/>
      <c r="E32" s="863"/>
      <c r="F32" s="2044"/>
      <c r="G32" s="2061"/>
      <c r="H32" s="439">
        <v>121</v>
      </c>
      <c r="I32" s="835" t="s">
        <v>98</v>
      </c>
      <c r="J32" s="2015"/>
      <c r="K32" s="439">
        <v>4</v>
      </c>
      <c r="L32" s="2033"/>
      <c r="M32" s="1772"/>
      <c r="N32" s="2015"/>
      <c r="O32" s="840">
        <f>T32/P31</f>
        <v>0.66666666666666663</v>
      </c>
      <c r="P32" s="2052"/>
      <c r="Q32" s="2015"/>
      <c r="R32" s="460" t="s">
        <v>99</v>
      </c>
      <c r="S32" s="460" t="s">
        <v>100</v>
      </c>
      <c r="T32" s="842">
        <v>100000000</v>
      </c>
      <c r="U32" s="439">
        <v>20</v>
      </c>
      <c r="V32" s="460" t="s">
        <v>103</v>
      </c>
      <c r="W32" s="1772"/>
      <c r="X32" s="2056"/>
      <c r="Y32" s="2056"/>
      <c r="Z32" s="2056"/>
      <c r="AA32" s="2056"/>
      <c r="AB32" s="2056"/>
      <c r="AC32" s="1772"/>
      <c r="AD32" s="1772"/>
      <c r="AE32" s="1772"/>
      <c r="AF32" s="1772"/>
      <c r="AG32" s="1772"/>
      <c r="AH32" s="1772"/>
      <c r="AI32" s="429">
        <v>42736</v>
      </c>
      <c r="AJ32" s="429">
        <v>43100</v>
      </c>
      <c r="AK32" s="2015"/>
    </row>
    <row r="33" spans="1:37" s="559" customFormat="1" ht="20.25" customHeight="1" x14ac:dyDescent="0.25">
      <c r="A33" s="864"/>
      <c r="B33" s="552"/>
      <c r="C33" s="552"/>
      <c r="D33" s="552"/>
      <c r="E33" s="552"/>
      <c r="F33" s="552"/>
      <c r="G33" s="552"/>
      <c r="H33" s="552"/>
      <c r="I33" s="552"/>
      <c r="J33" s="552"/>
      <c r="K33" s="552"/>
      <c r="L33" s="552"/>
      <c r="M33" s="552"/>
      <c r="N33" s="2011" t="s">
        <v>120</v>
      </c>
      <c r="O33" s="2012"/>
      <c r="P33" s="865">
        <f>P12+P13+P18+P23+P29+P31</f>
        <v>4816161827</v>
      </c>
      <c r="Q33" s="551"/>
      <c r="R33" s="552"/>
      <c r="S33" s="556"/>
      <c r="T33" s="865">
        <f>T12+T13+T14+T15+T18+T23+T24+T25+T29+T30+T31+T32+T19+T20</f>
        <v>4816161827</v>
      </c>
      <c r="U33" s="551"/>
      <c r="V33" s="552"/>
      <c r="W33" s="552"/>
      <c r="X33" s="552"/>
      <c r="Y33" s="552"/>
      <c r="Z33" s="552"/>
      <c r="AA33" s="552"/>
      <c r="AB33" s="552"/>
      <c r="AC33" s="552"/>
      <c r="AD33" s="552"/>
      <c r="AE33" s="552"/>
      <c r="AF33" s="552"/>
      <c r="AG33" s="552"/>
      <c r="AH33" s="552"/>
      <c r="AI33" s="552"/>
      <c r="AJ33" s="552"/>
      <c r="AK33" s="556"/>
    </row>
    <row r="34" spans="1:37" x14ac:dyDescent="0.2">
      <c r="T34" s="34"/>
      <c r="AI34" s="34"/>
      <c r="AJ34" s="34"/>
    </row>
    <row r="35" spans="1:37" x14ac:dyDescent="0.2">
      <c r="T35" s="34"/>
      <c r="AI35" s="34"/>
      <c r="AJ35" s="34"/>
    </row>
    <row r="36" spans="1:37" x14ac:dyDescent="0.2">
      <c r="T36" s="34"/>
      <c r="AI36" s="34"/>
      <c r="AJ36" s="34"/>
    </row>
    <row r="37" spans="1:37" x14ac:dyDescent="0.2">
      <c r="T37" s="34"/>
      <c r="AI37" s="34"/>
      <c r="AJ37" s="34"/>
    </row>
    <row r="38" spans="1:37" x14ac:dyDescent="0.2">
      <c r="T38" s="34"/>
      <c r="AI38" s="34"/>
      <c r="AJ38" s="34"/>
    </row>
    <row r="39" spans="1:37" x14ac:dyDescent="0.2">
      <c r="T39" s="34"/>
      <c r="AI39" s="34"/>
      <c r="AJ39" s="34"/>
    </row>
    <row r="40" spans="1:37" ht="15" x14ac:dyDescent="0.25">
      <c r="F40" s="1729" t="s">
        <v>1946</v>
      </c>
      <c r="G40" s="512"/>
      <c r="H40" s="512"/>
      <c r="T40" s="34"/>
      <c r="AI40" s="34"/>
      <c r="AJ40" s="34"/>
    </row>
    <row r="41" spans="1:37" x14ac:dyDescent="0.2">
      <c r="F41" s="34" t="s">
        <v>1947</v>
      </c>
      <c r="T41" s="34"/>
      <c r="AI41" s="34"/>
      <c r="AJ41" s="34"/>
    </row>
    <row r="42" spans="1:37" x14ac:dyDescent="0.2">
      <c r="T42" s="34"/>
      <c r="AI42" s="34"/>
      <c r="AJ42" s="34"/>
    </row>
    <row r="43" spans="1:37" x14ac:dyDescent="0.2">
      <c r="T43" s="34"/>
      <c r="AI43" s="34"/>
      <c r="AJ43" s="34"/>
    </row>
    <row r="44" spans="1:37" x14ac:dyDescent="0.2">
      <c r="T44" s="34"/>
      <c r="AI44" s="34"/>
      <c r="AJ44" s="34"/>
    </row>
    <row r="45" spans="1:37" x14ac:dyDescent="0.2">
      <c r="T45" s="34"/>
      <c r="AI45" s="34"/>
      <c r="AJ45" s="34"/>
    </row>
    <row r="46" spans="1:37" x14ac:dyDescent="0.2">
      <c r="T46" s="34"/>
      <c r="AI46" s="34"/>
      <c r="AJ46" s="34"/>
    </row>
    <row r="47" spans="1:37" x14ac:dyDescent="0.2">
      <c r="T47" s="34"/>
      <c r="AI47" s="34"/>
      <c r="AJ47" s="34"/>
    </row>
    <row r="48" spans="1:37" x14ac:dyDescent="0.2">
      <c r="T48" s="34"/>
      <c r="AI48" s="34"/>
      <c r="AJ48" s="34"/>
    </row>
    <row r="49" spans="17:36" x14ac:dyDescent="0.2">
      <c r="T49" s="34"/>
      <c r="AI49" s="34"/>
      <c r="AJ49" s="34"/>
    </row>
    <row r="50" spans="17:36" x14ac:dyDescent="0.2">
      <c r="T50" s="34"/>
      <c r="AI50" s="34"/>
      <c r="AJ50" s="34"/>
    </row>
    <row r="51" spans="17:36" x14ac:dyDescent="0.2">
      <c r="T51" s="34"/>
      <c r="AI51" s="34"/>
      <c r="AJ51" s="34"/>
    </row>
    <row r="52" spans="17:36" x14ac:dyDescent="0.2">
      <c r="Q52" s="866"/>
      <c r="T52" s="34"/>
      <c r="AI52" s="34"/>
      <c r="AJ52" s="34"/>
    </row>
    <row r="53" spans="17:36" x14ac:dyDescent="0.2">
      <c r="T53" s="34"/>
      <c r="AI53" s="34"/>
      <c r="AJ53" s="34"/>
    </row>
    <row r="54" spans="17:36" x14ac:dyDescent="0.2">
      <c r="T54" s="34"/>
      <c r="AI54" s="34"/>
      <c r="AJ54" s="34"/>
    </row>
  </sheetData>
  <mergeCells count="172">
    <mergeCell ref="A1:AI2"/>
    <mergeCell ref="A3:AI3"/>
    <mergeCell ref="A4:AI4"/>
    <mergeCell ref="O18:O20"/>
    <mergeCell ref="A5:K6"/>
    <mergeCell ref="L5:V6"/>
    <mergeCell ref="W5:AH6"/>
    <mergeCell ref="AI5:AK6"/>
    <mergeCell ref="A31:A32"/>
    <mergeCell ref="B31:B32"/>
    <mergeCell ref="C31:C32"/>
    <mergeCell ref="D31:D32"/>
    <mergeCell ref="F31:F32"/>
    <mergeCell ref="G31:G32"/>
    <mergeCell ref="AE31:AE32"/>
    <mergeCell ref="AF31:AF32"/>
    <mergeCell ref="AG31:AG32"/>
    <mergeCell ref="AC31:AC32"/>
    <mergeCell ref="AD31:AD32"/>
    <mergeCell ref="J31:J32"/>
    <mergeCell ref="L31:L32"/>
    <mergeCell ref="M31:M32"/>
    <mergeCell ref="N31:N32"/>
    <mergeCell ref="P31:P32"/>
    <mergeCell ref="Q31:Q32"/>
    <mergeCell ref="X31:X32"/>
    <mergeCell ref="W31:W32"/>
    <mergeCell ref="Y31:Y32"/>
    <mergeCell ref="Z31:Z32"/>
    <mergeCell ref="AE29:AE30"/>
    <mergeCell ref="AF29:AF30"/>
    <mergeCell ref="AG29:AG30"/>
    <mergeCell ref="AH31:AH32"/>
    <mergeCell ref="Z29:Z30"/>
    <mergeCell ref="AA29:AA30"/>
    <mergeCell ref="AB29:AB30"/>
    <mergeCell ref="AC29:AC30"/>
    <mergeCell ref="AD29:AD30"/>
    <mergeCell ref="AH29:AH30"/>
    <mergeCell ref="AA31:AA32"/>
    <mergeCell ref="AB31:AB32"/>
    <mergeCell ref="B29:B30"/>
    <mergeCell ref="A29:A30"/>
    <mergeCell ref="X29:X30"/>
    <mergeCell ref="Y29:Y30"/>
    <mergeCell ref="W29:W30"/>
    <mergeCell ref="U29:U30"/>
    <mergeCell ref="P29:P30"/>
    <mergeCell ref="Q29:Q30"/>
    <mergeCell ref="N29:N30"/>
    <mergeCell ref="L29:L30"/>
    <mergeCell ref="M29:M30"/>
    <mergeCell ref="K29:K30"/>
    <mergeCell ref="J29:J30"/>
    <mergeCell ref="I29:I30"/>
    <mergeCell ref="H29:H30"/>
    <mergeCell ref="G29:G30"/>
    <mergeCell ref="F29:F30"/>
    <mergeCell ref="D29:D30"/>
    <mergeCell ref="C29:C30"/>
    <mergeCell ref="A23:A25"/>
    <mergeCell ref="AE23:AE25"/>
    <mergeCell ref="AF23:AF25"/>
    <mergeCell ref="AC23:AC25"/>
    <mergeCell ref="AD23:AD25"/>
    <mergeCell ref="Z23:Z25"/>
    <mergeCell ref="AA23:AA25"/>
    <mergeCell ref="AB23:AB25"/>
    <mergeCell ref="U23:U25"/>
    <mergeCell ref="V23:V25"/>
    <mergeCell ref="W23:W25"/>
    <mergeCell ref="F23:F25"/>
    <mergeCell ref="D23:D25"/>
    <mergeCell ref="C23:C25"/>
    <mergeCell ref="B23:B25"/>
    <mergeCell ref="P23:P25"/>
    <mergeCell ref="M23:M25"/>
    <mergeCell ref="AG23:AG25"/>
    <mergeCell ref="H23:H25"/>
    <mergeCell ref="G23:G25"/>
    <mergeCell ref="AH23:AH25"/>
    <mergeCell ref="Q23:Q25"/>
    <mergeCell ref="N23:N25"/>
    <mergeCell ref="L23:L25"/>
    <mergeCell ref="K23:K25"/>
    <mergeCell ref="J23:J25"/>
    <mergeCell ref="I23:I25"/>
    <mergeCell ref="X23:X25"/>
    <mergeCell ref="Y23:Y25"/>
    <mergeCell ref="A18:A20"/>
    <mergeCell ref="U18:U20"/>
    <mergeCell ref="V18:V20"/>
    <mergeCell ref="W18:W20"/>
    <mergeCell ref="Q18:Q20"/>
    <mergeCell ref="P18:P20"/>
    <mergeCell ref="N18:N20"/>
    <mergeCell ref="M18:M20"/>
    <mergeCell ref="L18:L20"/>
    <mergeCell ref="K18:K20"/>
    <mergeCell ref="J18:J20"/>
    <mergeCell ref="I18:I20"/>
    <mergeCell ref="H18:H20"/>
    <mergeCell ref="G18:G20"/>
    <mergeCell ref="F18:F20"/>
    <mergeCell ref="D18:D20"/>
    <mergeCell ref="C18:C20"/>
    <mergeCell ref="B18:B20"/>
    <mergeCell ref="U7:U8"/>
    <mergeCell ref="V7:V8"/>
    <mergeCell ref="W7:AB7"/>
    <mergeCell ref="AC7:AH7"/>
    <mergeCell ref="X18:X20"/>
    <mergeCell ref="Y18:Y20"/>
    <mergeCell ref="W13:W15"/>
    <mergeCell ref="X13:X15"/>
    <mergeCell ref="AC18:AC20"/>
    <mergeCell ref="AH18:AH20"/>
    <mergeCell ref="AG18:AG20"/>
    <mergeCell ref="AF18:AF20"/>
    <mergeCell ref="AE18:AE20"/>
    <mergeCell ref="AD18:AD20"/>
    <mergeCell ref="Z18:Z20"/>
    <mergeCell ref="AA18:AA20"/>
    <mergeCell ref="AB18:AB20"/>
    <mergeCell ref="A12:A15"/>
    <mergeCell ref="B12:B15"/>
    <mergeCell ref="C12:C15"/>
    <mergeCell ref="D12:D15"/>
    <mergeCell ref="F12:F15"/>
    <mergeCell ref="G12:G15"/>
    <mergeCell ref="D7:E8"/>
    <mergeCell ref="F7:F8"/>
    <mergeCell ref="AE13:AE15"/>
    <mergeCell ref="M13:M15"/>
    <mergeCell ref="A7:A8"/>
    <mergeCell ref="B7:B8"/>
    <mergeCell ref="N7:N8"/>
    <mergeCell ref="O7:O8"/>
    <mergeCell ref="P7:P8"/>
    <mergeCell ref="Q7:Q8"/>
    <mergeCell ref="R7:R8"/>
    <mergeCell ref="S7:S8"/>
    <mergeCell ref="M7:M8"/>
    <mergeCell ref="C7:C8"/>
    <mergeCell ref="G7:G8"/>
    <mergeCell ref="H7:H8"/>
    <mergeCell ref="I7:I8"/>
    <mergeCell ref="J7:J8"/>
    <mergeCell ref="L7:L8"/>
    <mergeCell ref="K7:K8"/>
    <mergeCell ref="N33:O33"/>
    <mergeCell ref="AK12:AK15"/>
    <mergeCell ref="AK18:AK20"/>
    <mergeCell ref="AK23:AK25"/>
    <mergeCell ref="AK29:AK30"/>
    <mergeCell ref="AK31:AK32"/>
    <mergeCell ref="AI7:AI8"/>
    <mergeCell ref="AJ7:AJ8"/>
    <mergeCell ref="AK7:AK8"/>
    <mergeCell ref="AH13:AH15"/>
    <mergeCell ref="AG13:AG15"/>
    <mergeCell ref="N13:N15"/>
    <mergeCell ref="T7:T8"/>
    <mergeCell ref="Y13:Y15"/>
    <mergeCell ref="Z13:Z15"/>
    <mergeCell ref="AA13:AA15"/>
    <mergeCell ref="Q13:Q15"/>
    <mergeCell ref="P13:P15"/>
    <mergeCell ref="AF13:AF15"/>
    <mergeCell ref="AC13:AC15"/>
    <mergeCell ref="AD13:AD15"/>
    <mergeCell ref="AB13:AB15"/>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141"/>
  <sheetViews>
    <sheetView showGridLines="0" topLeftCell="S1" zoomScale="70" zoomScaleNormal="70" workbookViewId="0">
      <pane ySplit="1" topLeftCell="A2" activePane="bottomLeft" state="frozen"/>
      <selection pane="bottomLeft" activeCell="AL1" sqref="AL1:AM4"/>
    </sheetView>
  </sheetViews>
  <sheetFormatPr baseColWidth="10" defaultColWidth="11.42578125" defaultRowHeight="17.25" customHeight="1" x14ac:dyDescent="0.3"/>
  <cols>
    <col min="1" max="1" width="10.28515625" style="875" customWidth="1"/>
    <col min="2" max="2" width="4" style="875" customWidth="1"/>
    <col min="3" max="3" width="11.5703125" style="875" customWidth="1"/>
    <col min="4" max="4" width="11" style="875" customWidth="1"/>
    <col min="5" max="5" width="7.42578125" style="875" customWidth="1"/>
    <col min="6" max="6" width="7.85546875" style="875" customWidth="1"/>
    <col min="7" max="7" width="10.85546875" style="875" customWidth="1"/>
    <col min="8" max="8" width="8.5703125" style="875" customWidth="1"/>
    <col min="9" max="9" width="11.140625" style="875" customWidth="1"/>
    <col min="10" max="10" width="10.42578125" style="875" customWidth="1"/>
    <col min="11" max="11" width="33.7109375" style="916" customWidth="1"/>
    <col min="12" max="12" width="15.5703125" style="878" customWidth="1"/>
    <col min="13" max="13" width="16.5703125" style="878" customWidth="1"/>
    <col min="14" max="14" width="34.140625" style="878" customWidth="1"/>
    <col min="15" max="15" width="18.85546875" style="878" customWidth="1"/>
    <col min="16" max="16" width="27.140625" style="916" customWidth="1"/>
    <col min="17" max="17" width="10.85546875" style="917" customWidth="1"/>
    <col min="18" max="18" width="19.7109375" style="883" customWidth="1"/>
    <col min="19" max="19" width="26.7109375" style="916" customWidth="1"/>
    <col min="20" max="20" width="40.140625" style="916" customWidth="1"/>
    <col min="21" max="21" width="43" style="919" customWidth="1"/>
    <col min="22" max="22" width="22.42578125" style="920" customWidth="1"/>
    <col min="23" max="23" width="15.7109375" style="919" customWidth="1"/>
    <col min="24" max="24" width="28" style="875" customWidth="1"/>
    <col min="25" max="25" width="9.85546875" style="875" customWidth="1"/>
    <col min="26" max="26" width="9.140625" style="875" customWidth="1"/>
    <col min="27" max="27" width="8.85546875" style="875" customWidth="1"/>
    <col min="28" max="28" width="8.5703125" style="875" customWidth="1"/>
    <col min="29" max="30" width="9.28515625" style="875" customWidth="1"/>
    <col min="31" max="31" width="8.42578125" style="875" customWidth="1"/>
    <col min="32" max="32" width="8.85546875" style="875" customWidth="1"/>
    <col min="33" max="34" width="7.28515625" style="875" customWidth="1"/>
    <col min="35" max="35" width="7.85546875" style="875" customWidth="1"/>
    <col min="36" max="36" width="7.7109375" style="875" customWidth="1"/>
    <col min="37" max="37" width="15.140625" style="921" customWidth="1"/>
    <col min="38" max="38" width="12" style="922" customWidth="1"/>
    <col min="39" max="39" width="25.5703125" style="923" customWidth="1"/>
    <col min="40" max="16384" width="11.42578125" style="875"/>
  </cols>
  <sheetData>
    <row r="1" spans="1:39" s="867" customFormat="1" ht="17.25" customHeight="1" x14ac:dyDescent="0.25">
      <c r="A1" s="1806" t="s">
        <v>1789</v>
      </c>
      <c r="B1" s="1806"/>
      <c r="C1" s="1806"/>
      <c r="D1" s="1806"/>
      <c r="E1" s="1806"/>
      <c r="F1" s="1806"/>
      <c r="G1" s="1806"/>
      <c r="H1" s="1806"/>
      <c r="I1" s="1806"/>
      <c r="J1" s="1806"/>
      <c r="K1" s="1806"/>
      <c r="L1" s="1806"/>
      <c r="M1" s="1806"/>
      <c r="N1" s="1806"/>
      <c r="O1" s="1806"/>
      <c r="P1" s="1806"/>
      <c r="Q1" s="1806"/>
      <c r="R1" s="1806"/>
      <c r="S1" s="1806"/>
      <c r="T1" s="1806"/>
      <c r="U1" s="1806"/>
      <c r="V1" s="1806"/>
      <c r="W1" s="1806"/>
      <c r="X1" s="1806"/>
      <c r="Y1" s="1806"/>
      <c r="Z1" s="1806"/>
      <c r="AA1" s="1806"/>
      <c r="AB1" s="1806"/>
      <c r="AC1" s="1806"/>
      <c r="AD1" s="1806"/>
      <c r="AE1" s="1806"/>
      <c r="AF1" s="1806"/>
      <c r="AG1" s="1806"/>
      <c r="AH1" s="1806"/>
      <c r="AI1" s="1806"/>
      <c r="AJ1" s="1806"/>
      <c r="AK1" s="2060"/>
      <c r="AL1" s="769" t="s">
        <v>0</v>
      </c>
      <c r="AM1" s="245" t="s">
        <v>1784</v>
      </c>
    </row>
    <row r="2" spans="1:39" s="867" customFormat="1" ht="17.25" customHeight="1" x14ac:dyDescent="0.25">
      <c r="A2" s="1806"/>
      <c r="B2" s="1806"/>
      <c r="C2" s="1806"/>
      <c r="D2" s="1806"/>
      <c r="E2" s="1806"/>
      <c r="F2" s="1806"/>
      <c r="G2" s="1806"/>
      <c r="H2" s="1806"/>
      <c r="I2" s="1806"/>
      <c r="J2" s="1806"/>
      <c r="K2" s="1806"/>
      <c r="L2" s="1806"/>
      <c r="M2" s="1806"/>
      <c r="N2" s="1806"/>
      <c r="O2" s="1806"/>
      <c r="P2" s="1806"/>
      <c r="Q2" s="1806"/>
      <c r="R2" s="1806"/>
      <c r="S2" s="1806"/>
      <c r="T2" s="1806"/>
      <c r="U2" s="1806"/>
      <c r="V2" s="1806"/>
      <c r="W2" s="1806"/>
      <c r="X2" s="1806"/>
      <c r="Y2" s="1806"/>
      <c r="Z2" s="1806"/>
      <c r="AA2" s="1806"/>
      <c r="AB2" s="1806"/>
      <c r="AC2" s="1806"/>
      <c r="AD2" s="1806"/>
      <c r="AE2" s="1806"/>
      <c r="AF2" s="1806"/>
      <c r="AG2" s="1806"/>
      <c r="AH2" s="1806"/>
      <c r="AI2" s="1806"/>
      <c r="AJ2" s="1806"/>
      <c r="AK2" s="2060"/>
      <c r="AL2" s="770" t="s">
        <v>1</v>
      </c>
      <c r="AM2" s="246">
        <v>5</v>
      </c>
    </row>
    <row r="3" spans="1:39" s="867" customFormat="1" ht="17.25" customHeight="1" x14ac:dyDescent="0.25">
      <c r="A3" s="1806" t="s">
        <v>534</v>
      </c>
      <c r="B3" s="1806"/>
      <c r="C3" s="1806"/>
      <c r="D3" s="1806"/>
      <c r="E3" s="1806"/>
      <c r="F3" s="1806"/>
      <c r="G3" s="1806"/>
      <c r="H3" s="1806"/>
      <c r="I3" s="1806"/>
      <c r="J3" s="1806"/>
      <c r="K3" s="1806"/>
      <c r="L3" s="1806"/>
      <c r="M3" s="1806"/>
      <c r="N3" s="1806"/>
      <c r="O3" s="1806"/>
      <c r="P3" s="1806"/>
      <c r="Q3" s="1806"/>
      <c r="R3" s="1806"/>
      <c r="S3" s="1806"/>
      <c r="T3" s="1806"/>
      <c r="U3" s="1806"/>
      <c r="V3" s="1806"/>
      <c r="W3" s="1806"/>
      <c r="X3" s="1806"/>
      <c r="Y3" s="1806"/>
      <c r="Z3" s="1806"/>
      <c r="AA3" s="1806"/>
      <c r="AB3" s="1806"/>
      <c r="AC3" s="1806"/>
      <c r="AD3" s="1806"/>
      <c r="AE3" s="1806"/>
      <c r="AF3" s="1806"/>
      <c r="AG3" s="1806"/>
      <c r="AH3" s="1806"/>
      <c r="AI3" s="1806"/>
      <c r="AJ3" s="1806"/>
      <c r="AK3" s="2060"/>
      <c r="AL3" s="769" t="s">
        <v>2</v>
      </c>
      <c r="AM3" s="247" t="s">
        <v>1785</v>
      </c>
    </row>
    <row r="4" spans="1:39" s="867" customFormat="1" ht="17.25" customHeight="1" x14ac:dyDescent="0.2">
      <c r="A4" s="1760" t="s">
        <v>119</v>
      </c>
      <c r="B4" s="1760"/>
      <c r="C4" s="1760"/>
      <c r="D4" s="1760"/>
      <c r="E4" s="1760"/>
      <c r="F4" s="1760"/>
      <c r="G4" s="1760"/>
      <c r="H4" s="1760"/>
      <c r="I4" s="1760"/>
      <c r="J4" s="1760"/>
      <c r="K4" s="1760"/>
      <c r="L4" s="1760"/>
      <c r="M4" s="1760"/>
      <c r="N4" s="1760"/>
      <c r="O4" s="1760"/>
      <c r="P4" s="1760"/>
      <c r="Q4" s="1760"/>
      <c r="R4" s="1760"/>
      <c r="S4" s="1760"/>
      <c r="T4" s="1760"/>
      <c r="U4" s="1760"/>
      <c r="V4" s="1760"/>
      <c r="W4" s="1760"/>
      <c r="X4" s="1760"/>
      <c r="Y4" s="1760"/>
      <c r="Z4" s="1760"/>
      <c r="AA4" s="1760"/>
      <c r="AB4" s="1760"/>
      <c r="AC4" s="1760"/>
      <c r="AD4" s="1760"/>
      <c r="AE4" s="1760"/>
      <c r="AF4" s="1760"/>
      <c r="AG4" s="1760"/>
      <c r="AH4" s="1760"/>
      <c r="AI4" s="1760"/>
      <c r="AJ4" s="1760"/>
      <c r="AK4" s="1761"/>
      <c r="AL4" s="772" t="s">
        <v>3</v>
      </c>
      <c r="AM4" s="248" t="s">
        <v>4</v>
      </c>
    </row>
    <row r="5" spans="1:39" s="867" customFormat="1" ht="17.25" customHeight="1" x14ac:dyDescent="0.2">
      <c r="A5" s="2262" t="s">
        <v>5</v>
      </c>
      <c r="B5" s="2262"/>
      <c r="C5" s="2262"/>
      <c r="D5" s="2262"/>
      <c r="E5" s="2262"/>
      <c r="F5" s="2262"/>
      <c r="G5" s="2262"/>
      <c r="H5" s="2262"/>
      <c r="I5" s="2262"/>
      <c r="J5" s="2262"/>
      <c r="K5" s="2262"/>
      <c r="L5" s="2262"/>
      <c r="M5" s="2262"/>
      <c r="N5" s="2264" t="s">
        <v>6</v>
      </c>
      <c r="O5" s="2265"/>
      <c r="P5" s="2265"/>
      <c r="Q5" s="2265"/>
      <c r="R5" s="2265"/>
      <c r="S5" s="2265"/>
      <c r="T5" s="2265"/>
      <c r="U5" s="2265"/>
      <c r="V5" s="2265"/>
      <c r="W5" s="2265"/>
      <c r="X5" s="2265"/>
      <c r="Y5" s="2265"/>
      <c r="Z5" s="2265"/>
      <c r="AA5" s="2265"/>
      <c r="AB5" s="2265"/>
      <c r="AC5" s="2265"/>
      <c r="AD5" s="2265"/>
      <c r="AE5" s="2265"/>
      <c r="AF5" s="2265"/>
      <c r="AG5" s="2265"/>
      <c r="AH5" s="2265"/>
      <c r="AI5" s="2265"/>
      <c r="AJ5" s="2265"/>
      <c r="AK5" s="2265"/>
      <c r="AL5" s="2265"/>
      <c r="AM5" s="2266"/>
    </row>
    <row r="6" spans="1:39" s="867" customFormat="1" ht="20.25" customHeight="1" x14ac:dyDescent="0.2">
      <c r="A6" s="2263"/>
      <c r="B6" s="2263"/>
      <c r="C6" s="2263"/>
      <c r="D6" s="2263"/>
      <c r="E6" s="2263"/>
      <c r="F6" s="2263"/>
      <c r="G6" s="2263"/>
      <c r="H6" s="2263"/>
      <c r="I6" s="2263"/>
      <c r="J6" s="2263"/>
      <c r="K6" s="2263"/>
      <c r="L6" s="2263"/>
      <c r="M6" s="2263"/>
      <c r="N6" s="868"/>
      <c r="O6" s="869"/>
      <c r="P6" s="870"/>
      <c r="Q6" s="871"/>
      <c r="R6" s="872"/>
      <c r="S6" s="870"/>
      <c r="T6" s="870"/>
      <c r="U6" s="873"/>
      <c r="V6" s="872"/>
      <c r="W6" s="869"/>
      <c r="X6" s="873"/>
      <c r="Y6" s="2262" t="s">
        <v>7</v>
      </c>
      <c r="Z6" s="2262"/>
      <c r="AA6" s="2262"/>
      <c r="AB6" s="2262"/>
      <c r="AC6" s="2262"/>
      <c r="AD6" s="2262"/>
      <c r="AE6" s="2262"/>
      <c r="AF6" s="2262"/>
      <c r="AG6" s="2262"/>
      <c r="AH6" s="2262"/>
      <c r="AI6" s="2262"/>
      <c r="AJ6" s="2262"/>
      <c r="AK6" s="2262"/>
      <c r="AL6" s="2262"/>
      <c r="AM6" s="2267"/>
    </row>
    <row r="7" spans="1:39" ht="17.25" customHeight="1" x14ac:dyDescent="0.3">
      <c r="A7" s="2076" t="s">
        <v>8</v>
      </c>
      <c r="B7" s="2079" t="s">
        <v>9</v>
      </c>
      <c r="C7" s="2076"/>
      <c r="D7" s="2068" t="s">
        <v>8</v>
      </c>
      <c r="E7" s="2079" t="s">
        <v>10</v>
      </c>
      <c r="F7" s="2076"/>
      <c r="G7" s="2068" t="s">
        <v>8</v>
      </c>
      <c r="H7" s="2079" t="s">
        <v>11</v>
      </c>
      <c r="I7" s="2076"/>
      <c r="J7" s="2068" t="s">
        <v>8</v>
      </c>
      <c r="K7" s="2068" t="s">
        <v>12</v>
      </c>
      <c r="L7" s="2068" t="s">
        <v>13</v>
      </c>
      <c r="M7" s="2068" t="s">
        <v>434</v>
      </c>
      <c r="N7" s="2068" t="s">
        <v>15</v>
      </c>
      <c r="O7" s="2068" t="s">
        <v>16</v>
      </c>
      <c r="P7" s="2068" t="s">
        <v>6</v>
      </c>
      <c r="Q7" s="2068" t="s">
        <v>17</v>
      </c>
      <c r="R7" s="2071" t="s">
        <v>18</v>
      </c>
      <c r="S7" s="2068" t="s">
        <v>19</v>
      </c>
      <c r="T7" s="2068" t="s">
        <v>20</v>
      </c>
      <c r="U7" s="2068" t="s">
        <v>21</v>
      </c>
      <c r="V7" s="2071" t="s">
        <v>18</v>
      </c>
      <c r="W7" s="874"/>
      <c r="X7" s="2068" t="s">
        <v>22</v>
      </c>
      <c r="Y7" s="2074" t="s">
        <v>23</v>
      </c>
      <c r="Z7" s="2075"/>
      <c r="AA7" s="2075"/>
      <c r="AB7" s="2075"/>
      <c r="AC7" s="2075"/>
      <c r="AD7" s="2075"/>
      <c r="AE7" s="2074" t="s">
        <v>24</v>
      </c>
      <c r="AF7" s="2075"/>
      <c r="AG7" s="2075"/>
      <c r="AH7" s="2075"/>
      <c r="AI7" s="2075"/>
      <c r="AJ7" s="2075"/>
      <c r="AK7" s="2259" t="s">
        <v>25</v>
      </c>
      <c r="AL7" s="2259" t="s">
        <v>26</v>
      </c>
      <c r="AM7" s="2071" t="s">
        <v>27</v>
      </c>
    </row>
    <row r="8" spans="1:39" ht="17.25" customHeight="1" x14ac:dyDescent="0.3">
      <c r="A8" s="2077"/>
      <c r="B8" s="2080"/>
      <c r="C8" s="2077"/>
      <c r="D8" s="2069"/>
      <c r="E8" s="2080"/>
      <c r="F8" s="2077"/>
      <c r="G8" s="2069"/>
      <c r="H8" s="2080"/>
      <c r="I8" s="2077"/>
      <c r="J8" s="2069"/>
      <c r="K8" s="2069"/>
      <c r="L8" s="2069"/>
      <c r="M8" s="2069"/>
      <c r="N8" s="2069"/>
      <c r="O8" s="2069"/>
      <c r="P8" s="2069"/>
      <c r="Q8" s="2069"/>
      <c r="R8" s="2072"/>
      <c r="S8" s="2069"/>
      <c r="T8" s="2069"/>
      <c r="U8" s="2069"/>
      <c r="V8" s="2072"/>
      <c r="W8" s="2069" t="s">
        <v>8</v>
      </c>
      <c r="X8" s="2069"/>
      <c r="Y8" s="2082" t="s">
        <v>259</v>
      </c>
      <c r="Z8" s="2082" t="s">
        <v>29</v>
      </c>
      <c r="AA8" s="2082" t="s">
        <v>30</v>
      </c>
      <c r="AB8" s="2082" t="s">
        <v>31</v>
      </c>
      <c r="AC8" s="2082" t="s">
        <v>32</v>
      </c>
      <c r="AD8" s="2082" t="s">
        <v>435</v>
      </c>
      <c r="AE8" s="2082" t="s">
        <v>34</v>
      </c>
      <c r="AF8" s="2082" t="s">
        <v>35</v>
      </c>
      <c r="AG8" s="2082" t="s">
        <v>36</v>
      </c>
      <c r="AH8" s="2082" t="s">
        <v>37</v>
      </c>
      <c r="AI8" s="2082" t="s">
        <v>38</v>
      </c>
      <c r="AJ8" s="2082" t="s">
        <v>39</v>
      </c>
      <c r="AK8" s="2260"/>
      <c r="AL8" s="2260"/>
      <c r="AM8" s="2072"/>
    </row>
    <row r="9" spans="1:39" ht="17.25" customHeight="1" x14ac:dyDescent="0.3">
      <c r="A9" s="2077"/>
      <c r="B9" s="2080"/>
      <c r="C9" s="2077"/>
      <c r="D9" s="2069"/>
      <c r="E9" s="2080"/>
      <c r="F9" s="2077"/>
      <c r="G9" s="2069"/>
      <c r="H9" s="2080"/>
      <c r="I9" s="2077"/>
      <c r="J9" s="2069"/>
      <c r="K9" s="2069"/>
      <c r="L9" s="2069"/>
      <c r="M9" s="2069"/>
      <c r="N9" s="2069"/>
      <c r="O9" s="2069"/>
      <c r="P9" s="2069"/>
      <c r="Q9" s="2069"/>
      <c r="R9" s="2072"/>
      <c r="S9" s="2069"/>
      <c r="T9" s="2069"/>
      <c r="U9" s="2069"/>
      <c r="V9" s="2072"/>
      <c r="W9" s="2069"/>
      <c r="X9" s="2069"/>
      <c r="Y9" s="2083"/>
      <c r="Z9" s="2083"/>
      <c r="AA9" s="2083"/>
      <c r="AB9" s="2083"/>
      <c r="AC9" s="2083"/>
      <c r="AD9" s="2083"/>
      <c r="AE9" s="2083"/>
      <c r="AF9" s="2083"/>
      <c r="AG9" s="2083"/>
      <c r="AH9" s="2083"/>
      <c r="AI9" s="2083"/>
      <c r="AJ9" s="2083"/>
      <c r="AK9" s="2260"/>
      <c r="AL9" s="2260"/>
      <c r="AM9" s="2072"/>
    </row>
    <row r="10" spans="1:39" ht="17.25" customHeight="1" x14ac:dyDescent="0.3">
      <c r="A10" s="2077"/>
      <c r="B10" s="2080"/>
      <c r="C10" s="2077"/>
      <c r="D10" s="2069"/>
      <c r="E10" s="2080"/>
      <c r="F10" s="2077"/>
      <c r="G10" s="2069"/>
      <c r="H10" s="2080"/>
      <c r="I10" s="2077"/>
      <c r="J10" s="2069"/>
      <c r="K10" s="2069"/>
      <c r="L10" s="2069"/>
      <c r="M10" s="2069"/>
      <c r="N10" s="2069"/>
      <c r="O10" s="2069"/>
      <c r="P10" s="2069"/>
      <c r="Q10" s="2069"/>
      <c r="R10" s="2072"/>
      <c r="S10" s="2069"/>
      <c r="T10" s="2069"/>
      <c r="U10" s="2069"/>
      <c r="V10" s="2072"/>
      <c r="W10" s="2069"/>
      <c r="X10" s="2069"/>
      <c r="Y10" s="2083"/>
      <c r="Z10" s="2083"/>
      <c r="AA10" s="2083"/>
      <c r="AB10" s="2083"/>
      <c r="AC10" s="2083"/>
      <c r="AD10" s="2083"/>
      <c r="AE10" s="2083"/>
      <c r="AF10" s="2083"/>
      <c r="AG10" s="2083"/>
      <c r="AH10" s="2083"/>
      <c r="AI10" s="2083"/>
      <c r="AJ10" s="2083"/>
      <c r="AK10" s="2260"/>
      <c r="AL10" s="2260"/>
      <c r="AM10" s="2072"/>
    </row>
    <row r="11" spans="1:39" ht="17.25" customHeight="1" x14ac:dyDescent="0.3">
      <c r="A11" s="2077"/>
      <c r="B11" s="2080"/>
      <c r="C11" s="2077"/>
      <c r="D11" s="2069"/>
      <c r="E11" s="2080"/>
      <c r="F11" s="2077"/>
      <c r="G11" s="2069"/>
      <c r="H11" s="2080"/>
      <c r="I11" s="2077"/>
      <c r="J11" s="2069"/>
      <c r="K11" s="2069"/>
      <c r="L11" s="2069"/>
      <c r="M11" s="2069"/>
      <c r="N11" s="2069"/>
      <c r="O11" s="2069"/>
      <c r="P11" s="2069"/>
      <c r="Q11" s="2069"/>
      <c r="R11" s="2072"/>
      <c r="S11" s="2069"/>
      <c r="T11" s="2069"/>
      <c r="U11" s="2069"/>
      <c r="V11" s="2072"/>
      <c r="W11" s="2069"/>
      <c r="X11" s="2069"/>
      <c r="Y11" s="2083"/>
      <c r="Z11" s="2083"/>
      <c r="AA11" s="2083"/>
      <c r="AB11" s="2083"/>
      <c r="AC11" s="2083"/>
      <c r="AD11" s="2083"/>
      <c r="AE11" s="2083"/>
      <c r="AF11" s="2083"/>
      <c r="AG11" s="2083"/>
      <c r="AH11" s="2083"/>
      <c r="AI11" s="2083"/>
      <c r="AJ11" s="2083"/>
      <c r="AK11" s="2260"/>
      <c r="AL11" s="2260"/>
      <c r="AM11" s="2072"/>
    </row>
    <row r="12" spans="1:39" ht="17.25" customHeight="1" x14ac:dyDescent="0.3">
      <c r="A12" s="2077"/>
      <c r="B12" s="2080"/>
      <c r="C12" s="2077"/>
      <c r="D12" s="2069"/>
      <c r="E12" s="2080"/>
      <c r="F12" s="2077"/>
      <c r="G12" s="2069"/>
      <c r="H12" s="2080"/>
      <c r="I12" s="2077"/>
      <c r="J12" s="2069"/>
      <c r="K12" s="2069"/>
      <c r="L12" s="2069"/>
      <c r="M12" s="2069"/>
      <c r="N12" s="2069"/>
      <c r="O12" s="2069"/>
      <c r="P12" s="2069"/>
      <c r="Q12" s="2069"/>
      <c r="R12" s="2072"/>
      <c r="S12" s="2069"/>
      <c r="T12" s="2069"/>
      <c r="U12" s="2069"/>
      <c r="V12" s="2072"/>
      <c r="W12" s="2069"/>
      <c r="X12" s="2069"/>
      <c r="Y12" s="2083"/>
      <c r="Z12" s="2083"/>
      <c r="AA12" s="2083"/>
      <c r="AB12" s="2083"/>
      <c r="AC12" s="2083"/>
      <c r="AD12" s="2083"/>
      <c r="AE12" s="2083"/>
      <c r="AF12" s="2083"/>
      <c r="AG12" s="2083"/>
      <c r="AH12" s="2083"/>
      <c r="AI12" s="2083"/>
      <c r="AJ12" s="2083"/>
      <c r="AK12" s="2260"/>
      <c r="AL12" s="2260"/>
      <c r="AM12" s="2072"/>
    </row>
    <row r="13" spans="1:39" ht="17.25" customHeight="1" x14ac:dyDescent="0.3">
      <c r="A13" s="2077"/>
      <c r="B13" s="2080"/>
      <c r="C13" s="2077"/>
      <c r="D13" s="2069"/>
      <c r="E13" s="2080"/>
      <c r="F13" s="2077"/>
      <c r="G13" s="2069"/>
      <c r="H13" s="2080"/>
      <c r="I13" s="2077"/>
      <c r="J13" s="2069"/>
      <c r="K13" s="2069"/>
      <c r="L13" s="2069"/>
      <c r="M13" s="2069"/>
      <c r="N13" s="2069"/>
      <c r="O13" s="2069"/>
      <c r="P13" s="2069"/>
      <c r="Q13" s="2069"/>
      <c r="R13" s="2072"/>
      <c r="S13" s="2069"/>
      <c r="T13" s="2069"/>
      <c r="U13" s="2069"/>
      <c r="V13" s="2072"/>
      <c r="W13" s="2069"/>
      <c r="X13" s="2069"/>
      <c r="Y13" s="2083"/>
      <c r="Z13" s="2083"/>
      <c r="AA13" s="2083"/>
      <c r="AB13" s="2083"/>
      <c r="AC13" s="2083"/>
      <c r="AD13" s="2083"/>
      <c r="AE13" s="2083"/>
      <c r="AF13" s="2083"/>
      <c r="AG13" s="2083"/>
      <c r="AH13" s="2083"/>
      <c r="AI13" s="2083"/>
      <c r="AJ13" s="2083"/>
      <c r="AK13" s="2260"/>
      <c r="AL13" s="2260"/>
      <c r="AM13" s="2072"/>
    </row>
    <row r="14" spans="1:39" ht="15" customHeight="1" x14ac:dyDescent="0.3">
      <c r="A14" s="2078"/>
      <c r="B14" s="2081"/>
      <c r="C14" s="2078"/>
      <c r="D14" s="2070"/>
      <c r="E14" s="2081"/>
      <c r="F14" s="2078"/>
      <c r="G14" s="2070"/>
      <c r="H14" s="2081"/>
      <c r="I14" s="2078"/>
      <c r="J14" s="2070"/>
      <c r="K14" s="2070"/>
      <c r="L14" s="2070"/>
      <c r="M14" s="2070"/>
      <c r="N14" s="2070"/>
      <c r="O14" s="2070"/>
      <c r="P14" s="2070"/>
      <c r="Q14" s="2070"/>
      <c r="R14" s="2073"/>
      <c r="S14" s="2070"/>
      <c r="T14" s="2070"/>
      <c r="U14" s="2070"/>
      <c r="V14" s="2073"/>
      <c r="W14" s="2070"/>
      <c r="X14" s="2070"/>
      <c r="Y14" s="2084"/>
      <c r="Z14" s="2084"/>
      <c r="AA14" s="2084"/>
      <c r="AB14" s="2084"/>
      <c r="AC14" s="2084"/>
      <c r="AD14" s="2084"/>
      <c r="AE14" s="2084"/>
      <c r="AF14" s="2084"/>
      <c r="AG14" s="2084"/>
      <c r="AH14" s="2084"/>
      <c r="AI14" s="2084"/>
      <c r="AJ14" s="2084"/>
      <c r="AK14" s="2261"/>
      <c r="AL14" s="2261"/>
      <c r="AM14" s="2072"/>
    </row>
    <row r="15" spans="1:39" ht="17.25" customHeight="1" x14ac:dyDescent="0.3">
      <c r="A15" s="2062">
        <v>2</v>
      </c>
      <c r="B15" s="2064" t="s">
        <v>436</v>
      </c>
      <c r="C15" s="2065"/>
      <c r="D15" s="2065"/>
      <c r="E15" s="2065"/>
      <c r="F15" s="2065"/>
      <c r="G15" s="2065"/>
      <c r="H15" s="2065"/>
      <c r="I15" s="2065"/>
      <c r="J15" s="2065"/>
      <c r="K15" s="2065"/>
      <c r="L15" s="2065"/>
      <c r="M15" s="2065"/>
      <c r="N15" s="2065"/>
      <c r="O15" s="2065"/>
      <c r="P15" s="2065"/>
      <c r="Q15" s="2065"/>
      <c r="R15" s="2065"/>
      <c r="S15" s="2065"/>
      <c r="T15" s="2065"/>
      <c r="U15" s="2065"/>
      <c r="V15" s="2065"/>
      <c r="W15" s="2065"/>
      <c r="X15" s="2065"/>
      <c r="Y15" s="2065"/>
      <c r="Z15" s="2065"/>
      <c r="AA15" s="2065"/>
      <c r="AB15" s="2065"/>
      <c r="AC15" s="2065"/>
      <c r="AD15" s="2065"/>
      <c r="AE15" s="2065"/>
      <c r="AF15" s="2065"/>
      <c r="AG15" s="2065"/>
      <c r="AH15" s="2065"/>
      <c r="AI15" s="2065"/>
      <c r="AJ15" s="2065"/>
      <c r="AK15" s="2065"/>
      <c r="AL15" s="2065"/>
      <c r="AM15" s="876"/>
    </row>
    <row r="16" spans="1:39" s="878" customFormat="1" ht="17.25" customHeight="1" x14ac:dyDescent="0.3">
      <c r="A16" s="2063"/>
      <c r="B16" s="2066"/>
      <c r="C16" s="2067"/>
      <c r="D16" s="2067"/>
      <c r="E16" s="2067"/>
      <c r="F16" s="2067"/>
      <c r="G16" s="2067"/>
      <c r="H16" s="2067"/>
      <c r="I16" s="2067"/>
      <c r="J16" s="2067"/>
      <c r="K16" s="2067"/>
      <c r="L16" s="2067"/>
      <c r="M16" s="2067"/>
      <c r="N16" s="2067"/>
      <c r="O16" s="2067"/>
      <c r="P16" s="2067"/>
      <c r="Q16" s="2067"/>
      <c r="R16" s="2067"/>
      <c r="S16" s="2067"/>
      <c r="T16" s="2067"/>
      <c r="U16" s="2067"/>
      <c r="V16" s="2067"/>
      <c r="W16" s="2067"/>
      <c r="X16" s="2067"/>
      <c r="Y16" s="2067"/>
      <c r="Z16" s="2067"/>
      <c r="AA16" s="2067"/>
      <c r="AB16" s="2067"/>
      <c r="AC16" s="2067"/>
      <c r="AD16" s="2067"/>
      <c r="AE16" s="2067"/>
      <c r="AF16" s="2067"/>
      <c r="AG16" s="2067"/>
      <c r="AH16" s="2067"/>
      <c r="AI16" s="2067"/>
      <c r="AJ16" s="2067"/>
      <c r="AK16" s="2067"/>
      <c r="AL16" s="2067"/>
      <c r="AM16" s="877"/>
    </row>
    <row r="17" spans="1:45" s="878" customFormat="1" ht="17.25" customHeight="1" x14ac:dyDescent="0.3">
      <c r="A17" s="2085" t="s">
        <v>437</v>
      </c>
      <c r="B17" s="2086"/>
      <c r="C17" s="2087"/>
      <c r="D17" s="2094">
        <v>2</v>
      </c>
      <c r="E17" s="2096" t="s">
        <v>438</v>
      </c>
      <c r="F17" s="2097"/>
      <c r="G17" s="2097"/>
      <c r="H17" s="2097"/>
      <c r="I17" s="2097"/>
      <c r="J17" s="2097"/>
      <c r="K17" s="2097"/>
      <c r="L17" s="2097"/>
      <c r="M17" s="2097"/>
      <c r="N17" s="2097"/>
      <c r="O17" s="2097"/>
      <c r="P17" s="2097"/>
      <c r="Q17" s="2097"/>
      <c r="R17" s="2097"/>
      <c r="S17" s="2097"/>
      <c r="T17" s="2097"/>
      <c r="U17" s="2097"/>
      <c r="V17" s="2097"/>
      <c r="W17" s="2097"/>
      <c r="X17" s="2097"/>
      <c r="Y17" s="2097"/>
      <c r="Z17" s="2097"/>
      <c r="AA17" s="2097"/>
      <c r="AB17" s="2097"/>
      <c r="AC17" s="2097"/>
      <c r="AD17" s="2097"/>
      <c r="AE17" s="2097"/>
      <c r="AF17" s="2097"/>
      <c r="AG17" s="2097"/>
      <c r="AH17" s="2097"/>
      <c r="AI17" s="2097"/>
      <c r="AJ17" s="2097"/>
      <c r="AK17" s="2097"/>
      <c r="AL17" s="2097"/>
      <c r="AM17" s="879"/>
    </row>
    <row r="18" spans="1:45" s="878" customFormat="1" ht="17.25" customHeight="1" x14ac:dyDescent="0.3">
      <c r="A18" s="2088"/>
      <c r="B18" s="2089"/>
      <c r="C18" s="2090"/>
      <c r="D18" s="2095"/>
      <c r="E18" s="2098"/>
      <c r="F18" s="2099"/>
      <c r="G18" s="2099"/>
      <c r="H18" s="2099"/>
      <c r="I18" s="2099"/>
      <c r="J18" s="2099"/>
      <c r="K18" s="2099"/>
      <c r="L18" s="2099"/>
      <c r="M18" s="2099"/>
      <c r="N18" s="2099"/>
      <c r="O18" s="2099"/>
      <c r="P18" s="2099"/>
      <c r="Q18" s="2099"/>
      <c r="R18" s="2099"/>
      <c r="S18" s="2099"/>
      <c r="T18" s="2099"/>
      <c r="U18" s="2099"/>
      <c r="V18" s="2099"/>
      <c r="W18" s="2099"/>
      <c r="X18" s="2099"/>
      <c r="Y18" s="2099"/>
      <c r="Z18" s="2099"/>
      <c r="AA18" s="2099"/>
      <c r="AB18" s="2099"/>
      <c r="AC18" s="2099"/>
      <c r="AD18" s="2099"/>
      <c r="AE18" s="2099"/>
      <c r="AF18" s="2099"/>
      <c r="AG18" s="2099"/>
      <c r="AH18" s="2099"/>
      <c r="AI18" s="2099"/>
      <c r="AJ18" s="2099"/>
      <c r="AK18" s="2099"/>
      <c r="AL18" s="2099"/>
      <c r="AM18" s="880"/>
    </row>
    <row r="19" spans="1:45" s="878" customFormat="1" ht="17.25" customHeight="1" x14ac:dyDescent="0.3">
      <c r="A19" s="2088"/>
      <c r="B19" s="2089"/>
      <c r="C19" s="2090"/>
      <c r="D19" s="2085"/>
      <c r="E19" s="2086"/>
      <c r="F19" s="2087"/>
      <c r="G19" s="2100">
        <v>8</v>
      </c>
      <c r="H19" s="2102" t="s">
        <v>439</v>
      </c>
      <c r="I19" s="2103"/>
      <c r="J19" s="2103"/>
      <c r="K19" s="2103"/>
      <c r="L19" s="2103"/>
      <c r="M19" s="2103"/>
      <c r="N19" s="2103"/>
      <c r="O19" s="2103"/>
      <c r="P19" s="2103"/>
      <c r="Q19" s="2103"/>
      <c r="R19" s="2103"/>
      <c r="S19" s="2103"/>
      <c r="T19" s="2103"/>
      <c r="U19" s="2103"/>
      <c r="V19" s="2103"/>
      <c r="W19" s="2103"/>
      <c r="X19" s="2103"/>
      <c r="Y19" s="2103"/>
      <c r="Z19" s="2103"/>
      <c r="AA19" s="2103"/>
      <c r="AB19" s="2103"/>
      <c r="AC19" s="2103"/>
      <c r="AD19" s="2103"/>
      <c r="AE19" s="2103"/>
      <c r="AF19" s="2103"/>
      <c r="AG19" s="2103"/>
      <c r="AH19" s="2103"/>
      <c r="AI19" s="2103"/>
      <c r="AJ19" s="2103"/>
      <c r="AK19" s="2103"/>
      <c r="AL19" s="2103"/>
      <c r="AM19" s="881"/>
    </row>
    <row r="20" spans="1:45" s="878" customFormat="1" ht="17.25" customHeight="1" x14ac:dyDescent="0.3">
      <c r="A20" s="2088"/>
      <c r="B20" s="2089"/>
      <c r="C20" s="2090"/>
      <c r="D20" s="2088"/>
      <c r="E20" s="2089"/>
      <c r="F20" s="2090"/>
      <c r="G20" s="2101"/>
      <c r="H20" s="2104"/>
      <c r="I20" s="2105"/>
      <c r="J20" s="2105"/>
      <c r="K20" s="2105"/>
      <c r="L20" s="2105"/>
      <c r="M20" s="2105"/>
      <c r="N20" s="2105"/>
      <c r="O20" s="2105"/>
      <c r="P20" s="2105"/>
      <c r="Q20" s="2105"/>
      <c r="R20" s="2105"/>
      <c r="S20" s="2105"/>
      <c r="T20" s="2105"/>
      <c r="U20" s="2105"/>
      <c r="V20" s="2105"/>
      <c r="W20" s="2105"/>
      <c r="X20" s="2105"/>
      <c r="Y20" s="2105"/>
      <c r="Z20" s="2105"/>
      <c r="AA20" s="2105"/>
      <c r="AB20" s="2105"/>
      <c r="AC20" s="2105"/>
      <c r="AD20" s="2105"/>
      <c r="AE20" s="2105"/>
      <c r="AF20" s="2105"/>
      <c r="AG20" s="2105"/>
      <c r="AH20" s="2105"/>
      <c r="AI20" s="2105"/>
      <c r="AJ20" s="2105"/>
      <c r="AK20" s="2105"/>
      <c r="AL20" s="2105"/>
      <c r="AM20" s="882"/>
    </row>
    <row r="21" spans="1:45" s="878" customFormat="1" ht="17.25" customHeight="1" x14ac:dyDescent="0.3">
      <c r="A21" s="2088"/>
      <c r="B21" s="2089"/>
      <c r="C21" s="2090"/>
      <c r="D21" s="2088"/>
      <c r="E21" s="2089"/>
      <c r="F21" s="2090"/>
      <c r="G21" s="2085"/>
      <c r="H21" s="2086"/>
      <c r="I21" s="2087"/>
      <c r="J21" s="2106">
        <v>38</v>
      </c>
      <c r="K21" s="2118" t="s">
        <v>440</v>
      </c>
      <c r="L21" s="2121" t="s">
        <v>16</v>
      </c>
      <c r="M21" s="2124">
        <v>4</v>
      </c>
      <c r="N21" s="2121" t="s">
        <v>441</v>
      </c>
      <c r="O21" s="2127" t="s">
        <v>442</v>
      </c>
      <c r="P21" s="2109" t="s">
        <v>443</v>
      </c>
      <c r="Q21" s="2112">
        <f>+R21/74160000</f>
        <v>0.49217907227615965</v>
      </c>
      <c r="R21" s="2115">
        <v>36500000</v>
      </c>
      <c r="S21" s="2109" t="s">
        <v>444</v>
      </c>
      <c r="T21" s="2109" t="s">
        <v>445</v>
      </c>
      <c r="U21" s="2109" t="s">
        <v>445</v>
      </c>
      <c r="V21" s="2130">
        <f>27500000+9000000</f>
        <v>36500000</v>
      </c>
      <c r="W21" s="2121" t="s">
        <v>446</v>
      </c>
      <c r="X21" s="2109" t="s">
        <v>447</v>
      </c>
      <c r="Y21" s="2143">
        <v>64149</v>
      </c>
      <c r="Z21" s="2143">
        <v>72224</v>
      </c>
      <c r="AA21" s="2143">
        <v>27477</v>
      </c>
      <c r="AB21" s="2143">
        <v>86843</v>
      </c>
      <c r="AC21" s="2143">
        <v>236429</v>
      </c>
      <c r="AD21" s="2143">
        <v>81384</v>
      </c>
      <c r="AE21" s="2143">
        <v>13208</v>
      </c>
      <c r="AF21" s="2143">
        <v>1827</v>
      </c>
      <c r="AG21" s="2143"/>
      <c r="AH21" s="2143"/>
      <c r="AI21" s="2143">
        <v>16897</v>
      </c>
      <c r="AJ21" s="2143">
        <v>81384</v>
      </c>
      <c r="AK21" s="2142">
        <v>42745</v>
      </c>
      <c r="AL21" s="2133">
        <v>43094</v>
      </c>
      <c r="AM21" s="2139" t="s">
        <v>448</v>
      </c>
    </row>
    <row r="22" spans="1:45" s="878" customFormat="1" ht="17.25" customHeight="1" x14ac:dyDescent="0.3">
      <c r="A22" s="2088"/>
      <c r="B22" s="2089"/>
      <c r="C22" s="2090"/>
      <c r="D22" s="2088"/>
      <c r="E22" s="2089"/>
      <c r="F22" s="2090"/>
      <c r="G22" s="2088"/>
      <c r="H22" s="2089"/>
      <c r="I22" s="2090"/>
      <c r="J22" s="2107"/>
      <c r="K22" s="2119"/>
      <c r="L22" s="2122"/>
      <c r="M22" s="2125"/>
      <c r="N22" s="2122"/>
      <c r="O22" s="2128"/>
      <c r="P22" s="2110"/>
      <c r="Q22" s="2113"/>
      <c r="R22" s="2116"/>
      <c r="S22" s="2110"/>
      <c r="T22" s="2110"/>
      <c r="U22" s="2110"/>
      <c r="V22" s="2131"/>
      <c r="W22" s="2122"/>
      <c r="X22" s="2110"/>
      <c r="Y22" s="2144"/>
      <c r="Z22" s="2144"/>
      <c r="AA22" s="2144"/>
      <c r="AB22" s="2144"/>
      <c r="AC22" s="2144"/>
      <c r="AD22" s="2144"/>
      <c r="AE22" s="2144"/>
      <c r="AF22" s="2144"/>
      <c r="AG22" s="2144"/>
      <c r="AH22" s="2144"/>
      <c r="AI22" s="2144"/>
      <c r="AJ22" s="2144"/>
      <c r="AK22" s="2142"/>
      <c r="AL22" s="2134"/>
      <c r="AM22" s="2140"/>
    </row>
    <row r="23" spans="1:45" s="878" customFormat="1" ht="17.25" customHeight="1" x14ac:dyDescent="0.3">
      <c r="A23" s="2088"/>
      <c r="B23" s="2089"/>
      <c r="C23" s="2090"/>
      <c r="D23" s="2088"/>
      <c r="E23" s="2089"/>
      <c r="F23" s="2090"/>
      <c r="G23" s="2088"/>
      <c r="H23" s="2089"/>
      <c r="I23" s="2090"/>
      <c r="J23" s="2107"/>
      <c r="K23" s="2119"/>
      <c r="L23" s="2122"/>
      <c r="M23" s="2125"/>
      <c r="N23" s="2122"/>
      <c r="O23" s="2128"/>
      <c r="P23" s="2110"/>
      <c r="Q23" s="2113"/>
      <c r="R23" s="2116"/>
      <c r="S23" s="2110"/>
      <c r="T23" s="2110"/>
      <c r="U23" s="2110"/>
      <c r="V23" s="2131"/>
      <c r="W23" s="2122"/>
      <c r="X23" s="2110"/>
      <c r="Y23" s="2144"/>
      <c r="Z23" s="2144"/>
      <c r="AA23" s="2144"/>
      <c r="AB23" s="2144"/>
      <c r="AC23" s="2144"/>
      <c r="AD23" s="2144"/>
      <c r="AE23" s="2144"/>
      <c r="AF23" s="2144"/>
      <c r="AG23" s="2144"/>
      <c r="AH23" s="2144"/>
      <c r="AI23" s="2144"/>
      <c r="AJ23" s="2144"/>
      <c r="AK23" s="2142"/>
      <c r="AL23" s="2134"/>
      <c r="AM23" s="2140"/>
    </row>
    <row r="24" spans="1:45" ht="17.25" customHeight="1" x14ac:dyDescent="0.3">
      <c r="A24" s="2088"/>
      <c r="B24" s="2089"/>
      <c r="C24" s="2090"/>
      <c r="D24" s="2088"/>
      <c r="E24" s="2089"/>
      <c r="F24" s="2090"/>
      <c r="G24" s="2088"/>
      <c r="H24" s="2089"/>
      <c r="I24" s="2090"/>
      <c r="J24" s="2107"/>
      <c r="K24" s="2119"/>
      <c r="L24" s="2122"/>
      <c r="M24" s="2125"/>
      <c r="N24" s="2122"/>
      <c r="O24" s="2128"/>
      <c r="P24" s="2110"/>
      <c r="Q24" s="2113"/>
      <c r="R24" s="2116"/>
      <c r="S24" s="2110"/>
      <c r="T24" s="2110"/>
      <c r="U24" s="2110"/>
      <c r="V24" s="2131"/>
      <c r="W24" s="2122"/>
      <c r="X24" s="2110"/>
      <c r="Y24" s="2144"/>
      <c r="Z24" s="2144"/>
      <c r="AA24" s="2144"/>
      <c r="AB24" s="2144"/>
      <c r="AC24" s="2144"/>
      <c r="AD24" s="2144"/>
      <c r="AE24" s="2144"/>
      <c r="AF24" s="2144"/>
      <c r="AG24" s="2144"/>
      <c r="AH24" s="2144"/>
      <c r="AI24" s="2144"/>
      <c r="AJ24" s="2144"/>
      <c r="AK24" s="2142"/>
      <c r="AL24" s="2134"/>
      <c r="AM24" s="2140"/>
    </row>
    <row r="25" spans="1:45" ht="17.25" customHeight="1" x14ac:dyDescent="0.3">
      <c r="A25" s="2088"/>
      <c r="B25" s="2089"/>
      <c r="C25" s="2090"/>
      <c r="D25" s="2088"/>
      <c r="E25" s="2089"/>
      <c r="F25" s="2090"/>
      <c r="G25" s="2088"/>
      <c r="H25" s="2089"/>
      <c r="I25" s="2090"/>
      <c r="J25" s="2108"/>
      <c r="K25" s="2120"/>
      <c r="L25" s="2123"/>
      <c r="M25" s="2126"/>
      <c r="N25" s="2122"/>
      <c r="O25" s="2128"/>
      <c r="P25" s="2110"/>
      <c r="Q25" s="2114"/>
      <c r="R25" s="2117"/>
      <c r="S25" s="2110"/>
      <c r="T25" s="2111"/>
      <c r="U25" s="2111"/>
      <c r="V25" s="2132"/>
      <c r="W25" s="2122"/>
      <c r="X25" s="2110"/>
      <c r="Y25" s="2144"/>
      <c r="Z25" s="2144"/>
      <c r="AA25" s="2144"/>
      <c r="AB25" s="2144"/>
      <c r="AC25" s="2144"/>
      <c r="AD25" s="2144"/>
      <c r="AE25" s="2144"/>
      <c r="AF25" s="2144"/>
      <c r="AG25" s="2144"/>
      <c r="AH25" s="2144"/>
      <c r="AI25" s="2144"/>
      <c r="AJ25" s="2144"/>
      <c r="AK25" s="2142"/>
      <c r="AL25" s="2135"/>
      <c r="AM25" s="2140"/>
    </row>
    <row r="26" spans="1:45" ht="17.25" customHeight="1" x14ac:dyDescent="0.3">
      <c r="A26" s="2088"/>
      <c r="B26" s="2089"/>
      <c r="C26" s="2090"/>
      <c r="D26" s="2088"/>
      <c r="E26" s="2089"/>
      <c r="F26" s="2090"/>
      <c r="G26" s="2088"/>
      <c r="H26" s="2089"/>
      <c r="I26" s="2090"/>
      <c r="J26" s="2106">
        <v>39</v>
      </c>
      <c r="K26" s="2118" t="s">
        <v>449</v>
      </c>
      <c r="L26" s="2121" t="s">
        <v>16</v>
      </c>
      <c r="M26" s="2124">
        <v>3</v>
      </c>
      <c r="N26" s="2122"/>
      <c r="O26" s="2128"/>
      <c r="P26" s="2110"/>
      <c r="Q26" s="2112">
        <f>+R26/74160000</f>
        <v>0.50782092772384035</v>
      </c>
      <c r="R26" s="2115">
        <v>37660000</v>
      </c>
      <c r="S26" s="2110"/>
      <c r="T26" s="2109" t="s">
        <v>450</v>
      </c>
      <c r="U26" s="2109" t="s">
        <v>450</v>
      </c>
      <c r="V26" s="2130">
        <f>27500000+10160000</f>
        <v>37660000</v>
      </c>
      <c r="W26" s="2122"/>
      <c r="X26" s="2110"/>
      <c r="Y26" s="2144"/>
      <c r="Z26" s="2144"/>
      <c r="AA26" s="2144"/>
      <c r="AB26" s="2144"/>
      <c r="AC26" s="2144"/>
      <c r="AD26" s="2144"/>
      <c r="AE26" s="2144"/>
      <c r="AF26" s="2144"/>
      <c r="AG26" s="2144"/>
      <c r="AH26" s="2144"/>
      <c r="AI26" s="2144"/>
      <c r="AJ26" s="2144"/>
      <c r="AK26" s="2142">
        <v>42745</v>
      </c>
      <c r="AL26" s="2133">
        <v>43094</v>
      </c>
      <c r="AM26" s="2140"/>
    </row>
    <row r="27" spans="1:45" ht="17.25" customHeight="1" x14ac:dyDescent="0.3">
      <c r="A27" s="2088"/>
      <c r="B27" s="2089"/>
      <c r="C27" s="2090"/>
      <c r="D27" s="2088"/>
      <c r="E27" s="2089"/>
      <c r="F27" s="2090"/>
      <c r="G27" s="2088"/>
      <c r="H27" s="2089"/>
      <c r="I27" s="2090"/>
      <c r="J27" s="2107"/>
      <c r="K27" s="2119"/>
      <c r="L27" s="2122"/>
      <c r="M27" s="2125"/>
      <c r="N27" s="2122"/>
      <c r="O27" s="2128"/>
      <c r="P27" s="2110"/>
      <c r="Q27" s="2113"/>
      <c r="R27" s="2116"/>
      <c r="S27" s="2110"/>
      <c r="T27" s="2110"/>
      <c r="U27" s="2110"/>
      <c r="V27" s="2131"/>
      <c r="W27" s="2122"/>
      <c r="X27" s="2110"/>
      <c r="Y27" s="2144"/>
      <c r="Z27" s="2144"/>
      <c r="AA27" s="2144"/>
      <c r="AB27" s="2144"/>
      <c r="AC27" s="2144"/>
      <c r="AD27" s="2144"/>
      <c r="AE27" s="2144"/>
      <c r="AF27" s="2144"/>
      <c r="AG27" s="2144"/>
      <c r="AH27" s="2144"/>
      <c r="AI27" s="2144"/>
      <c r="AJ27" s="2144"/>
      <c r="AK27" s="2142"/>
      <c r="AL27" s="2134"/>
      <c r="AM27" s="2140"/>
    </row>
    <row r="28" spans="1:45" ht="17.25" customHeight="1" x14ac:dyDescent="0.3">
      <c r="A28" s="2088"/>
      <c r="B28" s="2089"/>
      <c r="C28" s="2090"/>
      <c r="D28" s="2088"/>
      <c r="E28" s="2089"/>
      <c r="F28" s="2090"/>
      <c r="G28" s="2088"/>
      <c r="H28" s="2089"/>
      <c r="I28" s="2090"/>
      <c r="J28" s="2107"/>
      <c r="K28" s="2119"/>
      <c r="L28" s="2122"/>
      <c r="M28" s="2125"/>
      <c r="N28" s="2122"/>
      <c r="O28" s="2128"/>
      <c r="P28" s="2110"/>
      <c r="Q28" s="2113"/>
      <c r="R28" s="2116"/>
      <c r="S28" s="2110"/>
      <c r="T28" s="2110"/>
      <c r="U28" s="2110"/>
      <c r="V28" s="2131"/>
      <c r="W28" s="2122"/>
      <c r="X28" s="2110"/>
      <c r="Y28" s="2144"/>
      <c r="Z28" s="2144"/>
      <c r="AA28" s="2144"/>
      <c r="AB28" s="2144"/>
      <c r="AC28" s="2144"/>
      <c r="AD28" s="2144"/>
      <c r="AE28" s="2144"/>
      <c r="AF28" s="2144"/>
      <c r="AG28" s="2144"/>
      <c r="AH28" s="2144"/>
      <c r="AI28" s="2144"/>
      <c r="AJ28" s="2144"/>
      <c r="AK28" s="2142"/>
      <c r="AL28" s="2134"/>
      <c r="AM28" s="2140"/>
    </row>
    <row r="29" spans="1:45" ht="17.25" customHeight="1" x14ac:dyDescent="0.3">
      <c r="A29" s="2088"/>
      <c r="B29" s="2089"/>
      <c r="C29" s="2090"/>
      <c r="D29" s="2088"/>
      <c r="E29" s="2089"/>
      <c r="F29" s="2090"/>
      <c r="G29" s="2088"/>
      <c r="H29" s="2089"/>
      <c r="I29" s="2090"/>
      <c r="J29" s="2107"/>
      <c r="K29" s="2119"/>
      <c r="L29" s="2122"/>
      <c r="M29" s="2125"/>
      <c r="N29" s="2122"/>
      <c r="O29" s="2128"/>
      <c r="P29" s="2110"/>
      <c r="Q29" s="2113"/>
      <c r="R29" s="2116"/>
      <c r="S29" s="2110"/>
      <c r="T29" s="2110"/>
      <c r="U29" s="2110"/>
      <c r="V29" s="2131"/>
      <c r="W29" s="2122"/>
      <c r="X29" s="2110"/>
      <c r="Y29" s="2144"/>
      <c r="Z29" s="2144"/>
      <c r="AA29" s="2144"/>
      <c r="AB29" s="2144"/>
      <c r="AC29" s="2144"/>
      <c r="AD29" s="2144"/>
      <c r="AE29" s="2144"/>
      <c r="AF29" s="2144"/>
      <c r="AG29" s="2144"/>
      <c r="AH29" s="2144"/>
      <c r="AI29" s="2144"/>
      <c r="AJ29" s="2144"/>
      <c r="AK29" s="2142"/>
      <c r="AL29" s="2134"/>
      <c r="AM29" s="2140"/>
      <c r="AS29" s="875" t="s">
        <v>150</v>
      </c>
    </row>
    <row r="30" spans="1:45" s="884" customFormat="1" ht="17.25" customHeight="1" x14ac:dyDescent="0.3">
      <c r="A30" s="2088"/>
      <c r="B30" s="2089"/>
      <c r="C30" s="2090"/>
      <c r="D30" s="2088"/>
      <c r="E30" s="2089"/>
      <c r="F30" s="2090"/>
      <c r="G30" s="2088"/>
      <c r="H30" s="2089"/>
      <c r="I30" s="2090"/>
      <c r="J30" s="2108"/>
      <c r="K30" s="2120"/>
      <c r="L30" s="2123"/>
      <c r="M30" s="2126"/>
      <c r="N30" s="2123"/>
      <c r="O30" s="2129"/>
      <c r="P30" s="2111"/>
      <c r="Q30" s="2114"/>
      <c r="R30" s="2117"/>
      <c r="S30" s="2111"/>
      <c r="T30" s="2111"/>
      <c r="U30" s="2111"/>
      <c r="V30" s="2132"/>
      <c r="W30" s="2123"/>
      <c r="X30" s="2111"/>
      <c r="Y30" s="2145"/>
      <c r="Z30" s="2145"/>
      <c r="AA30" s="2145"/>
      <c r="AB30" s="2145"/>
      <c r="AC30" s="2145"/>
      <c r="AD30" s="2145"/>
      <c r="AE30" s="2145"/>
      <c r="AF30" s="2145"/>
      <c r="AG30" s="2145"/>
      <c r="AH30" s="2145"/>
      <c r="AI30" s="2145"/>
      <c r="AJ30" s="2145"/>
      <c r="AK30" s="2142"/>
      <c r="AL30" s="2135"/>
      <c r="AM30" s="2141"/>
    </row>
    <row r="31" spans="1:45" s="884" customFormat="1" ht="17.25" customHeight="1" x14ac:dyDescent="0.3">
      <c r="A31" s="2088"/>
      <c r="B31" s="2089"/>
      <c r="C31" s="2090"/>
      <c r="D31" s="2088"/>
      <c r="E31" s="2089"/>
      <c r="F31" s="2090"/>
      <c r="G31" s="2088"/>
      <c r="H31" s="2089"/>
      <c r="I31" s="2090"/>
      <c r="J31" s="2136">
        <v>40</v>
      </c>
      <c r="K31" s="2118" t="s">
        <v>451</v>
      </c>
      <c r="L31" s="2155" t="s">
        <v>16</v>
      </c>
      <c r="M31" s="2158">
        <v>0.35</v>
      </c>
      <c r="N31" s="2121" t="s">
        <v>452</v>
      </c>
      <c r="O31" s="2127" t="s">
        <v>453</v>
      </c>
      <c r="P31" s="2109" t="s">
        <v>454</v>
      </c>
      <c r="Q31" s="2164">
        <f>+R31/135300000</f>
        <v>0.32889874353288989</v>
      </c>
      <c r="R31" s="2152">
        <v>44500000</v>
      </c>
      <c r="S31" s="2109" t="s">
        <v>455</v>
      </c>
      <c r="T31" s="2109" t="s">
        <v>456</v>
      </c>
      <c r="U31" s="2109" t="s">
        <v>457</v>
      </c>
      <c r="V31" s="2152">
        <f>10000000+16700000</f>
        <v>26700000</v>
      </c>
      <c r="W31" s="2121" t="s">
        <v>446</v>
      </c>
      <c r="X31" s="2109" t="s">
        <v>447</v>
      </c>
      <c r="Y31" s="2143">
        <v>64149</v>
      </c>
      <c r="Z31" s="2143" t="s">
        <v>458</v>
      </c>
      <c r="AA31" s="2143" t="s">
        <v>459</v>
      </c>
      <c r="AB31" s="2143" t="s">
        <v>460</v>
      </c>
      <c r="AC31" s="2143" t="s">
        <v>461</v>
      </c>
      <c r="AD31" s="2143" t="s">
        <v>462</v>
      </c>
      <c r="AE31" s="2143">
        <v>13208</v>
      </c>
      <c r="AF31" s="2143">
        <v>1827</v>
      </c>
      <c r="AG31" s="2143"/>
      <c r="AH31" s="2143"/>
      <c r="AI31" s="2143">
        <v>16897</v>
      </c>
      <c r="AJ31" s="2143">
        <v>81384</v>
      </c>
      <c r="AK31" s="2146">
        <v>42745</v>
      </c>
      <c r="AL31" s="2167">
        <v>43094</v>
      </c>
      <c r="AM31" s="2168" t="s">
        <v>463</v>
      </c>
    </row>
    <row r="32" spans="1:45" s="884" customFormat="1" ht="30.75" customHeight="1" x14ac:dyDescent="0.3">
      <c r="A32" s="2088"/>
      <c r="B32" s="2089"/>
      <c r="C32" s="2090"/>
      <c r="D32" s="2088"/>
      <c r="E32" s="2089"/>
      <c r="F32" s="2090"/>
      <c r="G32" s="2088"/>
      <c r="H32" s="2089"/>
      <c r="I32" s="2090"/>
      <c r="J32" s="2137"/>
      <c r="K32" s="2119"/>
      <c r="L32" s="2156"/>
      <c r="M32" s="2159"/>
      <c r="N32" s="2122"/>
      <c r="O32" s="2128"/>
      <c r="P32" s="2110"/>
      <c r="Q32" s="2165"/>
      <c r="R32" s="2153"/>
      <c r="S32" s="2110"/>
      <c r="T32" s="2110"/>
      <c r="U32" s="2110"/>
      <c r="V32" s="2153"/>
      <c r="W32" s="2122"/>
      <c r="X32" s="2110"/>
      <c r="Y32" s="2144"/>
      <c r="Z32" s="2144"/>
      <c r="AA32" s="2144"/>
      <c r="AB32" s="2144"/>
      <c r="AC32" s="2144"/>
      <c r="AD32" s="2144"/>
      <c r="AE32" s="2144"/>
      <c r="AF32" s="2144"/>
      <c r="AG32" s="2144"/>
      <c r="AH32" s="2144"/>
      <c r="AI32" s="2144"/>
      <c r="AJ32" s="2144"/>
      <c r="AK32" s="2147"/>
      <c r="AL32" s="2167"/>
      <c r="AM32" s="2169"/>
    </row>
    <row r="33" spans="1:39" s="884" customFormat="1" ht="17.25" customHeight="1" x14ac:dyDescent="0.3">
      <c r="A33" s="2088"/>
      <c r="B33" s="2089"/>
      <c r="C33" s="2090"/>
      <c r="D33" s="2088"/>
      <c r="E33" s="2089"/>
      <c r="F33" s="2090"/>
      <c r="G33" s="2088"/>
      <c r="H33" s="2089"/>
      <c r="I33" s="2090"/>
      <c r="J33" s="2137"/>
      <c r="K33" s="2119"/>
      <c r="L33" s="2156"/>
      <c r="M33" s="2159"/>
      <c r="N33" s="2122"/>
      <c r="O33" s="2128"/>
      <c r="P33" s="2110"/>
      <c r="Q33" s="2165"/>
      <c r="R33" s="2153"/>
      <c r="S33" s="2110"/>
      <c r="T33" s="2110"/>
      <c r="U33" s="2110"/>
      <c r="V33" s="2153"/>
      <c r="W33" s="2122"/>
      <c r="X33" s="2110"/>
      <c r="Y33" s="2144"/>
      <c r="Z33" s="2144"/>
      <c r="AA33" s="2144"/>
      <c r="AB33" s="2144"/>
      <c r="AC33" s="2144"/>
      <c r="AD33" s="2144"/>
      <c r="AE33" s="2144"/>
      <c r="AF33" s="2144"/>
      <c r="AG33" s="2144"/>
      <c r="AH33" s="2144"/>
      <c r="AI33" s="2144"/>
      <c r="AJ33" s="2144"/>
      <c r="AK33" s="2147"/>
      <c r="AL33" s="2167"/>
      <c r="AM33" s="2169"/>
    </row>
    <row r="34" spans="1:39" s="884" customFormat="1" ht="17.25" customHeight="1" x14ac:dyDescent="0.3">
      <c r="A34" s="2088"/>
      <c r="B34" s="2089"/>
      <c r="C34" s="2090"/>
      <c r="D34" s="2088"/>
      <c r="E34" s="2089"/>
      <c r="F34" s="2090"/>
      <c r="G34" s="2088"/>
      <c r="H34" s="2089"/>
      <c r="I34" s="2090"/>
      <c r="J34" s="2137"/>
      <c r="K34" s="2119"/>
      <c r="L34" s="2156"/>
      <c r="M34" s="2159"/>
      <c r="N34" s="2122"/>
      <c r="O34" s="2128"/>
      <c r="P34" s="2110"/>
      <c r="Q34" s="2165"/>
      <c r="R34" s="2153"/>
      <c r="S34" s="2110"/>
      <c r="T34" s="2110"/>
      <c r="U34" s="2111"/>
      <c r="V34" s="2154"/>
      <c r="W34" s="2122"/>
      <c r="X34" s="2110"/>
      <c r="Y34" s="2144"/>
      <c r="Z34" s="2144"/>
      <c r="AA34" s="2144"/>
      <c r="AB34" s="2144"/>
      <c r="AC34" s="2144"/>
      <c r="AD34" s="2144"/>
      <c r="AE34" s="2144"/>
      <c r="AF34" s="2144"/>
      <c r="AG34" s="2144"/>
      <c r="AH34" s="2144"/>
      <c r="AI34" s="2144"/>
      <c r="AJ34" s="2144"/>
      <c r="AK34" s="2147"/>
      <c r="AL34" s="2167"/>
      <c r="AM34" s="2169"/>
    </row>
    <row r="35" spans="1:39" s="884" customFormat="1" ht="17.25" customHeight="1" x14ac:dyDescent="0.3">
      <c r="A35" s="2088"/>
      <c r="B35" s="2089"/>
      <c r="C35" s="2090"/>
      <c r="D35" s="2088"/>
      <c r="E35" s="2089"/>
      <c r="F35" s="2090"/>
      <c r="G35" s="2088"/>
      <c r="H35" s="2089"/>
      <c r="I35" s="2090"/>
      <c r="J35" s="2137"/>
      <c r="K35" s="2119"/>
      <c r="L35" s="2156"/>
      <c r="M35" s="2159"/>
      <c r="N35" s="2122"/>
      <c r="O35" s="2128"/>
      <c r="P35" s="2110"/>
      <c r="Q35" s="2165"/>
      <c r="R35" s="2153"/>
      <c r="S35" s="2110"/>
      <c r="T35" s="2110"/>
      <c r="U35" s="2109" t="s">
        <v>464</v>
      </c>
      <c r="V35" s="2152">
        <f>12000000+5800000</f>
        <v>17800000</v>
      </c>
      <c r="W35" s="2122"/>
      <c r="X35" s="2110"/>
      <c r="Y35" s="2144"/>
      <c r="Z35" s="2144"/>
      <c r="AA35" s="2144"/>
      <c r="AB35" s="2144"/>
      <c r="AC35" s="2144"/>
      <c r="AD35" s="2144"/>
      <c r="AE35" s="2144"/>
      <c r="AF35" s="2144"/>
      <c r="AG35" s="2144"/>
      <c r="AH35" s="2144"/>
      <c r="AI35" s="2144"/>
      <c r="AJ35" s="2144"/>
      <c r="AK35" s="2147"/>
      <c r="AL35" s="2167"/>
      <c r="AM35" s="2169"/>
    </row>
    <row r="36" spans="1:39" s="884" customFormat="1" ht="17.25" customHeight="1" x14ac:dyDescent="0.3">
      <c r="A36" s="2088"/>
      <c r="B36" s="2089"/>
      <c r="C36" s="2090"/>
      <c r="D36" s="2088"/>
      <c r="E36" s="2089"/>
      <c r="F36" s="2090"/>
      <c r="G36" s="2088"/>
      <c r="H36" s="2089"/>
      <c r="I36" s="2090"/>
      <c r="J36" s="2137"/>
      <c r="K36" s="2119"/>
      <c r="L36" s="2156"/>
      <c r="M36" s="2159"/>
      <c r="N36" s="2122"/>
      <c r="O36" s="2128"/>
      <c r="P36" s="2110"/>
      <c r="Q36" s="2165"/>
      <c r="R36" s="2153"/>
      <c r="S36" s="2110"/>
      <c r="T36" s="2110"/>
      <c r="U36" s="2110"/>
      <c r="V36" s="2153"/>
      <c r="W36" s="2122"/>
      <c r="X36" s="2110"/>
      <c r="Y36" s="2144"/>
      <c r="Z36" s="2144"/>
      <c r="AA36" s="2144"/>
      <c r="AB36" s="2144"/>
      <c r="AC36" s="2144"/>
      <c r="AD36" s="2144"/>
      <c r="AE36" s="2144"/>
      <c r="AF36" s="2144"/>
      <c r="AG36" s="2144"/>
      <c r="AH36" s="2144"/>
      <c r="AI36" s="2144"/>
      <c r="AJ36" s="2144"/>
      <c r="AK36" s="2147"/>
      <c r="AL36" s="2167"/>
      <c r="AM36" s="2169"/>
    </row>
    <row r="37" spans="1:39" s="884" customFormat="1" ht="17.25" customHeight="1" x14ac:dyDescent="0.3">
      <c r="A37" s="2088"/>
      <c r="B37" s="2089"/>
      <c r="C37" s="2090"/>
      <c r="D37" s="2088"/>
      <c r="E37" s="2089"/>
      <c r="F37" s="2090"/>
      <c r="G37" s="2088"/>
      <c r="H37" s="2089"/>
      <c r="I37" s="2090"/>
      <c r="J37" s="2137"/>
      <c r="K37" s="2119"/>
      <c r="L37" s="2156"/>
      <c r="M37" s="2159"/>
      <c r="N37" s="2122"/>
      <c r="O37" s="2128"/>
      <c r="P37" s="2110"/>
      <c r="Q37" s="2165"/>
      <c r="R37" s="2153"/>
      <c r="S37" s="2110"/>
      <c r="T37" s="2110"/>
      <c r="U37" s="2110"/>
      <c r="V37" s="2153"/>
      <c r="W37" s="2122"/>
      <c r="X37" s="2110"/>
      <c r="Y37" s="2144"/>
      <c r="Z37" s="2144"/>
      <c r="AA37" s="2144"/>
      <c r="AB37" s="2144"/>
      <c r="AC37" s="2144"/>
      <c r="AD37" s="2144"/>
      <c r="AE37" s="2144"/>
      <c r="AF37" s="2144"/>
      <c r="AG37" s="2144"/>
      <c r="AH37" s="2144"/>
      <c r="AI37" s="2144"/>
      <c r="AJ37" s="2144"/>
      <c r="AK37" s="2147"/>
      <c r="AL37" s="2167"/>
      <c r="AM37" s="2169"/>
    </row>
    <row r="38" spans="1:39" s="884" customFormat="1" ht="17.25" customHeight="1" x14ac:dyDescent="0.3">
      <c r="A38" s="2088"/>
      <c r="B38" s="2089"/>
      <c r="C38" s="2090"/>
      <c r="D38" s="2088"/>
      <c r="E38" s="2089"/>
      <c r="F38" s="2090"/>
      <c r="G38" s="2088"/>
      <c r="H38" s="2089"/>
      <c r="I38" s="2090"/>
      <c r="J38" s="2138"/>
      <c r="K38" s="2120"/>
      <c r="L38" s="2156"/>
      <c r="M38" s="2160"/>
      <c r="N38" s="2122"/>
      <c r="O38" s="2128"/>
      <c r="P38" s="2110"/>
      <c r="Q38" s="2166"/>
      <c r="R38" s="2154"/>
      <c r="S38" s="2110"/>
      <c r="T38" s="2111"/>
      <c r="U38" s="2111"/>
      <c r="V38" s="2154"/>
      <c r="W38" s="2123"/>
      <c r="X38" s="2111"/>
      <c r="Y38" s="2144"/>
      <c r="Z38" s="2144"/>
      <c r="AA38" s="2144"/>
      <c r="AB38" s="2144"/>
      <c r="AC38" s="2144"/>
      <c r="AD38" s="2144"/>
      <c r="AE38" s="2144"/>
      <c r="AF38" s="2144"/>
      <c r="AG38" s="2144"/>
      <c r="AH38" s="2144"/>
      <c r="AI38" s="2144"/>
      <c r="AJ38" s="2144"/>
      <c r="AK38" s="2148"/>
      <c r="AL38" s="2167"/>
      <c r="AM38" s="2169"/>
    </row>
    <row r="39" spans="1:39" s="884" customFormat="1" ht="17.25" customHeight="1" x14ac:dyDescent="0.3">
      <c r="A39" s="2088"/>
      <c r="B39" s="2089"/>
      <c r="C39" s="2090"/>
      <c r="D39" s="2088"/>
      <c r="E39" s="2089"/>
      <c r="F39" s="2090"/>
      <c r="G39" s="2088"/>
      <c r="H39" s="2089"/>
      <c r="I39" s="2090"/>
      <c r="J39" s="2136">
        <v>41</v>
      </c>
      <c r="K39" s="2118" t="s">
        <v>465</v>
      </c>
      <c r="L39" s="2156"/>
      <c r="M39" s="2161">
        <v>1</v>
      </c>
      <c r="N39" s="2122"/>
      <c r="O39" s="2128"/>
      <c r="P39" s="2110"/>
      <c r="Q39" s="2173">
        <f>+R39/135300000</f>
        <v>0.11086474501108648</v>
      </c>
      <c r="R39" s="2152">
        <v>15000000</v>
      </c>
      <c r="S39" s="2110"/>
      <c r="T39" s="2109" t="s">
        <v>466</v>
      </c>
      <c r="U39" s="2109" t="s">
        <v>467</v>
      </c>
      <c r="V39" s="2152">
        <f>27500000-22500000+10000000</f>
        <v>15000000</v>
      </c>
      <c r="W39" s="2121" t="s">
        <v>446</v>
      </c>
      <c r="X39" s="2109" t="s">
        <v>447</v>
      </c>
      <c r="Y39" s="2144"/>
      <c r="Z39" s="2144"/>
      <c r="AA39" s="2144"/>
      <c r="AB39" s="2144"/>
      <c r="AC39" s="2144"/>
      <c r="AD39" s="2144"/>
      <c r="AE39" s="2144"/>
      <c r="AF39" s="2144"/>
      <c r="AG39" s="2144"/>
      <c r="AH39" s="2144"/>
      <c r="AI39" s="2144"/>
      <c r="AJ39" s="2144"/>
      <c r="AK39" s="2146">
        <v>42745</v>
      </c>
      <c r="AL39" s="2167"/>
      <c r="AM39" s="2169"/>
    </row>
    <row r="40" spans="1:39" s="884" customFormat="1" ht="17.25" customHeight="1" x14ac:dyDescent="0.3">
      <c r="A40" s="2088"/>
      <c r="B40" s="2089"/>
      <c r="C40" s="2090"/>
      <c r="D40" s="2088"/>
      <c r="E40" s="2089"/>
      <c r="F40" s="2090"/>
      <c r="G40" s="2088"/>
      <c r="H40" s="2089"/>
      <c r="I40" s="2090"/>
      <c r="J40" s="2137"/>
      <c r="K40" s="2119"/>
      <c r="L40" s="2156"/>
      <c r="M40" s="2162"/>
      <c r="N40" s="2122"/>
      <c r="O40" s="2128"/>
      <c r="P40" s="2110"/>
      <c r="Q40" s="2174"/>
      <c r="R40" s="2153"/>
      <c r="S40" s="2110"/>
      <c r="T40" s="2110"/>
      <c r="U40" s="2110"/>
      <c r="V40" s="2153"/>
      <c r="W40" s="2122"/>
      <c r="X40" s="2110"/>
      <c r="Y40" s="2144"/>
      <c r="Z40" s="2144"/>
      <c r="AA40" s="2144"/>
      <c r="AB40" s="2144"/>
      <c r="AC40" s="2144"/>
      <c r="AD40" s="2144"/>
      <c r="AE40" s="2144"/>
      <c r="AF40" s="2144"/>
      <c r="AG40" s="2144"/>
      <c r="AH40" s="2144"/>
      <c r="AI40" s="2144"/>
      <c r="AJ40" s="2144"/>
      <c r="AK40" s="2147"/>
      <c r="AL40" s="2167"/>
      <c r="AM40" s="2169"/>
    </row>
    <row r="41" spans="1:39" s="884" customFormat="1" ht="17.25" customHeight="1" x14ac:dyDescent="0.3">
      <c r="A41" s="2088"/>
      <c r="B41" s="2089"/>
      <c r="C41" s="2090"/>
      <c r="D41" s="2088"/>
      <c r="E41" s="2089"/>
      <c r="F41" s="2090"/>
      <c r="G41" s="2088"/>
      <c r="H41" s="2089"/>
      <c r="I41" s="2090"/>
      <c r="J41" s="2137"/>
      <c r="K41" s="2119"/>
      <c r="L41" s="2156"/>
      <c r="M41" s="2162"/>
      <c r="N41" s="2122"/>
      <c r="O41" s="2128"/>
      <c r="P41" s="2110"/>
      <c r="Q41" s="2174"/>
      <c r="R41" s="2153"/>
      <c r="S41" s="2110"/>
      <c r="T41" s="2110"/>
      <c r="U41" s="2110"/>
      <c r="V41" s="2153"/>
      <c r="W41" s="2122"/>
      <c r="X41" s="2110"/>
      <c r="Y41" s="2144"/>
      <c r="Z41" s="2144"/>
      <c r="AA41" s="2144"/>
      <c r="AB41" s="2144"/>
      <c r="AC41" s="2144"/>
      <c r="AD41" s="2144"/>
      <c r="AE41" s="2144"/>
      <c r="AF41" s="2144"/>
      <c r="AG41" s="2144"/>
      <c r="AH41" s="2144"/>
      <c r="AI41" s="2144"/>
      <c r="AJ41" s="2144"/>
      <c r="AK41" s="2147"/>
      <c r="AL41" s="2167"/>
      <c r="AM41" s="2169"/>
    </row>
    <row r="42" spans="1:39" s="884" customFormat="1" ht="17.25" customHeight="1" x14ac:dyDescent="0.3">
      <c r="A42" s="2088"/>
      <c r="B42" s="2089"/>
      <c r="C42" s="2090"/>
      <c r="D42" s="2088"/>
      <c r="E42" s="2089"/>
      <c r="F42" s="2090"/>
      <c r="G42" s="2088"/>
      <c r="H42" s="2089"/>
      <c r="I42" s="2090"/>
      <c r="J42" s="2137"/>
      <c r="K42" s="2119"/>
      <c r="L42" s="2156"/>
      <c r="M42" s="2162"/>
      <c r="N42" s="2122"/>
      <c r="O42" s="2128"/>
      <c r="P42" s="2110"/>
      <c r="Q42" s="2174"/>
      <c r="R42" s="2153"/>
      <c r="S42" s="2110"/>
      <c r="T42" s="2110"/>
      <c r="U42" s="2110"/>
      <c r="V42" s="2153"/>
      <c r="W42" s="2122"/>
      <c r="X42" s="2110"/>
      <c r="Y42" s="2144"/>
      <c r="Z42" s="2144"/>
      <c r="AA42" s="2144"/>
      <c r="AB42" s="2144"/>
      <c r="AC42" s="2144"/>
      <c r="AD42" s="2144"/>
      <c r="AE42" s="2144"/>
      <c r="AF42" s="2144"/>
      <c r="AG42" s="2144"/>
      <c r="AH42" s="2144"/>
      <c r="AI42" s="2144"/>
      <c r="AJ42" s="2144"/>
      <c r="AK42" s="2147"/>
      <c r="AL42" s="2167"/>
      <c r="AM42" s="2169"/>
    </row>
    <row r="43" spans="1:39" s="884" customFormat="1" ht="17.25" customHeight="1" x14ac:dyDescent="0.3">
      <c r="A43" s="2088"/>
      <c r="B43" s="2089"/>
      <c r="C43" s="2090"/>
      <c r="D43" s="2088"/>
      <c r="E43" s="2089"/>
      <c r="F43" s="2090"/>
      <c r="G43" s="2088"/>
      <c r="H43" s="2089"/>
      <c r="I43" s="2090"/>
      <c r="J43" s="2137"/>
      <c r="K43" s="2119"/>
      <c r="L43" s="2156"/>
      <c r="M43" s="2162"/>
      <c r="N43" s="2122"/>
      <c r="O43" s="2128"/>
      <c r="P43" s="2110"/>
      <c r="Q43" s="2174"/>
      <c r="R43" s="2153"/>
      <c r="S43" s="2110"/>
      <c r="T43" s="2110"/>
      <c r="U43" s="2110"/>
      <c r="V43" s="2153"/>
      <c r="W43" s="2122"/>
      <c r="X43" s="2110"/>
      <c r="Y43" s="2144"/>
      <c r="Z43" s="2144"/>
      <c r="AA43" s="2144"/>
      <c r="AB43" s="2144"/>
      <c r="AC43" s="2144"/>
      <c r="AD43" s="2144"/>
      <c r="AE43" s="2144"/>
      <c r="AF43" s="2144"/>
      <c r="AG43" s="2144"/>
      <c r="AH43" s="2144"/>
      <c r="AI43" s="2144"/>
      <c r="AJ43" s="2144"/>
      <c r="AK43" s="2147"/>
      <c r="AL43" s="2167"/>
      <c r="AM43" s="2169"/>
    </row>
    <row r="44" spans="1:39" s="884" customFormat="1" ht="17.25" customHeight="1" x14ac:dyDescent="0.3">
      <c r="A44" s="2088"/>
      <c r="B44" s="2089"/>
      <c r="C44" s="2090"/>
      <c r="D44" s="2088"/>
      <c r="E44" s="2089"/>
      <c r="F44" s="2090"/>
      <c r="G44" s="2088"/>
      <c r="H44" s="2089"/>
      <c r="I44" s="2090"/>
      <c r="J44" s="2137"/>
      <c r="K44" s="2119"/>
      <c r="L44" s="2156"/>
      <c r="M44" s="2162"/>
      <c r="N44" s="2122"/>
      <c r="O44" s="2128"/>
      <c r="P44" s="2110"/>
      <c r="Q44" s="2174"/>
      <c r="R44" s="2153"/>
      <c r="S44" s="2110"/>
      <c r="T44" s="2110"/>
      <c r="U44" s="2110"/>
      <c r="V44" s="2153"/>
      <c r="W44" s="2122"/>
      <c r="X44" s="2110"/>
      <c r="Y44" s="2144"/>
      <c r="Z44" s="2144"/>
      <c r="AA44" s="2144"/>
      <c r="AB44" s="2144"/>
      <c r="AC44" s="2144"/>
      <c r="AD44" s="2144"/>
      <c r="AE44" s="2144"/>
      <c r="AF44" s="2144"/>
      <c r="AG44" s="2144"/>
      <c r="AH44" s="2144"/>
      <c r="AI44" s="2144"/>
      <c r="AJ44" s="2144"/>
      <c r="AK44" s="2147"/>
      <c r="AL44" s="2167"/>
      <c r="AM44" s="2169"/>
    </row>
    <row r="45" spans="1:39" s="884" customFormat="1" ht="17.25" customHeight="1" x14ac:dyDescent="0.3">
      <c r="A45" s="2088"/>
      <c r="B45" s="2089"/>
      <c r="C45" s="2090"/>
      <c r="D45" s="2088"/>
      <c r="E45" s="2089"/>
      <c r="F45" s="2090"/>
      <c r="G45" s="2088"/>
      <c r="H45" s="2089"/>
      <c r="I45" s="2090"/>
      <c r="J45" s="2137"/>
      <c r="K45" s="2119"/>
      <c r="L45" s="2156"/>
      <c r="M45" s="2162"/>
      <c r="N45" s="2122"/>
      <c r="O45" s="2128"/>
      <c r="P45" s="2110"/>
      <c r="Q45" s="2174"/>
      <c r="R45" s="2153"/>
      <c r="S45" s="2110"/>
      <c r="T45" s="2110"/>
      <c r="U45" s="2110"/>
      <c r="V45" s="2153"/>
      <c r="W45" s="2122"/>
      <c r="X45" s="2110"/>
      <c r="Y45" s="2144"/>
      <c r="Z45" s="2144"/>
      <c r="AA45" s="2144"/>
      <c r="AB45" s="2144"/>
      <c r="AC45" s="2144"/>
      <c r="AD45" s="2144"/>
      <c r="AE45" s="2144"/>
      <c r="AF45" s="2144"/>
      <c r="AG45" s="2144"/>
      <c r="AH45" s="2144"/>
      <c r="AI45" s="2144"/>
      <c r="AJ45" s="2144"/>
      <c r="AK45" s="2147"/>
      <c r="AL45" s="2167"/>
      <c r="AM45" s="2169"/>
    </row>
    <row r="46" spans="1:39" s="884" customFormat="1" ht="17.25" customHeight="1" x14ac:dyDescent="0.3">
      <c r="A46" s="2088"/>
      <c r="B46" s="2089"/>
      <c r="C46" s="2090"/>
      <c r="D46" s="2088"/>
      <c r="E46" s="2089"/>
      <c r="F46" s="2090"/>
      <c r="G46" s="2088"/>
      <c r="H46" s="2089"/>
      <c r="I46" s="2090"/>
      <c r="J46" s="2138"/>
      <c r="K46" s="2120"/>
      <c r="L46" s="2156"/>
      <c r="M46" s="2163"/>
      <c r="N46" s="2122"/>
      <c r="O46" s="2128"/>
      <c r="P46" s="2110"/>
      <c r="Q46" s="2174"/>
      <c r="R46" s="2153"/>
      <c r="S46" s="2110"/>
      <c r="T46" s="2110"/>
      <c r="U46" s="2111"/>
      <c r="V46" s="2154"/>
      <c r="W46" s="2122"/>
      <c r="X46" s="2110"/>
      <c r="Y46" s="2144"/>
      <c r="Z46" s="2144"/>
      <c r="AA46" s="2144"/>
      <c r="AB46" s="2144"/>
      <c r="AC46" s="2144"/>
      <c r="AD46" s="2144"/>
      <c r="AE46" s="2144"/>
      <c r="AF46" s="2144"/>
      <c r="AG46" s="2144"/>
      <c r="AH46" s="2144"/>
      <c r="AI46" s="2144"/>
      <c r="AJ46" s="2144"/>
      <c r="AK46" s="2148"/>
      <c r="AL46" s="2167"/>
      <c r="AM46" s="2169"/>
    </row>
    <row r="47" spans="1:39" s="884" customFormat="1" ht="17.25" customHeight="1" x14ac:dyDescent="0.3">
      <c r="A47" s="2088"/>
      <c r="B47" s="2089"/>
      <c r="C47" s="2090"/>
      <c r="D47" s="2088"/>
      <c r="E47" s="2089"/>
      <c r="F47" s="2090"/>
      <c r="G47" s="2088"/>
      <c r="H47" s="2089"/>
      <c r="I47" s="2090"/>
      <c r="J47" s="2161">
        <v>42</v>
      </c>
      <c r="K47" s="2109" t="s">
        <v>468</v>
      </c>
      <c r="L47" s="2156"/>
      <c r="M47" s="2161">
        <v>1</v>
      </c>
      <c r="N47" s="2122"/>
      <c r="O47" s="2128"/>
      <c r="P47" s="2110"/>
      <c r="Q47" s="2175"/>
      <c r="R47" s="2154"/>
      <c r="S47" s="2110"/>
      <c r="T47" s="2110"/>
      <c r="U47" s="2109" t="s">
        <v>469</v>
      </c>
      <c r="V47" s="2152">
        <f>27500000+48300000</f>
        <v>75800000</v>
      </c>
      <c r="W47" s="2122"/>
      <c r="X47" s="2110"/>
      <c r="Y47" s="2144"/>
      <c r="Z47" s="2144"/>
      <c r="AA47" s="2144"/>
      <c r="AB47" s="2144"/>
      <c r="AC47" s="2144"/>
      <c r="AD47" s="2144"/>
      <c r="AE47" s="2144"/>
      <c r="AF47" s="2144"/>
      <c r="AG47" s="2144"/>
      <c r="AH47" s="2144"/>
      <c r="AI47" s="2144"/>
      <c r="AJ47" s="2144"/>
      <c r="AK47" s="2146">
        <v>42745</v>
      </c>
      <c r="AL47" s="2167"/>
      <c r="AM47" s="2169"/>
    </row>
    <row r="48" spans="1:39" s="884" customFormat="1" ht="17.25" customHeight="1" x14ac:dyDescent="0.3">
      <c r="A48" s="2088"/>
      <c r="B48" s="2089"/>
      <c r="C48" s="2090"/>
      <c r="D48" s="2088"/>
      <c r="E48" s="2089"/>
      <c r="F48" s="2090"/>
      <c r="G48" s="2088"/>
      <c r="H48" s="2089"/>
      <c r="I48" s="2090"/>
      <c r="J48" s="2162"/>
      <c r="K48" s="2110"/>
      <c r="L48" s="2156"/>
      <c r="M48" s="2162"/>
      <c r="N48" s="2122"/>
      <c r="O48" s="2128"/>
      <c r="P48" s="2110"/>
      <c r="Q48" s="2149">
        <f>+R48/135300000</f>
        <v>0.5602365114560236</v>
      </c>
      <c r="R48" s="2152">
        <v>75800000</v>
      </c>
      <c r="S48" s="2110"/>
      <c r="T48" s="2110"/>
      <c r="U48" s="2110"/>
      <c r="V48" s="2153"/>
      <c r="W48" s="2122"/>
      <c r="X48" s="2110"/>
      <c r="Y48" s="2144"/>
      <c r="Z48" s="2144"/>
      <c r="AA48" s="2144"/>
      <c r="AB48" s="2144"/>
      <c r="AC48" s="2144"/>
      <c r="AD48" s="2144"/>
      <c r="AE48" s="2144"/>
      <c r="AF48" s="2144"/>
      <c r="AG48" s="2144"/>
      <c r="AH48" s="2144"/>
      <c r="AI48" s="2144"/>
      <c r="AJ48" s="2144"/>
      <c r="AK48" s="2147"/>
      <c r="AL48" s="2167"/>
      <c r="AM48" s="2169"/>
    </row>
    <row r="49" spans="1:39" s="884" customFormat="1" ht="17.25" customHeight="1" x14ac:dyDescent="0.3">
      <c r="A49" s="2088"/>
      <c r="B49" s="2089"/>
      <c r="C49" s="2090"/>
      <c r="D49" s="2088"/>
      <c r="E49" s="2089"/>
      <c r="F49" s="2090"/>
      <c r="G49" s="2088"/>
      <c r="H49" s="2089"/>
      <c r="I49" s="2090"/>
      <c r="J49" s="2162"/>
      <c r="K49" s="2110"/>
      <c r="L49" s="2156"/>
      <c r="M49" s="2162"/>
      <c r="N49" s="2122"/>
      <c r="O49" s="2128"/>
      <c r="P49" s="2110"/>
      <c r="Q49" s="2150"/>
      <c r="R49" s="2153"/>
      <c r="S49" s="2110"/>
      <c r="T49" s="2110"/>
      <c r="U49" s="2110"/>
      <c r="V49" s="2153"/>
      <c r="W49" s="2122"/>
      <c r="X49" s="2110"/>
      <c r="Y49" s="2144"/>
      <c r="Z49" s="2144"/>
      <c r="AA49" s="2144"/>
      <c r="AB49" s="2144"/>
      <c r="AC49" s="2144"/>
      <c r="AD49" s="2144"/>
      <c r="AE49" s="2144"/>
      <c r="AF49" s="2144"/>
      <c r="AG49" s="2144"/>
      <c r="AH49" s="2144"/>
      <c r="AI49" s="2144"/>
      <c r="AJ49" s="2144"/>
      <c r="AK49" s="2147"/>
      <c r="AL49" s="2167"/>
      <c r="AM49" s="2169"/>
    </row>
    <row r="50" spans="1:39" s="884" customFormat="1" ht="17.25" customHeight="1" x14ac:dyDescent="0.3">
      <c r="A50" s="2088"/>
      <c r="B50" s="2089"/>
      <c r="C50" s="2090"/>
      <c r="D50" s="2088"/>
      <c r="E50" s="2089"/>
      <c r="F50" s="2090"/>
      <c r="G50" s="2088"/>
      <c r="H50" s="2089"/>
      <c r="I50" s="2090"/>
      <c r="J50" s="2162"/>
      <c r="K50" s="2110"/>
      <c r="L50" s="2156"/>
      <c r="M50" s="2162"/>
      <c r="N50" s="2122"/>
      <c r="O50" s="2128"/>
      <c r="P50" s="2110"/>
      <c r="Q50" s="2150"/>
      <c r="R50" s="2153"/>
      <c r="S50" s="2110"/>
      <c r="T50" s="2110"/>
      <c r="U50" s="2110"/>
      <c r="V50" s="2153"/>
      <c r="W50" s="2122"/>
      <c r="X50" s="2110"/>
      <c r="Y50" s="2144"/>
      <c r="Z50" s="2144"/>
      <c r="AA50" s="2144"/>
      <c r="AB50" s="2144"/>
      <c r="AC50" s="2144"/>
      <c r="AD50" s="2144"/>
      <c r="AE50" s="2144"/>
      <c r="AF50" s="2144"/>
      <c r="AG50" s="2144"/>
      <c r="AH50" s="2144"/>
      <c r="AI50" s="2144"/>
      <c r="AJ50" s="2144"/>
      <c r="AK50" s="2147"/>
      <c r="AL50" s="2167"/>
      <c r="AM50" s="2169"/>
    </row>
    <row r="51" spans="1:39" s="884" customFormat="1" ht="17.25" customHeight="1" x14ac:dyDescent="0.3">
      <c r="A51" s="2088"/>
      <c r="B51" s="2089"/>
      <c r="C51" s="2090"/>
      <c r="D51" s="2088"/>
      <c r="E51" s="2089"/>
      <c r="F51" s="2090"/>
      <c r="G51" s="2088"/>
      <c r="H51" s="2089"/>
      <c r="I51" s="2090"/>
      <c r="J51" s="2162"/>
      <c r="K51" s="2110"/>
      <c r="L51" s="2156"/>
      <c r="M51" s="2162"/>
      <c r="N51" s="2122"/>
      <c r="O51" s="2128"/>
      <c r="P51" s="2110"/>
      <c r="Q51" s="2150"/>
      <c r="R51" s="2153"/>
      <c r="S51" s="2110"/>
      <c r="T51" s="2110"/>
      <c r="U51" s="2110"/>
      <c r="V51" s="2153"/>
      <c r="W51" s="2122"/>
      <c r="X51" s="2110"/>
      <c r="Y51" s="2144"/>
      <c r="Z51" s="2144"/>
      <c r="AA51" s="2144"/>
      <c r="AB51" s="2144"/>
      <c r="AC51" s="2144"/>
      <c r="AD51" s="2144"/>
      <c r="AE51" s="2144"/>
      <c r="AF51" s="2144"/>
      <c r="AG51" s="2144"/>
      <c r="AH51" s="2144"/>
      <c r="AI51" s="2144"/>
      <c r="AJ51" s="2144"/>
      <c r="AK51" s="2147"/>
      <c r="AL51" s="2167"/>
      <c r="AM51" s="2169"/>
    </row>
    <row r="52" spans="1:39" s="884" customFormat="1" ht="17.25" customHeight="1" x14ac:dyDescent="0.3">
      <c r="A52" s="2088"/>
      <c r="B52" s="2089"/>
      <c r="C52" s="2090"/>
      <c r="D52" s="2088"/>
      <c r="E52" s="2089"/>
      <c r="F52" s="2090"/>
      <c r="G52" s="2091"/>
      <c r="H52" s="2092"/>
      <c r="I52" s="2093"/>
      <c r="J52" s="2163"/>
      <c r="K52" s="2111"/>
      <c r="L52" s="2157"/>
      <c r="M52" s="2163"/>
      <c r="N52" s="2123"/>
      <c r="O52" s="2129"/>
      <c r="P52" s="2111"/>
      <c r="Q52" s="2151"/>
      <c r="R52" s="2154"/>
      <c r="S52" s="2111"/>
      <c r="T52" s="2111"/>
      <c r="U52" s="2111"/>
      <c r="V52" s="2154"/>
      <c r="W52" s="2123"/>
      <c r="X52" s="2111"/>
      <c r="Y52" s="2145"/>
      <c r="Z52" s="2145"/>
      <c r="AA52" s="2145"/>
      <c r="AB52" s="2145"/>
      <c r="AC52" s="2145"/>
      <c r="AD52" s="2145"/>
      <c r="AE52" s="2145"/>
      <c r="AF52" s="2145"/>
      <c r="AG52" s="2145"/>
      <c r="AH52" s="2145"/>
      <c r="AI52" s="2145"/>
      <c r="AJ52" s="2145"/>
      <c r="AK52" s="2148"/>
      <c r="AL52" s="2167"/>
      <c r="AM52" s="2170"/>
    </row>
    <row r="53" spans="1:39" s="884" customFormat="1" ht="17.25" customHeight="1" x14ac:dyDescent="0.3">
      <c r="A53" s="2088"/>
      <c r="B53" s="2089"/>
      <c r="C53" s="2090"/>
      <c r="D53" s="2088"/>
      <c r="E53" s="2089"/>
      <c r="F53" s="2090"/>
      <c r="G53" s="2100">
        <v>9</v>
      </c>
      <c r="H53" s="2102" t="s">
        <v>470</v>
      </c>
      <c r="I53" s="2103"/>
      <c r="J53" s="2103"/>
      <c r="K53" s="2103"/>
      <c r="L53" s="2103"/>
      <c r="M53" s="2103"/>
      <c r="N53" s="2103"/>
      <c r="O53" s="2103"/>
      <c r="P53" s="885"/>
      <c r="Q53" s="885"/>
      <c r="R53" s="886"/>
      <c r="S53" s="887"/>
      <c r="T53" s="887"/>
      <c r="U53" s="887"/>
      <c r="V53" s="886"/>
      <c r="W53" s="885"/>
      <c r="X53" s="887"/>
      <c r="Y53" s="885"/>
      <c r="Z53" s="885"/>
      <c r="AA53" s="885"/>
      <c r="AB53" s="885"/>
      <c r="AC53" s="885"/>
      <c r="AD53" s="885"/>
      <c r="AE53" s="885"/>
      <c r="AF53" s="885"/>
      <c r="AG53" s="885"/>
      <c r="AH53" s="885"/>
      <c r="AI53" s="885"/>
      <c r="AJ53" s="885"/>
      <c r="AK53" s="2171"/>
      <c r="AL53" s="2171"/>
      <c r="AM53" s="2176"/>
    </row>
    <row r="54" spans="1:39" s="884" customFormat="1" ht="17.25" customHeight="1" x14ac:dyDescent="0.3">
      <c r="A54" s="2088"/>
      <c r="B54" s="2089"/>
      <c r="C54" s="2090"/>
      <c r="D54" s="2088"/>
      <c r="E54" s="2089"/>
      <c r="F54" s="2090"/>
      <c r="G54" s="2101"/>
      <c r="H54" s="2104"/>
      <c r="I54" s="2105"/>
      <c r="J54" s="2105"/>
      <c r="K54" s="2105"/>
      <c r="L54" s="2105"/>
      <c r="M54" s="2105"/>
      <c r="N54" s="2105"/>
      <c r="O54" s="2105"/>
      <c r="P54" s="888"/>
      <c r="Q54" s="888"/>
      <c r="R54" s="889"/>
      <c r="S54" s="890"/>
      <c r="T54" s="890"/>
      <c r="U54" s="890"/>
      <c r="V54" s="889"/>
      <c r="W54" s="888"/>
      <c r="X54" s="890"/>
      <c r="Y54" s="888"/>
      <c r="Z54" s="888"/>
      <c r="AA54" s="888"/>
      <c r="AB54" s="888"/>
      <c r="AC54" s="888"/>
      <c r="AD54" s="888"/>
      <c r="AE54" s="888"/>
      <c r="AF54" s="888"/>
      <c r="AG54" s="888"/>
      <c r="AH54" s="888"/>
      <c r="AI54" s="888"/>
      <c r="AJ54" s="888"/>
      <c r="AK54" s="2172"/>
      <c r="AL54" s="2172"/>
      <c r="AM54" s="2177"/>
    </row>
    <row r="55" spans="1:39" s="884" customFormat="1" ht="17.25" customHeight="1" x14ac:dyDescent="0.3">
      <c r="A55" s="2088"/>
      <c r="B55" s="2089"/>
      <c r="C55" s="2090"/>
      <c r="D55" s="2088"/>
      <c r="E55" s="2089"/>
      <c r="F55" s="2090"/>
      <c r="G55" s="2178"/>
      <c r="H55" s="2179"/>
      <c r="I55" s="2180"/>
      <c r="J55" s="2161">
        <v>43</v>
      </c>
      <c r="K55" s="2109" t="s">
        <v>471</v>
      </c>
      <c r="L55" s="2155" t="s">
        <v>16</v>
      </c>
      <c r="M55" s="2187">
        <v>3</v>
      </c>
      <c r="N55" s="2121" t="s">
        <v>472</v>
      </c>
      <c r="O55" s="2127" t="s">
        <v>473</v>
      </c>
      <c r="P55" s="2109" t="s">
        <v>474</v>
      </c>
      <c r="Q55" s="2190">
        <f>+R55/415200000</f>
        <v>0.18578998073217726</v>
      </c>
      <c r="R55" s="2193">
        <v>77140000</v>
      </c>
      <c r="S55" s="2109" t="s">
        <v>475</v>
      </c>
      <c r="T55" s="2196" t="s">
        <v>476</v>
      </c>
      <c r="U55" s="2196" t="s">
        <v>477</v>
      </c>
      <c r="V55" s="2152">
        <f>40000000-10000000+46140000</f>
        <v>76140000</v>
      </c>
      <c r="W55" s="2121" t="s">
        <v>446</v>
      </c>
      <c r="X55" s="2109" t="s">
        <v>447</v>
      </c>
      <c r="Y55" s="2199">
        <v>64.149000000000001</v>
      </c>
      <c r="Z55" s="2199" t="s">
        <v>458</v>
      </c>
      <c r="AA55" s="2199" t="s">
        <v>459</v>
      </c>
      <c r="AB55" s="2199" t="s">
        <v>460</v>
      </c>
      <c r="AC55" s="2199" t="s">
        <v>461</v>
      </c>
      <c r="AD55" s="2199" t="s">
        <v>462</v>
      </c>
      <c r="AE55" s="2199">
        <v>13.208</v>
      </c>
      <c r="AF55" s="2212">
        <v>1827</v>
      </c>
      <c r="AG55" s="2199"/>
      <c r="AH55" s="2199"/>
      <c r="AI55" s="2199">
        <v>16.896999999999998</v>
      </c>
      <c r="AJ55" s="2199">
        <v>81.384</v>
      </c>
      <c r="AK55" s="2209">
        <v>42745</v>
      </c>
      <c r="AL55" s="2208">
        <v>43094</v>
      </c>
      <c r="AM55" s="2202" t="s">
        <v>463</v>
      </c>
    </row>
    <row r="56" spans="1:39" s="884" customFormat="1" ht="17.25" customHeight="1" x14ac:dyDescent="0.3">
      <c r="A56" s="2088"/>
      <c r="B56" s="2089"/>
      <c r="C56" s="2090"/>
      <c r="D56" s="2088"/>
      <c r="E56" s="2089"/>
      <c r="F56" s="2090"/>
      <c r="G56" s="2181"/>
      <c r="H56" s="2182"/>
      <c r="I56" s="2183"/>
      <c r="J56" s="2162"/>
      <c r="K56" s="2110"/>
      <c r="L56" s="2156"/>
      <c r="M56" s="2188"/>
      <c r="N56" s="2122"/>
      <c r="O56" s="2128"/>
      <c r="P56" s="2110"/>
      <c r="Q56" s="2191"/>
      <c r="R56" s="2194"/>
      <c r="S56" s="2110"/>
      <c r="T56" s="2197"/>
      <c r="U56" s="2197"/>
      <c r="V56" s="2153"/>
      <c r="W56" s="2156"/>
      <c r="X56" s="2215"/>
      <c r="Y56" s="2200"/>
      <c r="Z56" s="2200"/>
      <c r="AA56" s="2200"/>
      <c r="AB56" s="2200"/>
      <c r="AC56" s="2200"/>
      <c r="AD56" s="2200"/>
      <c r="AE56" s="2200"/>
      <c r="AF56" s="2213"/>
      <c r="AG56" s="2200"/>
      <c r="AH56" s="2200"/>
      <c r="AI56" s="2200"/>
      <c r="AJ56" s="2200"/>
      <c r="AK56" s="2210"/>
      <c r="AL56" s="2208"/>
      <c r="AM56" s="2203"/>
    </row>
    <row r="57" spans="1:39" s="884" customFormat="1" ht="17.25" customHeight="1" x14ac:dyDescent="0.3">
      <c r="A57" s="2088"/>
      <c r="B57" s="2089"/>
      <c r="C57" s="2090"/>
      <c r="D57" s="2088"/>
      <c r="E57" s="2089"/>
      <c r="F57" s="2090"/>
      <c r="G57" s="2181"/>
      <c r="H57" s="2182"/>
      <c r="I57" s="2183"/>
      <c r="J57" s="2162"/>
      <c r="K57" s="2110"/>
      <c r="L57" s="2156"/>
      <c r="M57" s="2188"/>
      <c r="N57" s="2122"/>
      <c r="O57" s="2128"/>
      <c r="P57" s="2110"/>
      <c r="Q57" s="2191"/>
      <c r="R57" s="2194"/>
      <c r="S57" s="2110"/>
      <c r="T57" s="2197"/>
      <c r="U57" s="2197"/>
      <c r="V57" s="2153"/>
      <c r="W57" s="2156"/>
      <c r="X57" s="2215"/>
      <c r="Y57" s="2200"/>
      <c r="Z57" s="2200"/>
      <c r="AA57" s="2200"/>
      <c r="AB57" s="2200"/>
      <c r="AC57" s="2200"/>
      <c r="AD57" s="2200"/>
      <c r="AE57" s="2200"/>
      <c r="AF57" s="2213"/>
      <c r="AG57" s="2200"/>
      <c r="AH57" s="2200"/>
      <c r="AI57" s="2200"/>
      <c r="AJ57" s="2200"/>
      <c r="AK57" s="2210"/>
      <c r="AL57" s="2208"/>
      <c r="AM57" s="2203"/>
    </row>
    <row r="58" spans="1:39" s="884" customFormat="1" ht="24.75" customHeight="1" x14ac:dyDescent="0.3">
      <c r="A58" s="2088"/>
      <c r="B58" s="2089"/>
      <c r="C58" s="2090"/>
      <c r="D58" s="2088"/>
      <c r="E58" s="2089"/>
      <c r="F58" s="2090"/>
      <c r="G58" s="2181"/>
      <c r="H58" s="2182"/>
      <c r="I58" s="2183"/>
      <c r="J58" s="2162"/>
      <c r="K58" s="2110"/>
      <c r="L58" s="2156"/>
      <c r="M58" s="2188"/>
      <c r="N58" s="2122"/>
      <c r="O58" s="2128"/>
      <c r="P58" s="2110"/>
      <c r="Q58" s="2191"/>
      <c r="R58" s="2194"/>
      <c r="S58" s="2110"/>
      <c r="T58" s="2197"/>
      <c r="U58" s="2198"/>
      <c r="V58" s="2154"/>
      <c r="W58" s="2156"/>
      <c r="X58" s="2215"/>
      <c r="Y58" s="2200"/>
      <c r="Z58" s="2200"/>
      <c r="AA58" s="2200"/>
      <c r="AB58" s="2200"/>
      <c r="AC58" s="2200"/>
      <c r="AD58" s="2200"/>
      <c r="AE58" s="2200"/>
      <c r="AF58" s="2213"/>
      <c r="AG58" s="2200"/>
      <c r="AH58" s="2200"/>
      <c r="AI58" s="2200"/>
      <c r="AJ58" s="2200"/>
      <c r="AK58" s="2210"/>
      <c r="AL58" s="2208"/>
      <c r="AM58" s="2203"/>
    </row>
    <row r="59" spans="1:39" s="884" customFormat="1" ht="51.75" customHeight="1" x14ac:dyDescent="0.3">
      <c r="A59" s="2088"/>
      <c r="B59" s="2089"/>
      <c r="C59" s="2090"/>
      <c r="D59" s="2088"/>
      <c r="E59" s="2089"/>
      <c r="F59" s="2090"/>
      <c r="G59" s="2181"/>
      <c r="H59" s="2182"/>
      <c r="I59" s="2183"/>
      <c r="J59" s="2162"/>
      <c r="K59" s="2110"/>
      <c r="L59" s="2156"/>
      <c r="M59" s="2188"/>
      <c r="N59" s="2122"/>
      <c r="O59" s="2128"/>
      <c r="P59" s="2110"/>
      <c r="Q59" s="2191"/>
      <c r="R59" s="2194"/>
      <c r="S59" s="2110"/>
      <c r="T59" s="2197"/>
      <c r="U59" s="2196" t="s">
        <v>478</v>
      </c>
      <c r="V59" s="2152">
        <v>1000000</v>
      </c>
      <c r="W59" s="2156"/>
      <c r="X59" s="2215"/>
      <c r="Y59" s="2200"/>
      <c r="Z59" s="2200"/>
      <c r="AA59" s="2200"/>
      <c r="AB59" s="2200"/>
      <c r="AC59" s="2200"/>
      <c r="AD59" s="2200"/>
      <c r="AE59" s="2200"/>
      <c r="AF59" s="2213"/>
      <c r="AG59" s="2200"/>
      <c r="AH59" s="2200"/>
      <c r="AI59" s="2200"/>
      <c r="AJ59" s="2200"/>
      <c r="AK59" s="2210"/>
      <c r="AL59" s="2208"/>
      <c r="AM59" s="2203"/>
    </row>
    <row r="60" spans="1:39" s="884" customFormat="1" ht="17.25" customHeight="1" x14ac:dyDescent="0.3">
      <c r="A60" s="2088"/>
      <c r="B60" s="2089"/>
      <c r="C60" s="2090"/>
      <c r="D60" s="2088"/>
      <c r="E60" s="2089"/>
      <c r="F60" s="2090"/>
      <c r="G60" s="2181"/>
      <c r="H60" s="2182"/>
      <c r="I60" s="2183"/>
      <c r="J60" s="2163"/>
      <c r="K60" s="2111"/>
      <c r="L60" s="2157"/>
      <c r="M60" s="2189"/>
      <c r="N60" s="2122"/>
      <c r="O60" s="2128"/>
      <c r="P60" s="2110"/>
      <c r="Q60" s="2192"/>
      <c r="R60" s="2195"/>
      <c r="S60" s="2110"/>
      <c r="T60" s="2198"/>
      <c r="U60" s="2197"/>
      <c r="V60" s="2154"/>
      <c r="W60" s="2156"/>
      <c r="X60" s="2215"/>
      <c r="Y60" s="2200"/>
      <c r="Z60" s="2200"/>
      <c r="AA60" s="2200"/>
      <c r="AB60" s="2200"/>
      <c r="AC60" s="2200"/>
      <c r="AD60" s="2200"/>
      <c r="AE60" s="2200"/>
      <c r="AF60" s="2213"/>
      <c r="AG60" s="2200"/>
      <c r="AH60" s="2200"/>
      <c r="AI60" s="2200"/>
      <c r="AJ60" s="2200"/>
      <c r="AK60" s="2211"/>
      <c r="AL60" s="2208"/>
      <c r="AM60" s="2203"/>
    </row>
    <row r="61" spans="1:39" s="884" customFormat="1" ht="17.25" customHeight="1" x14ac:dyDescent="0.3">
      <c r="A61" s="2088"/>
      <c r="B61" s="2089"/>
      <c r="C61" s="2090"/>
      <c r="D61" s="2088"/>
      <c r="E61" s="2089"/>
      <c r="F61" s="2090"/>
      <c r="G61" s="2181"/>
      <c r="H61" s="2182"/>
      <c r="I61" s="2183"/>
      <c r="J61" s="2161">
        <v>44</v>
      </c>
      <c r="K61" s="2109" t="s">
        <v>479</v>
      </c>
      <c r="L61" s="2155" t="s">
        <v>16</v>
      </c>
      <c r="M61" s="2205">
        <v>1</v>
      </c>
      <c r="N61" s="2122"/>
      <c r="O61" s="2128"/>
      <c r="P61" s="2110"/>
      <c r="Q61" s="2190">
        <f>+R61/415200000</f>
        <v>0.12798651252408477</v>
      </c>
      <c r="R61" s="2193">
        <v>53140000</v>
      </c>
      <c r="S61" s="2110"/>
      <c r="T61" s="2196" t="s">
        <v>480</v>
      </c>
      <c r="U61" s="2196" t="s">
        <v>481</v>
      </c>
      <c r="V61" s="2152">
        <f>40000000-7000000+20140000</f>
        <v>53140000</v>
      </c>
      <c r="W61" s="2156"/>
      <c r="X61" s="2215"/>
      <c r="Y61" s="2200"/>
      <c r="Z61" s="2200"/>
      <c r="AA61" s="2200"/>
      <c r="AB61" s="2200"/>
      <c r="AC61" s="2200"/>
      <c r="AD61" s="2200"/>
      <c r="AE61" s="2200"/>
      <c r="AF61" s="2213"/>
      <c r="AG61" s="2200"/>
      <c r="AH61" s="2200"/>
      <c r="AI61" s="2200"/>
      <c r="AJ61" s="2200"/>
      <c r="AK61" s="2209">
        <v>42745</v>
      </c>
      <c r="AL61" s="2208">
        <v>43094</v>
      </c>
      <c r="AM61" s="2203"/>
    </row>
    <row r="62" spans="1:39" s="884" customFormat="1" ht="17.25" customHeight="1" x14ac:dyDescent="0.3">
      <c r="A62" s="2088"/>
      <c r="B62" s="2089"/>
      <c r="C62" s="2090"/>
      <c r="D62" s="2088"/>
      <c r="E62" s="2089"/>
      <c r="F62" s="2090"/>
      <c r="G62" s="2181"/>
      <c r="H62" s="2182"/>
      <c r="I62" s="2183"/>
      <c r="J62" s="2162"/>
      <c r="K62" s="2110"/>
      <c r="L62" s="2156"/>
      <c r="M62" s="2206"/>
      <c r="N62" s="2122"/>
      <c r="O62" s="2128"/>
      <c r="P62" s="2110"/>
      <c r="Q62" s="2191"/>
      <c r="R62" s="2194"/>
      <c r="S62" s="2110"/>
      <c r="T62" s="2197"/>
      <c r="U62" s="2197"/>
      <c r="V62" s="2153"/>
      <c r="W62" s="2156"/>
      <c r="X62" s="2215"/>
      <c r="Y62" s="2200"/>
      <c r="Z62" s="2200"/>
      <c r="AA62" s="2200"/>
      <c r="AB62" s="2200"/>
      <c r="AC62" s="2200"/>
      <c r="AD62" s="2200"/>
      <c r="AE62" s="2200"/>
      <c r="AF62" s="2213"/>
      <c r="AG62" s="2200"/>
      <c r="AH62" s="2200"/>
      <c r="AI62" s="2200"/>
      <c r="AJ62" s="2200"/>
      <c r="AK62" s="2210"/>
      <c r="AL62" s="2208"/>
      <c r="AM62" s="2203"/>
    </row>
    <row r="63" spans="1:39" s="884" customFormat="1" ht="17.25" customHeight="1" x14ac:dyDescent="0.3">
      <c r="A63" s="2088"/>
      <c r="B63" s="2089"/>
      <c r="C63" s="2090"/>
      <c r="D63" s="2088"/>
      <c r="E63" s="2089"/>
      <c r="F63" s="2090"/>
      <c r="G63" s="2181"/>
      <c r="H63" s="2182"/>
      <c r="I63" s="2183"/>
      <c r="J63" s="2162"/>
      <c r="K63" s="2110"/>
      <c r="L63" s="2156"/>
      <c r="M63" s="2206"/>
      <c r="N63" s="2122"/>
      <c r="O63" s="2128"/>
      <c r="P63" s="2110"/>
      <c r="Q63" s="2191"/>
      <c r="R63" s="2194"/>
      <c r="S63" s="2110"/>
      <c r="T63" s="2197"/>
      <c r="U63" s="2197"/>
      <c r="V63" s="2153"/>
      <c r="W63" s="2156"/>
      <c r="X63" s="2215"/>
      <c r="Y63" s="2200"/>
      <c r="Z63" s="2200"/>
      <c r="AA63" s="2200"/>
      <c r="AB63" s="2200"/>
      <c r="AC63" s="2200"/>
      <c r="AD63" s="2200"/>
      <c r="AE63" s="2200"/>
      <c r="AF63" s="2213"/>
      <c r="AG63" s="2200"/>
      <c r="AH63" s="2200"/>
      <c r="AI63" s="2200"/>
      <c r="AJ63" s="2200"/>
      <c r="AK63" s="2210"/>
      <c r="AL63" s="2208"/>
      <c r="AM63" s="2203"/>
    </row>
    <row r="64" spans="1:39" s="884" customFormat="1" ht="17.25" customHeight="1" x14ac:dyDescent="0.3">
      <c r="A64" s="2088"/>
      <c r="B64" s="2089"/>
      <c r="C64" s="2090"/>
      <c r="D64" s="2088"/>
      <c r="E64" s="2089"/>
      <c r="F64" s="2090"/>
      <c r="G64" s="2181"/>
      <c r="H64" s="2182"/>
      <c r="I64" s="2183"/>
      <c r="J64" s="2162"/>
      <c r="K64" s="2110"/>
      <c r="L64" s="2156"/>
      <c r="M64" s="2206"/>
      <c r="N64" s="2122"/>
      <c r="O64" s="2128"/>
      <c r="P64" s="2110"/>
      <c r="Q64" s="2191"/>
      <c r="R64" s="2194"/>
      <c r="S64" s="2110"/>
      <c r="T64" s="2197"/>
      <c r="U64" s="2197"/>
      <c r="V64" s="2153"/>
      <c r="W64" s="2156"/>
      <c r="X64" s="2215"/>
      <c r="Y64" s="2200"/>
      <c r="Z64" s="2200"/>
      <c r="AA64" s="2200"/>
      <c r="AB64" s="2200"/>
      <c r="AC64" s="2200"/>
      <c r="AD64" s="2200"/>
      <c r="AE64" s="2200"/>
      <c r="AF64" s="2213"/>
      <c r="AG64" s="2200"/>
      <c r="AH64" s="2200"/>
      <c r="AI64" s="2200"/>
      <c r="AJ64" s="2200"/>
      <c r="AK64" s="2210"/>
      <c r="AL64" s="2208"/>
      <c r="AM64" s="2203"/>
    </row>
    <row r="65" spans="1:39" s="884" customFormat="1" ht="17.25" customHeight="1" x14ac:dyDescent="0.3">
      <c r="A65" s="2088"/>
      <c r="B65" s="2089"/>
      <c r="C65" s="2090"/>
      <c r="D65" s="2088"/>
      <c r="E65" s="2089"/>
      <c r="F65" s="2090"/>
      <c r="G65" s="2181"/>
      <c r="H65" s="2182"/>
      <c r="I65" s="2183"/>
      <c r="J65" s="2162"/>
      <c r="K65" s="2110"/>
      <c r="L65" s="2156"/>
      <c r="M65" s="2206"/>
      <c r="N65" s="2122"/>
      <c r="O65" s="2128"/>
      <c r="P65" s="2110"/>
      <c r="Q65" s="2191"/>
      <c r="R65" s="2194"/>
      <c r="S65" s="2110"/>
      <c r="T65" s="2197"/>
      <c r="U65" s="2197"/>
      <c r="V65" s="2153"/>
      <c r="W65" s="2156"/>
      <c r="X65" s="2215"/>
      <c r="Y65" s="2200"/>
      <c r="Z65" s="2200"/>
      <c r="AA65" s="2200"/>
      <c r="AB65" s="2200"/>
      <c r="AC65" s="2200"/>
      <c r="AD65" s="2200"/>
      <c r="AE65" s="2200"/>
      <c r="AF65" s="2213"/>
      <c r="AG65" s="2200"/>
      <c r="AH65" s="2200"/>
      <c r="AI65" s="2200"/>
      <c r="AJ65" s="2200"/>
      <c r="AK65" s="2210"/>
      <c r="AL65" s="2208"/>
      <c r="AM65" s="2203"/>
    </row>
    <row r="66" spans="1:39" s="884" customFormat="1" ht="17.25" customHeight="1" x14ac:dyDescent="0.3">
      <c r="A66" s="2088"/>
      <c r="B66" s="2089"/>
      <c r="C66" s="2090"/>
      <c r="D66" s="2088"/>
      <c r="E66" s="2089"/>
      <c r="F66" s="2090"/>
      <c r="G66" s="2181"/>
      <c r="H66" s="2182"/>
      <c r="I66" s="2183"/>
      <c r="J66" s="2162"/>
      <c r="K66" s="2110"/>
      <c r="L66" s="2156"/>
      <c r="M66" s="2206"/>
      <c r="N66" s="2122"/>
      <c r="O66" s="2128"/>
      <c r="P66" s="2110"/>
      <c r="Q66" s="2191"/>
      <c r="R66" s="2194"/>
      <c r="S66" s="2110"/>
      <c r="T66" s="2197"/>
      <c r="U66" s="2197"/>
      <c r="V66" s="2153"/>
      <c r="W66" s="2156"/>
      <c r="X66" s="2215"/>
      <c r="Y66" s="2200"/>
      <c r="Z66" s="2200"/>
      <c r="AA66" s="2200"/>
      <c r="AB66" s="2200"/>
      <c r="AC66" s="2200"/>
      <c r="AD66" s="2200"/>
      <c r="AE66" s="2200"/>
      <c r="AF66" s="2213"/>
      <c r="AG66" s="2200"/>
      <c r="AH66" s="2200"/>
      <c r="AI66" s="2200"/>
      <c r="AJ66" s="2200"/>
      <c r="AK66" s="2210"/>
      <c r="AL66" s="2208"/>
      <c r="AM66" s="2203"/>
    </row>
    <row r="67" spans="1:39" s="884" customFormat="1" ht="17.25" customHeight="1" x14ac:dyDescent="0.3">
      <c r="A67" s="2088"/>
      <c r="B67" s="2089"/>
      <c r="C67" s="2090"/>
      <c r="D67" s="2088"/>
      <c r="E67" s="2089"/>
      <c r="F67" s="2090"/>
      <c r="G67" s="2181"/>
      <c r="H67" s="2182"/>
      <c r="I67" s="2183"/>
      <c r="J67" s="2163"/>
      <c r="K67" s="2111"/>
      <c r="L67" s="2157"/>
      <c r="M67" s="2207"/>
      <c r="N67" s="2122"/>
      <c r="O67" s="2128"/>
      <c r="P67" s="2110"/>
      <c r="Q67" s="2192"/>
      <c r="R67" s="2195"/>
      <c r="S67" s="2110"/>
      <c r="T67" s="2198"/>
      <c r="U67" s="2198"/>
      <c r="V67" s="2154"/>
      <c r="W67" s="2156"/>
      <c r="X67" s="2215"/>
      <c r="Y67" s="2200"/>
      <c r="Z67" s="2200"/>
      <c r="AA67" s="2200"/>
      <c r="AB67" s="2200"/>
      <c r="AC67" s="2200"/>
      <c r="AD67" s="2200"/>
      <c r="AE67" s="2200"/>
      <c r="AF67" s="2213"/>
      <c r="AG67" s="2200"/>
      <c r="AH67" s="2200"/>
      <c r="AI67" s="2200"/>
      <c r="AJ67" s="2200"/>
      <c r="AK67" s="2211"/>
      <c r="AL67" s="2208"/>
      <c r="AM67" s="2203"/>
    </row>
    <row r="68" spans="1:39" s="884" customFormat="1" ht="17.25" customHeight="1" x14ac:dyDescent="0.3">
      <c r="A68" s="2088"/>
      <c r="B68" s="2089"/>
      <c r="C68" s="2090"/>
      <c r="D68" s="2088"/>
      <c r="E68" s="2089"/>
      <c r="F68" s="2090"/>
      <c r="G68" s="2181"/>
      <c r="H68" s="2182"/>
      <c r="I68" s="2183"/>
      <c r="J68" s="2161">
        <v>45</v>
      </c>
      <c r="K68" s="2109" t="s">
        <v>482</v>
      </c>
      <c r="L68" s="2155" t="s">
        <v>16</v>
      </c>
      <c r="M68" s="2187">
        <v>3</v>
      </c>
      <c r="N68" s="2122"/>
      <c r="O68" s="2128"/>
      <c r="P68" s="2110"/>
      <c r="Q68" s="2190">
        <f>+R68/415200000</f>
        <v>0.16840077071290943</v>
      </c>
      <c r="R68" s="2193">
        <v>69920000</v>
      </c>
      <c r="S68" s="2110"/>
      <c r="T68" s="2196" t="s">
        <v>476</v>
      </c>
      <c r="U68" s="2196" t="s">
        <v>483</v>
      </c>
      <c r="V68" s="2152">
        <f>40000000+17000000+11920000</f>
        <v>68920000</v>
      </c>
      <c r="W68" s="2156"/>
      <c r="X68" s="2215"/>
      <c r="Y68" s="2200"/>
      <c r="Z68" s="2200"/>
      <c r="AA68" s="2200"/>
      <c r="AB68" s="2200"/>
      <c r="AC68" s="2200"/>
      <c r="AD68" s="2200"/>
      <c r="AE68" s="2200"/>
      <c r="AF68" s="2213"/>
      <c r="AG68" s="2200"/>
      <c r="AH68" s="2200"/>
      <c r="AI68" s="2200"/>
      <c r="AJ68" s="2200"/>
      <c r="AK68" s="2209">
        <v>42745</v>
      </c>
      <c r="AL68" s="2208">
        <v>43094</v>
      </c>
      <c r="AM68" s="2203"/>
    </row>
    <row r="69" spans="1:39" s="884" customFormat="1" ht="30.75" customHeight="1" x14ac:dyDescent="0.3">
      <c r="A69" s="2088"/>
      <c r="B69" s="2089"/>
      <c r="C69" s="2090"/>
      <c r="D69" s="2088"/>
      <c r="E69" s="2089"/>
      <c r="F69" s="2090"/>
      <c r="G69" s="2181"/>
      <c r="H69" s="2182"/>
      <c r="I69" s="2183"/>
      <c r="J69" s="2162"/>
      <c r="K69" s="2110"/>
      <c r="L69" s="2156"/>
      <c r="M69" s="2188"/>
      <c r="N69" s="2122"/>
      <c r="O69" s="2128"/>
      <c r="P69" s="2110"/>
      <c r="Q69" s="2191"/>
      <c r="R69" s="2194"/>
      <c r="S69" s="2110"/>
      <c r="T69" s="2197"/>
      <c r="U69" s="2197"/>
      <c r="V69" s="2153"/>
      <c r="W69" s="2156"/>
      <c r="X69" s="2215"/>
      <c r="Y69" s="2200"/>
      <c r="Z69" s="2200"/>
      <c r="AA69" s="2200"/>
      <c r="AB69" s="2200"/>
      <c r="AC69" s="2200"/>
      <c r="AD69" s="2200"/>
      <c r="AE69" s="2200"/>
      <c r="AF69" s="2213"/>
      <c r="AG69" s="2200"/>
      <c r="AH69" s="2200"/>
      <c r="AI69" s="2200"/>
      <c r="AJ69" s="2200"/>
      <c r="AK69" s="2210"/>
      <c r="AL69" s="2208"/>
      <c r="AM69" s="2203"/>
    </row>
    <row r="70" spans="1:39" s="884" customFormat="1" ht="24" customHeight="1" x14ac:dyDescent="0.3">
      <c r="A70" s="2088"/>
      <c r="B70" s="2089"/>
      <c r="C70" s="2090"/>
      <c r="D70" s="2088"/>
      <c r="E70" s="2089"/>
      <c r="F70" s="2090"/>
      <c r="G70" s="2181"/>
      <c r="H70" s="2182"/>
      <c r="I70" s="2183"/>
      <c r="J70" s="2162"/>
      <c r="K70" s="2110"/>
      <c r="L70" s="2156"/>
      <c r="M70" s="2188"/>
      <c r="N70" s="2122"/>
      <c r="O70" s="2128"/>
      <c r="P70" s="2110"/>
      <c r="Q70" s="2191"/>
      <c r="R70" s="2194"/>
      <c r="S70" s="2110"/>
      <c r="T70" s="2197"/>
      <c r="U70" s="2198"/>
      <c r="V70" s="2154"/>
      <c r="W70" s="2156"/>
      <c r="X70" s="2215"/>
      <c r="Y70" s="2200"/>
      <c r="Z70" s="2200"/>
      <c r="AA70" s="2200"/>
      <c r="AB70" s="2200"/>
      <c r="AC70" s="2200"/>
      <c r="AD70" s="2200"/>
      <c r="AE70" s="2200"/>
      <c r="AF70" s="2213"/>
      <c r="AG70" s="2200"/>
      <c r="AH70" s="2200"/>
      <c r="AI70" s="2200"/>
      <c r="AJ70" s="2200"/>
      <c r="AK70" s="2210"/>
      <c r="AL70" s="2208"/>
      <c r="AM70" s="2203"/>
    </row>
    <row r="71" spans="1:39" s="884" customFormat="1" ht="17.25" customHeight="1" x14ac:dyDescent="0.3">
      <c r="A71" s="2088"/>
      <c r="B71" s="2089"/>
      <c r="C71" s="2090"/>
      <c r="D71" s="2088"/>
      <c r="E71" s="2089"/>
      <c r="F71" s="2090"/>
      <c r="G71" s="2181"/>
      <c r="H71" s="2182"/>
      <c r="I71" s="2183"/>
      <c r="J71" s="2162"/>
      <c r="K71" s="2110"/>
      <c r="L71" s="2156"/>
      <c r="M71" s="2188"/>
      <c r="N71" s="2122"/>
      <c r="O71" s="2128"/>
      <c r="P71" s="2110"/>
      <c r="Q71" s="2191"/>
      <c r="R71" s="2194"/>
      <c r="S71" s="2110"/>
      <c r="T71" s="2197"/>
      <c r="U71" s="2196" t="s">
        <v>478</v>
      </c>
      <c r="V71" s="2152">
        <v>1000000</v>
      </c>
      <c r="W71" s="2156"/>
      <c r="X71" s="2215"/>
      <c r="Y71" s="2200"/>
      <c r="Z71" s="2200"/>
      <c r="AA71" s="2200"/>
      <c r="AB71" s="2200"/>
      <c r="AC71" s="2200"/>
      <c r="AD71" s="2200"/>
      <c r="AE71" s="2200"/>
      <c r="AF71" s="2213"/>
      <c r="AG71" s="2200"/>
      <c r="AH71" s="2200"/>
      <c r="AI71" s="2200"/>
      <c r="AJ71" s="2200"/>
      <c r="AK71" s="2210"/>
      <c r="AL71" s="2208"/>
      <c r="AM71" s="2203"/>
    </row>
    <row r="72" spans="1:39" s="884" customFormat="1" ht="32.25" customHeight="1" x14ac:dyDescent="0.3">
      <c r="A72" s="2088"/>
      <c r="B72" s="2089"/>
      <c r="C72" s="2090"/>
      <c r="D72" s="2088"/>
      <c r="E72" s="2089"/>
      <c r="F72" s="2090"/>
      <c r="G72" s="2181"/>
      <c r="H72" s="2182"/>
      <c r="I72" s="2183"/>
      <c r="J72" s="2162"/>
      <c r="K72" s="2110"/>
      <c r="L72" s="2156"/>
      <c r="M72" s="2188"/>
      <c r="N72" s="2122"/>
      <c r="O72" s="2128"/>
      <c r="P72" s="2110"/>
      <c r="Q72" s="2191"/>
      <c r="R72" s="2194"/>
      <c r="S72" s="2110"/>
      <c r="T72" s="2197"/>
      <c r="U72" s="2197"/>
      <c r="V72" s="2153"/>
      <c r="W72" s="2156"/>
      <c r="X72" s="2215"/>
      <c r="Y72" s="2200"/>
      <c r="Z72" s="2200"/>
      <c r="AA72" s="2200"/>
      <c r="AB72" s="2200"/>
      <c r="AC72" s="2200"/>
      <c r="AD72" s="2200"/>
      <c r="AE72" s="2200"/>
      <c r="AF72" s="2213"/>
      <c r="AG72" s="2200"/>
      <c r="AH72" s="2200"/>
      <c r="AI72" s="2200"/>
      <c r="AJ72" s="2200"/>
      <c r="AK72" s="2210"/>
      <c r="AL72" s="2208"/>
      <c r="AM72" s="2203"/>
    </row>
    <row r="73" spans="1:39" s="884" customFormat="1" ht="30" customHeight="1" x14ac:dyDescent="0.3">
      <c r="A73" s="2088"/>
      <c r="B73" s="2089"/>
      <c r="C73" s="2090"/>
      <c r="D73" s="2088"/>
      <c r="E73" s="2089"/>
      <c r="F73" s="2090"/>
      <c r="G73" s="2181"/>
      <c r="H73" s="2182"/>
      <c r="I73" s="2183"/>
      <c r="J73" s="2163"/>
      <c r="K73" s="2111"/>
      <c r="L73" s="2157"/>
      <c r="M73" s="2189"/>
      <c r="N73" s="2122"/>
      <c r="O73" s="2128"/>
      <c r="P73" s="2110"/>
      <c r="Q73" s="2192"/>
      <c r="R73" s="2195"/>
      <c r="S73" s="2110"/>
      <c r="T73" s="2197"/>
      <c r="U73" s="2198"/>
      <c r="V73" s="2154"/>
      <c r="W73" s="2156"/>
      <c r="X73" s="2215"/>
      <c r="Y73" s="2200"/>
      <c r="Z73" s="2200"/>
      <c r="AA73" s="2200"/>
      <c r="AB73" s="2200"/>
      <c r="AC73" s="2200"/>
      <c r="AD73" s="2200"/>
      <c r="AE73" s="2200"/>
      <c r="AF73" s="2213"/>
      <c r="AG73" s="2200"/>
      <c r="AH73" s="2200"/>
      <c r="AI73" s="2200"/>
      <c r="AJ73" s="2200"/>
      <c r="AK73" s="2211"/>
      <c r="AL73" s="2208"/>
      <c r="AM73" s="2203"/>
    </row>
    <row r="74" spans="1:39" s="884" customFormat="1" ht="17.25" customHeight="1" x14ac:dyDescent="0.3">
      <c r="A74" s="2088"/>
      <c r="B74" s="2089"/>
      <c r="C74" s="2090"/>
      <c r="D74" s="2088"/>
      <c r="E74" s="2089"/>
      <c r="F74" s="2090"/>
      <c r="G74" s="2181"/>
      <c r="H74" s="2182"/>
      <c r="I74" s="2183"/>
      <c r="J74" s="2161">
        <v>46</v>
      </c>
      <c r="K74" s="2109" t="s">
        <v>484</v>
      </c>
      <c r="L74" s="2155" t="s">
        <v>16</v>
      </c>
      <c r="M74" s="2205">
        <v>1</v>
      </c>
      <c r="N74" s="2122"/>
      <c r="O74" s="2128"/>
      <c r="P74" s="2110"/>
      <c r="Q74" s="2190">
        <f>+R74/415200000</f>
        <v>0.51782273603082851</v>
      </c>
      <c r="R74" s="2193">
        <v>215000000</v>
      </c>
      <c r="S74" s="2110"/>
      <c r="T74" s="2197"/>
      <c r="U74" s="2196" t="s">
        <v>485</v>
      </c>
      <c r="V74" s="2152">
        <f>50000000+165000000</f>
        <v>215000000</v>
      </c>
      <c r="W74" s="2156"/>
      <c r="X74" s="2215"/>
      <c r="Y74" s="2200"/>
      <c r="Z74" s="2200"/>
      <c r="AA74" s="2200"/>
      <c r="AB74" s="2200"/>
      <c r="AC74" s="2200"/>
      <c r="AD74" s="2200"/>
      <c r="AE74" s="2200"/>
      <c r="AF74" s="2213"/>
      <c r="AG74" s="2200"/>
      <c r="AH74" s="2200"/>
      <c r="AI74" s="2200"/>
      <c r="AJ74" s="2200"/>
      <c r="AK74" s="2209">
        <v>42745</v>
      </c>
      <c r="AL74" s="2208"/>
      <c r="AM74" s="2203"/>
    </row>
    <row r="75" spans="1:39" s="884" customFormat="1" ht="17.25" customHeight="1" x14ac:dyDescent="0.3">
      <c r="A75" s="2088"/>
      <c r="B75" s="2089"/>
      <c r="C75" s="2090"/>
      <c r="D75" s="2088"/>
      <c r="E75" s="2089"/>
      <c r="F75" s="2090"/>
      <c r="G75" s="2181"/>
      <c r="H75" s="2182"/>
      <c r="I75" s="2183"/>
      <c r="J75" s="2162"/>
      <c r="K75" s="2110"/>
      <c r="L75" s="2156"/>
      <c r="M75" s="2206"/>
      <c r="N75" s="2122"/>
      <c r="O75" s="2128"/>
      <c r="P75" s="2110"/>
      <c r="Q75" s="2191"/>
      <c r="R75" s="2194"/>
      <c r="S75" s="2110"/>
      <c r="T75" s="2197"/>
      <c r="U75" s="2197"/>
      <c r="V75" s="2153"/>
      <c r="W75" s="2156"/>
      <c r="X75" s="2215"/>
      <c r="Y75" s="2200"/>
      <c r="Z75" s="2200"/>
      <c r="AA75" s="2200"/>
      <c r="AB75" s="2200"/>
      <c r="AC75" s="2200"/>
      <c r="AD75" s="2200"/>
      <c r="AE75" s="2200"/>
      <c r="AF75" s="2213"/>
      <c r="AG75" s="2200"/>
      <c r="AH75" s="2200"/>
      <c r="AI75" s="2200"/>
      <c r="AJ75" s="2200"/>
      <c r="AK75" s="2210"/>
      <c r="AL75" s="2208"/>
      <c r="AM75" s="2203"/>
    </row>
    <row r="76" spans="1:39" s="884" customFormat="1" ht="17.25" customHeight="1" x14ac:dyDescent="0.3">
      <c r="A76" s="2088"/>
      <c r="B76" s="2089"/>
      <c r="C76" s="2090"/>
      <c r="D76" s="2088"/>
      <c r="E76" s="2089"/>
      <c r="F76" s="2090"/>
      <c r="G76" s="2181"/>
      <c r="H76" s="2182"/>
      <c r="I76" s="2183"/>
      <c r="J76" s="2162"/>
      <c r="K76" s="2110"/>
      <c r="L76" s="2156"/>
      <c r="M76" s="2206"/>
      <c r="N76" s="2122"/>
      <c r="O76" s="2128"/>
      <c r="P76" s="2110"/>
      <c r="Q76" s="2191"/>
      <c r="R76" s="2194"/>
      <c r="S76" s="2110"/>
      <c r="T76" s="2197"/>
      <c r="U76" s="2197"/>
      <c r="V76" s="2153"/>
      <c r="W76" s="2156"/>
      <c r="X76" s="2215"/>
      <c r="Y76" s="2200"/>
      <c r="Z76" s="2200"/>
      <c r="AA76" s="2200"/>
      <c r="AB76" s="2200"/>
      <c r="AC76" s="2200"/>
      <c r="AD76" s="2200"/>
      <c r="AE76" s="2200"/>
      <c r="AF76" s="2213"/>
      <c r="AG76" s="2200"/>
      <c r="AH76" s="2200"/>
      <c r="AI76" s="2200"/>
      <c r="AJ76" s="2200"/>
      <c r="AK76" s="2210"/>
      <c r="AL76" s="2208"/>
      <c r="AM76" s="2203"/>
    </row>
    <row r="77" spans="1:39" s="884" customFormat="1" ht="17.25" customHeight="1" x14ac:dyDescent="0.3">
      <c r="A77" s="2088"/>
      <c r="B77" s="2089"/>
      <c r="C77" s="2090"/>
      <c r="D77" s="2088"/>
      <c r="E77" s="2089"/>
      <c r="F77" s="2090"/>
      <c r="G77" s="2181"/>
      <c r="H77" s="2182"/>
      <c r="I77" s="2183"/>
      <c r="J77" s="2162"/>
      <c r="K77" s="2110"/>
      <c r="L77" s="2156"/>
      <c r="M77" s="2206"/>
      <c r="N77" s="2122"/>
      <c r="O77" s="2128"/>
      <c r="P77" s="2110"/>
      <c r="Q77" s="2191"/>
      <c r="R77" s="2194"/>
      <c r="S77" s="2110"/>
      <c r="T77" s="2197"/>
      <c r="U77" s="2197"/>
      <c r="V77" s="2153"/>
      <c r="W77" s="2156"/>
      <c r="X77" s="2215"/>
      <c r="Y77" s="2200"/>
      <c r="Z77" s="2200"/>
      <c r="AA77" s="2200"/>
      <c r="AB77" s="2200"/>
      <c r="AC77" s="2200"/>
      <c r="AD77" s="2200"/>
      <c r="AE77" s="2200"/>
      <c r="AF77" s="2213"/>
      <c r="AG77" s="2200"/>
      <c r="AH77" s="2200"/>
      <c r="AI77" s="2200"/>
      <c r="AJ77" s="2200"/>
      <c r="AK77" s="2210"/>
      <c r="AL77" s="2208"/>
      <c r="AM77" s="2203"/>
    </row>
    <row r="78" spans="1:39" s="884" customFormat="1" ht="17.25" customHeight="1" x14ac:dyDescent="0.3">
      <c r="A78" s="2088"/>
      <c r="B78" s="2089"/>
      <c r="C78" s="2090"/>
      <c r="D78" s="2088"/>
      <c r="E78" s="2089"/>
      <c r="F78" s="2090"/>
      <c r="G78" s="2181"/>
      <c r="H78" s="2182"/>
      <c r="I78" s="2183"/>
      <c r="J78" s="2162"/>
      <c r="K78" s="2110"/>
      <c r="L78" s="2156"/>
      <c r="M78" s="2206"/>
      <c r="N78" s="2122"/>
      <c r="O78" s="2128"/>
      <c r="P78" s="2110"/>
      <c r="Q78" s="2191"/>
      <c r="R78" s="2194"/>
      <c r="S78" s="2110"/>
      <c r="T78" s="2197"/>
      <c r="U78" s="2197"/>
      <c r="V78" s="2153"/>
      <c r="W78" s="2156"/>
      <c r="X78" s="2215"/>
      <c r="Y78" s="2200"/>
      <c r="Z78" s="2200"/>
      <c r="AA78" s="2200"/>
      <c r="AB78" s="2200"/>
      <c r="AC78" s="2200"/>
      <c r="AD78" s="2200"/>
      <c r="AE78" s="2200"/>
      <c r="AF78" s="2213"/>
      <c r="AG78" s="2200"/>
      <c r="AH78" s="2200"/>
      <c r="AI78" s="2200"/>
      <c r="AJ78" s="2200"/>
      <c r="AK78" s="2210"/>
      <c r="AL78" s="2208"/>
      <c r="AM78" s="2203"/>
    </row>
    <row r="79" spans="1:39" s="884" customFormat="1" ht="17.25" customHeight="1" x14ac:dyDescent="0.3">
      <c r="A79" s="2088"/>
      <c r="B79" s="2089"/>
      <c r="C79" s="2090"/>
      <c r="D79" s="2088"/>
      <c r="E79" s="2089"/>
      <c r="F79" s="2090"/>
      <c r="G79" s="2184"/>
      <c r="H79" s="2185"/>
      <c r="I79" s="2186"/>
      <c r="J79" s="2163"/>
      <c r="K79" s="2111"/>
      <c r="L79" s="2157"/>
      <c r="M79" s="2207"/>
      <c r="N79" s="2123"/>
      <c r="O79" s="2129"/>
      <c r="P79" s="2111"/>
      <c r="Q79" s="2192"/>
      <c r="R79" s="2195"/>
      <c r="S79" s="2111"/>
      <c r="T79" s="2198"/>
      <c r="U79" s="2198"/>
      <c r="V79" s="2154"/>
      <c r="W79" s="2157"/>
      <c r="X79" s="2216"/>
      <c r="Y79" s="2201"/>
      <c r="Z79" s="2201"/>
      <c r="AA79" s="2201"/>
      <c r="AB79" s="2201"/>
      <c r="AC79" s="2201"/>
      <c r="AD79" s="2201"/>
      <c r="AE79" s="2201"/>
      <c r="AF79" s="2214"/>
      <c r="AG79" s="2201"/>
      <c r="AH79" s="2201"/>
      <c r="AI79" s="2201"/>
      <c r="AJ79" s="2201"/>
      <c r="AK79" s="2211"/>
      <c r="AL79" s="2208"/>
      <c r="AM79" s="2204"/>
    </row>
    <row r="80" spans="1:39" s="884" customFormat="1" ht="17.25" customHeight="1" x14ac:dyDescent="0.3">
      <c r="A80" s="2088"/>
      <c r="B80" s="2089"/>
      <c r="C80" s="2090"/>
      <c r="D80" s="2088"/>
      <c r="E80" s="2089"/>
      <c r="F80" s="2090"/>
      <c r="G80" s="2100">
        <v>10</v>
      </c>
      <c r="H80" s="2102" t="s">
        <v>486</v>
      </c>
      <c r="I80" s="2103"/>
      <c r="J80" s="2103"/>
      <c r="K80" s="2103"/>
      <c r="L80" s="2103"/>
      <c r="M80" s="885"/>
      <c r="N80" s="885"/>
      <c r="O80" s="885"/>
      <c r="P80" s="885"/>
      <c r="Q80" s="885"/>
      <c r="R80" s="886"/>
      <c r="S80" s="887"/>
      <c r="T80" s="887"/>
      <c r="U80" s="887"/>
      <c r="V80" s="886"/>
      <c r="W80" s="885"/>
      <c r="X80" s="887"/>
      <c r="Y80" s="885"/>
      <c r="Z80" s="885"/>
      <c r="AA80" s="885"/>
      <c r="AB80" s="885"/>
      <c r="AC80" s="885"/>
      <c r="AD80" s="885"/>
      <c r="AE80" s="885"/>
      <c r="AF80" s="885"/>
      <c r="AG80" s="885"/>
      <c r="AH80" s="885"/>
      <c r="AI80" s="885"/>
      <c r="AJ80" s="885"/>
      <c r="AK80" s="2171"/>
      <c r="AL80" s="2171"/>
      <c r="AM80" s="2176"/>
    </row>
    <row r="81" spans="1:39" s="884" customFormat="1" ht="17.25" customHeight="1" x14ac:dyDescent="0.3">
      <c r="A81" s="2088"/>
      <c r="B81" s="2089"/>
      <c r="C81" s="2090"/>
      <c r="D81" s="2088"/>
      <c r="E81" s="2089"/>
      <c r="F81" s="2090"/>
      <c r="G81" s="2101"/>
      <c r="H81" s="2104"/>
      <c r="I81" s="2105"/>
      <c r="J81" s="2105"/>
      <c r="K81" s="2105"/>
      <c r="L81" s="2105"/>
      <c r="M81" s="888"/>
      <c r="N81" s="888"/>
      <c r="O81" s="888"/>
      <c r="P81" s="888"/>
      <c r="Q81" s="888"/>
      <c r="R81" s="889"/>
      <c r="S81" s="890"/>
      <c r="T81" s="890"/>
      <c r="U81" s="890"/>
      <c r="V81" s="889"/>
      <c r="W81" s="888"/>
      <c r="X81" s="890"/>
      <c r="Y81" s="888"/>
      <c r="Z81" s="888"/>
      <c r="AA81" s="888"/>
      <c r="AB81" s="888"/>
      <c r="AC81" s="888"/>
      <c r="AD81" s="888"/>
      <c r="AE81" s="888"/>
      <c r="AF81" s="888"/>
      <c r="AG81" s="888"/>
      <c r="AH81" s="888"/>
      <c r="AI81" s="888"/>
      <c r="AJ81" s="888"/>
      <c r="AK81" s="2172"/>
      <c r="AL81" s="2172"/>
      <c r="AM81" s="2177"/>
    </row>
    <row r="82" spans="1:39" s="884" customFormat="1" ht="17.25" customHeight="1" x14ac:dyDescent="0.3">
      <c r="A82" s="2088"/>
      <c r="B82" s="2089"/>
      <c r="C82" s="2090"/>
      <c r="D82" s="2088"/>
      <c r="E82" s="2089"/>
      <c r="F82" s="2090"/>
      <c r="G82" s="2178"/>
      <c r="H82" s="2179"/>
      <c r="I82" s="2180"/>
      <c r="J82" s="2161">
        <v>47</v>
      </c>
      <c r="K82" s="2109" t="s">
        <v>487</v>
      </c>
      <c r="L82" s="2155" t="s">
        <v>16</v>
      </c>
      <c r="M82" s="2161">
        <v>24</v>
      </c>
      <c r="N82" s="2121" t="s">
        <v>488</v>
      </c>
      <c r="O82" s="2127" t="s">
        <v>489</v>
      </c>
      <c r="P82" s="2109" t="s">
        <v>490</v>
      </c>
      <c r="Q82" s="2190">
        <f>+R82/423920000</f>
        <v>0.39699707491979619</v>
      </c>
      <c r="R82" s="2217">
        <v>168295000</v>
      </c>
      <c r="S82" s="2109" t="s">
        <v>491</v>
      </c>
      <c r="T82" s="2196" t="s">
        <v>492</v>
      </c>
      <c r="U82" s="2196" t="s">
        <v>493</v>
      </c>
      <c r="V82" s="2152">
        <f>78750000+5625000+83920000</f>
        <v>168295000</v>
      </c>
      <c r="W82" s="2121" t="s">
        <v>446</v>
      </c>
      <c r="X82" s="2109" t="s">
        <v>447</v>
      </c>
      <c r="Y82" s="2212">
        <v>64149</v>
      </c>
      <c r="Z82" s="2212">
        <v>72224</v>
      </c>
      <c r="AA82" s="2212">
        <v>27477</v>
      </c>
      <c r="AB82" s="2212">
        <v>86843</v>
      </c>
      <c r="AC82" s="2212">
        <v>236429</v>
      </c>
      <c r="AD82" s="2212">
        <v>81384</v>
      </c>
      <c r="AE82" s="2212"/>
      <c r="AF82" s="2212"/>
      <c r="AG82" s="2212"/>
      <c r="AH82" s="2212"/>
      <c r="AI82" s="2212"/>
      <c r="AJ82" s="2212"/>
      <c r="AK82" s="2209">
        <v>42745</v>
      </c>
      <c r="AL82" s="2224">
        <v>43094</v>
      </c>
      <c r="AM82" s="2202" t="s">
        <v>463</v>
      </c>
    </row>
    <row r="83" spans="1:39" s="884" customFormat="1" ht="17.25" customHeight="1" x14ac:dyDescent="0.3">
      <c r="A83" s="2088"/>
      <c r="B83" s="2089"/>
      <c r="C83" s="2090"/>
      <c r="D83" s="2088"/>
      <c r="E83" s="2089"/>
      <c r="F83" s="2090"/>
      <c r="G83" s="2181"/>
      <c r="H83" s="2182"/>
      <c r="I83" s="2183"/>
      <c r="J83" s="2162"/>
      <c r="K83" s="2110"/>
      <c r="L83" s="2156"/>
      <c r="M83" s="2162"/>
      <c r="N83" s="2122"/>
      <c r="O83" s="2128"/>
      <c r="P83" s="2110"/>
      <c r="Q83" s="2191"/>
      <c r="R83" s="2218"/>
      <c r="S83" s="2110"/>
      <c r="T83" s="2197"/>
      <c r="U83" s="2197"/>
      <c r="V83" s="2153"/>
      <c r="W83" s="2122"/>
      <c r="X83" s="2215"/>
      <c r="Y83" s="2213"/>
      <c r="Z83" s="2213"/>
      <c r="AA83" s="2213"/>
      <c r="AB83" s="2213"/>
      <c r="AC83" s="2213"/>
      <c r="AD83" s="2213"/>
      <c r="AE83" s="2213"/>
      <c r="AF83" s="2213"/>
      <c r="AG83" s="2213"/>
      <c r="AH83" s="2213"/>
      <c r="AI83" s="2213"/>
      <c r="AJ83" s="2213"/>
      <c r="AK83" s="2210"/>
      <c r="AL83" s="2224"/>
      <c r="AM83" s="2203"/>
    </row>
    <row r="84" spans="1:39" s="884" customFormat="1" ht="17.25" customHeight="1" x14ac:dyDescent="0.3">
      <c r="A84" s="2088"/>
      <c r="B84" s="2089"/>
      <c r="C84" s="2090"/>
      <c r="D84" s="2088"/>
      <c r="E84" s="2089"/>
      <c r="F84" s="2090"/>
      <c r="G84" s="2181"/>
      <c r="H84" s="2182"/>
      <c r="I84" s="2183"/>
      <c r="J84" s="2162"/>
      <c r="K84" s="2110"/>
      <c r="L84" s="2156"/>
      <c r="M84" s="2162"/>
      <c r="N84" s="2122"/>
      <c r="O84" s="2128"/>
      <c r="P84" s="2110"/>
      <c r="Q84" s="2191"/>
      <c r="R84" s="2218"/>
      <c r="S84" s="2110"/>
      <c r="T84" s="2197"/>
      <c r="U84" s="2197"/>
      <c r="V84" s="2153"/>
      <c r="W84" s="2122"/>
      <c r="X84" s="2215"/>
      <c r="Y84" s="2213"/>
      <c r="Z84" s="2213"/>
      <c r="AA84" s="2213"/>
      <c r="AB84" s="2213"/>
      <c r="AC84" s="2213"/>
      <c r="AD84" s="2213"/>
      <c r="AE84" s="2213"/>
      <c r="AF84" s="2213"/>
      <c r="AG84" s="2213"/>
      <c r="AH84" s="2213"/>
      <c r="AI84" s="2213"/>
      <c r="AJ84" s="2213"/>
      <c r="AK84" s="2210"/>
      <c r="AL84" s="2224"/>
      <c r="AM84" s="2203"/>
    </row>
    <row r="85" spans="1:39" s="884" customFormat="1" ht="17.25" customHeight="1" x14ac:dyDescent="0.3">
      <c r="A85" s="2088"/>
      <c r="B85" s="2089"/>
      <c r="C85" s="2090"/>
      <c r="D85" s="2088"/>
      <c r="E85" s="2089"/>
      <c r="F85" s="2090"/>
      <c r="G85" s="2181"/>
      <c r="H85" s="2182"/>
      <c r="I85" s="2183"/>
      <c r="J85" s="2162"/>
      <c r="K85" s="2110"/>
      <c r="L85" s="2156"/>
      <c r="M85" s="2162"/>
      <c r="N85" s="2122"/>
      <c r="O85" s="2128"/>
      <c r="P85" s="2110"/>
      <c r="Q85" s="2191"/>
      <c r="R85" s="2218"/>
      <c r="S85" s="2110"/>
      <c r="T85" s="2197"/>
      <c r="U85" s="2197"/>
      <c r="V85" s="2153"/>
      <c r="W85" s="2122"/>
      <c r="X85" s="2215"/>
      <c r="Y85" s="2213"/>
      <c r="Z85" s="2213"/>
      <c r="AA85" s="2213"/>
      <c r="AB85" s="2213"/>
      <c r="AC85" s="2213"/>
      <c r="AD85" s="2213"/>
      <c r="AE85" s="2213"/>
      <c r="AF85" s="2213"/>
      <c r="AG85" s="2213"/>
      <c r="AH85" s="2213"/>
      <c r="AI85" s="2213"/>
      <c r="AJ85" s="2213"/>
      <c r="AK85" s="2210"/>
      <c r="AL85" s="2224"/>
      <c r="AM85" s="2203"/>
    </row>
    <row r="86" spans="1:39" s="884" customFormat="1" ht="17.25" customHeight="1" x14ac:dyDescent="0.3">
      <c r="A86" s="2088"/>
      <c r="B86" s="2089"/>
      <c r="C86" s="2090"/>
      <c r="D86" s="2088"/>
      <c r="E86" s="2089"/>
      <c r="F86" s="2090"/>
      <c r="G86" s="2181"/>
      <c r="H86" s="2182"/>
      <c r="I86" s="2183"/>
      <c r="J86" s="2162"/>
      <c r="K86" s="2110"/>
      <c r="L86" s="2156"/>
      <c r="M86" s="2162"/>
      <c r="N86" s="2122"/>
      <c r="O86" s="2128"/>
      <c r="P86" s="2110"/>
      <c r="Q86" s="2191"/>
      <c r="R86" s="2218"/>
      <c r="S86" s="2110"/>
      <c r="T86" s="2197"/>
      <c r="U86" s="2197"/>
      <c r="V86" s="2153"/>
      <c r="W86" s="2122"/>
      <c r="X86" s="2215"/>
      <c r="Y86" s="2213"/>
      <c r="Z86" s="2213"/>
      <c r="AA86" s="2213"/>
      <c r="AB86" s="2213"/>
      <c r="AC86" s="2213"/>
      <c r="AD86" s="2213"/>
      <c r="AE86" s="2213"/>
      <c r="AF86" s="2213"/>
      <c r="AG86" s="2213"/>
      <c r="AH86" s="2213"/>
      <c r="AI86" s="2213"/>
      <c r="AJ86" s="2213"/>
      <c r="AK86" s="2210"/>
      <c r="AL86" s="2224"/>
      <c r="AM86" s="2203"/>
    </row>
    <row r="87" spans="1:39" s="884" customFormat="1" ht="17.25" customHeight="1" x14ac:dyDescent="0.3">
      <c r="A87" s="2088"/>
      <c r="B87" s="2089"/>
      <c r="C87" s="2090"/>
      <c r="D87" s="2088"/>
      <c r="E87" s="2089"/>
      <c r="F87" s="2090"/>
      <c r="G87" s="2181"/>
      <c r="H87" s="2182"/>
      <c r="I87" s="2183"/>
      <c r="J87" s="2163"/>
      <c r="K87" s="2111"/>
      <c r="L87" s="2156"/>
      <c r="M87" s="2163"/>
      <c r="N87" s="2122"/>
      <c r="O87" s="2128"/>
      <c r="P87" s="2110"/>
      <c r="Q87" s="2192"/>
      <c r="R87" s="2219"/>
      <c r="S87" s="2110"/>
      <c r="T87" s="2198"/>
      <c r="U87" s="2198"/>
      <c r="V87" s="2154"/>
      <c r="W87" s="2122"/>
      <c r="X87" s="2215"/>
      <c r="Y87" s="2213"/>
      <c r="Z87" s="2213"/>
      <c r="AA87" s="2213"/>
      <c r="AB87" s="2213"/>
      <c r="AC87" s="2213"/>
      <c r="AD87" s="2213"/>
      <c r="AE87" s="2213"/>
      <c r="AF87" s="2213"/>
      <c r="AG87" s="2213"/>
      <c r="AH87" s="2213"/>
      <c r="AI87" s="2213"/>
      <c r="AJ87" s="2213"/>
      <c r="AK87" s="2211"/>
      <c r="AL87" s="2224"/>
      <c r="AM87" s="2203"/>
    </row>
    <row r="88" spans="1:39" s="884" customFormat="1" ht="17.25" customHeight="1" x14ac:dyDescent="0.3">
      <c r="A88" s="2088"/>
      <c r="B88" s="2089"/>
      <c r="C88" s="2090"/>
      <c r="D88" s="2088"/>
      <c r="E88" s="2089"/>
      <c r="F88" s="2090"/>
      <c r="G88" s="2181"/>
      <c r="H88" s="2182"/>
      <c r="I88" s="2183"/>
      <c r="J88" s="2161">
        <v>48</v>
      </c>
      <c r="K88" s="2109" t="s">
        <v>494</v>
      </c>
      <c r="L88" s="2156"/>
      <c r="M88" s="2161">
        <v>1</v>
      </c>
      <c r="N88" s="2122"/>
      <c r="O88" s="2128"/>
      <c r="P88" s="2110"/>
      <c r="Q88" s="2190">
        <f>+R88/423920000</f>
        <v>0.47178712964710323</v>
      </c>
      <c r="R88" s="2220">
        <v>200000000</v>
      </c>
      <c r="S88" s="2110"/>
      <c r="T88" s="2196" t="s">
        <v>495</v>
      </c>
      <c r="U88" s="2221" t="s">
        <v>496</v>
      </c>
      <c r="V88" s="2152">
        <f>205625000-5625000</f>
        <v>200000000</v>
      </c>
      <c r="W88" s="2122"/>
      <c r="X88" s="2215"/>
      <c r="Y88" s="2213"/>
      <c r="Z88" s="2213"/>
      <c r="AA88" s="2213"/>
      <c r="AB88" s="2213"/>
      <c r="AC88" s="2213"/>
      <c r="AD88" s="2213"/>
      <c r="AE88" s="2213"/>
      <c r="AF88" s="2213"/>
      <c r="AG88" s="2213"/>
      <c r="AH88" s="2213"/>
      <c r="AI88" s="2213"/>
      <c r="AJ88" s="2213"/>
      <c r="AK88" s="2209">
        <v>42745</v>
      </c>
      <c r="AL88" s="2224"/>
      <c r="AM88" s="2203"/>
    </row>
    <row r="89" spans="1:39" s="884" customFormat="1" ht="17.25" customHeight="1" x14ac:dyDescent="0.3">
      <c r="A89" s="2088"/>
      <c r="B89" s="2089"/>
      <c r="C89" s="2090"/>
      <c r="D89" s="2088"/>
      <c r="E89" s="2089"/>
      <c r="F89" s="2090"/>
      <c r="G89" s="2181"/>
      <c r="H89" s="2182"/>
      <c r="I89" s="2183"/>
      <c r="J89" s="2162"/>
      <c r="K89" s="2110"/>
      <c r="L89" s="2156"/>
      <c r="M89" s="2162"/>
      <c r="N89" s="2122"/>
      <c r="O89" s="2128"/>
      <c r="P89" s="2110"/>
      <c r="Q89" s="2191"/>
      <c r="R89" s="2220"/>
      <c r="S89" s="2110"/>
      <c r="T89" s="2197"/>
      <c r="U89" s="2222"/>
      <c r="V89" s="2153"/>
      <c r="W89" s="2122"/>
      <c r="X89" s="2215"/>
      <c r="Y89" s="2213"/>
      <c r="Z89" s="2213"/>
      <c r="AA89" s="2213"/>
      <c r="AB89" s="2213"/>
      <c r="AC89" s="2213"/>
      <c r="AD89" s="2213"/>
      <c r="AE89" s="2213"/>
      <c r="AF89" s="2213"/>
      <c r="AG89" s="2213"/>
      <c r="AH89" s="2213"/>
      <c r="AI89" s="2213"/>
      <c r="AJ89" s="2213"/>
      <c r="AK89" s="2210"/>
      <c r="AL89" s="2224"/>
      <c r="AM89" s="2203"/>
    </row>
    <row r="90" spans="1:39" s="884" customFormat="1" ht="17.25" customHeight="1" x14ac:dyDescent="0.3">
      <c r="A90" s="2088"/>
      <c r="B90" s="2089"/>
      <c r="C90" s="2090"/>
      <c r="D90" s="2088"/>
      <c r="E90" s="2089"/>
      <c r="F90" s="2090"/>
      <c r="G90" s="2181"/>
      <c r="H90" s="2182"/>
      <c r="I90" s="2183"/>
      <c r="J90" s="2162"/>
      <c r="K90" s="2110"/>
      <c r="L90" s="2156"/>
      <c r="M90" s="2162"/>
      <c r="N90" s="2122"/>
      <c r="O90" s="2128"/>
      <c r="P90" s="2110"/>
      <c r="Q90" s="2191"/>
      <c r="R90" s="2220"/>
      <c r="S90" s="2110"/>
      <c r="T90" s="2197"/>
      <c r="U90" s="2222"/>
      <c r="V90" s="2153"/>
      <c r="W90" s="2122"/>
      <c r="X90" s="2215"/>
      <c r="Y90" s="2213"/>
      <c r="Z90" s="2213"/>
      <c r="AA90" s="2213"/>
      <c r="AB90" s="2213"/>
      <c r="AC90" s="2213"/>
      <c r="AD90" s="2213"/>
      <c r="AE90" s="2213"/>
      <c r="AF90" s="2213"/>
      <c r="AG90" s="2213"/>
      <c r="AH90" s="2213"/>
      <c r="AI90" s="2213"/>
      <c r="AJ90" s="2213"/>
      <c r="AK90" s="2210"/>
      <c r="AL90" s="2224"/>
      <c r="AM90" s="2203"/>
    </row>
    <row r="91" spans="1:39" s="884" customFormat="1" ht="17.25" customHeight="1" x14ac:dyDescent="0.3">
      <c r="A91" s="2088"/>
      <c r="B91" s="2089"/>
      <c r="C91" s="2090"/>
      <c r="D91" s="2088"/>
      <c r="E91" s="2089"/>
      <c r="F91" s="2090"/>
      <c r="G91" s="2181"/>
      <c r="H91" s="2182"/>
      <c r="I91" s="2183"/>
      <c r="J91" s="2163"/>
      <c r="K91" s="2111"/>
      <c r="L91" s="2156"/>
      <c r="M91" s="2163"/>
      <c r="N91" s="2122"/>
      <c r="O91" s="2128"/>
      <c r="P91" s="2110"/>
      <c r="Q91" s="2192"/>
      <c r="R91" s="2220"/>
      <c r="S91" s="2110"/>
      <c r="T91" s="2197"/>
      <c r="U91" s="2223"/>
      <c r="V91" s="2154"/>
      <c r="W91" s="2122"/>
      <c r="X91" s="2215"/>
      <c r="Y91" s="2213"/>
      <c r="Z91" s="2213"/>
      <c r="AA91" s="2213"/>
      <c r="AB91" s="2213"/>
      <c r="AC91" s="2213"/>
      <c r="AD91" s="2213"/>
      <c r="AE91" s="2213"/>
      <c r="AF91" s="2213"/>
      <c r="AG91" s="2213"/>
      <c r="AH91" s="2213"/>
      <c r="AI91" s="2213"/>
      <c r="AJ91" s="2213"/>
      <c r="AK91" s="2211"/>
      <c r="AL91" s="2224"/>
      <c r="AM91" s="2203"/>
    </row>
    <row r="92" spans="1:39" s="884" customFormat="1" ht="17.25" customHeight="1" x14ac:dyDescent="0.3">
      <c r="A92" s="2088"/>
      <c r="B92" s="2089"/>
      <c r="C92" s="2090"/>
      <c r="D92" s="2088"/>
      <c r="E92" s="2089"/>
      <c r="F92" s="2090"/>
      <c r="G92" s="2181"/>
      <c r="H92" s="2182"/>
      <c r="I92" s="2183"/>
      <c r="J92" s="2161">
        <v>49</v>
      </c>
      <c r="K92" s="2109" t="s">
        <v>497</v>
      </c>
      <c r="L92" s="2156"/>
      <c r="M92" s="2161">
        <v>1</v>
      </c>
      <c r="N92" s="2122"/>
      <c r="O92" s="2128"/>
      <c r="P92" s="2110"/>
      <c r="Q92" s="2190">
        <f>+R92/423920000</f>
        <v>0.13121579543310058</v>
      </c>
      <c r="R92" s="2217">
        <v>55625000</v>
      </c>
      <c r="S92" s="2110"/>
      <c r="T92" s="2197"/>
      <c r="U92" s="2196" t="s">
        <v>498</v>
      </c>
      <c r="V92" s="2152">
        <f>25625000+30000000</f>
        <v>55625000</v>
      </c>
      <c r="W92" s="2122"/>
      <c r="X92" s="2215"/>
      <c r="Y92" s="2213"/>
      <c r="Z92" s="2213"/>
      <c r="AA92" s="2213"/>
      <c r="AB92" s="2213"/>
      <c r="AC92" s="2213"/>
      <c r="AD92" s="2213"/>
      <c r="AE92" s="2213"/>
      <c r="AF92" s="2213"/>
      <c r="AG92" s="2213"/>
      <c r="AH92" s="2213"/>
      <c r="AI92" s="2213"/>
      <c r="AJ92" s="2213"/>
      <c r="AK92" s="2142">
        <v>42745</v>
      </c>
      <c r="AL92" s="2224"/>
      <c r="AM92" s="2203"/>
    </row>
    <row r="93" spans="1:39" s="884" customFormat="1" ht="17.25" customHeight="1" x14ac:dyDescent="0.3">
      <c r="A93" s="2088"/>
      <c r="B93" s="2089"/>
      <c r="C93" s="2090"/>
      <c r="D93" s="2088"/>
      <c r="E93" s="2089"/>
      <c r="F93" s="2090"/>
      <c r="G93" s="2181"/>
      <c r="H93" s="2182"/>
      <c r="I93" s="2183"/>
      <c r="J93" s="2162"/>
      <c r="K93" s="2110"/>
      <c r="L93" s="2156"/>
      <c r="M93" s="2162"/>
      <c r="N93" s="2122"/>
      <c r="O93" s="2128"/>
      <c r="P93" s="2110"/>
      <c r="Q93" s="2191"/>
      <c r="R93" s="2218"/>
      <c r="S93" s="2110"/>
      <c r="T93" s="2197"/>
      <c r="U93" s="2197"/>
      <c r="V93" s="2153"/>
      <c r="W93" s="2122"/>
      <c r="X93" s="2215"/>
      <c r="Y93" s="2213"/>
      <c r="Z93" s="2213"/>
      <c r="AA93" s="2213"/>
      <c r="AB93" s="2213"/>
      <c r="AC93" s="2213"/>
      <c r="AD93" s="2213"/>
      <c r="AE93" s="2213"/>
      <c r="AF93" s="2213"/>
      <c r="AG93" s="2213"/>
      <c r="AH93" s="2213"/>
      <c r="AI93" s="2213"/>
      <c r="AJ93" s="2213"/>
      <c r="AK93" s="2142"/>
      <c r="AL93" s="2224"/>
      <c r="AM93" s="2203"/>
    </row>
    <row r="94" spans="1:39" s="884" customFormat="1" ht="17.25" customHeight="1" x14ac:dyDescent="0.3">
      <c r="A94" s="2088"/>
      <c r="B94" s="2089"/>
      <c r="C94" s="2090"/>
      <c r="D94" s="2088"/>
      <c r="E94" s="2089"/>
      <c r="F94" s="2090"/>
      <c r="G94" s="2181"/>
      <c r="H94" s="2182"/>
      <c r="I94" s="2183"/>
      <c r="J94" s="2162"/>
      <c r="K94" s="2110"/>
      <c r="L94" s="2156"/>
      <c r="M94" s="2162"/>
      <c r="N94" s="2122"/>
      <c r="O94" s="2128"/>
      <c r="P94" s="2110"/>
      <c r="Q94" s="2191"/>
      <c r="R94" s="2218"/>
      <c r="S94" s="2110"/>
      <c r="T94" s="2197"/>
      <c r="U94" s="2197"/>
      <c r="V94" s="2153"/>
      <c r="W94" s="2122"/>
      <c r="X94" s="2215"/>
      <c r="Y94" s="2213"/>
      <c r="Z94" s="2213"/>
      <c r="AA94" s="2213"/>
      <c r="AB94" s="2213"/>
      <c r="AC94" s="2213"/>
      <c r="AD94" s="2213"/>
      <c r="AE94" s="2213"/>
      <c r="AF94" s="2213"/>
      <c r="AG94" s="2213"/>
      <c r="AH94" s="2213"/>
      <c r="AI94" s="2213"/>
      <c r="AJ94" s="2213"/>
      <c r="AK94" s="2142"/>
      <c r="AL94" s="2224"/>
      <c r="AM94" s="2203"/>
    </row>
    <row r="95" spans="1:39" s="884" customFormat="1" ht="17.25" customHeight="1" x14ac:dyDescent="0.3">
      <c r="A95" s="2088"/>
      <c r="B95" s="2089"/>
      <c r="C95" s="2090"/>
      <c r="D95" s="2088"/>
      <c r="E95" s="2089"/>
      <c r="F95" s="2090"/>
      <c r="G95" s="2181"/>
      <c r="H95" s="2182"/>
      <c r="I95" s="2183"/>
      <c r="J95" s="2162"/>
      <c r="K95" s="2110"/>
      <c r="L95" s="2156"/>
      <c r="M95" s="2162"/>
      <c r="N95" s="2122"/>
      <c r="O95" s="2128"/>
      <c r="P95" s="2110"/>
      <c r="Q95" s="2191"/>
      <c r="R95" s="2218"/>
      <c r="S95" s="2110"/>
      <c r="T95" s="2197"/>
      <c r="U95" s="2197"/>
      <c r="V95" s="2153"/>
      <c r="W95" s="2122"/>
      <c r="X95" s="2215"/>
      <c r="Y95" s="2213"/>
      <c r="Z95" s="2213"/>
      <c r="AA95" s="2213"/>
      <c r="AB95" s="2213"/>
      <c r="AC95" s="2213"/>
      <c r="AD95" s="2213"/>
      <c r="AE95" s="2213"/>
      <c r="AF95" s="2213"/>
      <c r="AG95" s="2213"/>
      <c r="AH95" s="2213"/>
      <c r="AI95" s="2213"/>
      <c r="AJ95" s="2213"/>
      <c r="AK95" s="2142"/>
      <c r="AL95" s="2224"/>
      <c r="AM95" s="2203"/>
    </row>
    <row r="96" spans="1:39" s="884" customFormat="1" ht="17.25" customHeight="1" x14ac:dyDescent="0.3">
      <c r="A96" s="2088"/>
      <c r="B96" s="2089"/>
      <c r="C96" s="2090"/>
      <c r="D96" s="2091"/>
      <c r="E96" s="2092"/>
      <c r="F96" s="2093"/>
      <c r="G96" s="2184"/>
      <c r="H96" s="2185"/>
      <c r="I96" s="2186"/>
      <c r="J96" s="2163"/>
      <c r="K96" s="2111"/>
      <c r="L96" s="2157"/>
      <c r="M96" s="2163"/>
      <c r="N96" s="2123"/>
      <c r="O96" s="2129"/>
      <c r="P96" s="2111"/>
      <c r="Q96" s="2192"/>
      <c r="R96" s="2219"/>
      <c r="S96" s="2111"/>
      <c r="T96" s="2198"/>
      <c r="U96" s="2198"/>
      <c r="V96" s="2154"/>
      <c r="W96" s="2123"/>
      <c r="X96" s="2216"/>
      <c r="Y96" s="2214"/>
      <c r="Z96" s="2214"/>
      <c r="AA96" s="2214"/>
      <c r="AB96" s="2214"/>
      <c r="AC96" s="2214"/>
      <c r="AD96" s="2214"/>
      <c r="AE96" s="2214"/>
      <c r="AF96" s="2214"/>
      <c r="AG96" s="2214"/>
      <c r="AH96" s="2214"/>
      <c r="AI96" s="2214"/>
      <c r="AJ96" s="2214"/>
      <c r="AK96" s="2142"/>
      <c r="AL96" s="2224"/>
      <c r="AM96" s="2203"/>
    </row>
    <row r="97" spans="1:857" s="884" customFormat="1" ht="17.25" customHeight="1" x14ac:dyDescent="0.3">
      <c r="A97" s="2088"/>
      <c r="B97" s="2089"/>
      <c r="C97" s="2090"/>
      <c r="D97" s="2094">
        <v>3</v>
      </c>
      <c r="E97" s="2096" t="s">
        <v>499</v>
      </c>
      <c r="F97" s="2097"/>
      <c r="G97" s="2097"/>
      <c r="H97" s="2097"/>
      <c r="I97" s="2097"/>
      <c r="J97" s="2097"/>
      <c r="K97" s="2097"/>
      <c r="L97" s="891"/>
      <c r="M97" s="891"/>
      <c r="N97" s="891"/>
      <c r="O97" s="891"/>
      <c r="P97" s="891"/>
      <c r="Q97" s="891"/>
      <c r="R97" s="892"/>
      <c r="S97" s="893"/>
      <c r="T97" s="893"/>
      <c r="U97" s="893"/>
      <c r="V97" s="892"/>
      <c r="W97" s="891"/>
      <c r="X97" s="893"/>
      <c r="Y97" s="891"/>
      <c r="Z97" s="891"/>
      <c r="AA97" s="891"/>
      <c r="AB97" s="891"/>
      <c r="AC97" s="891"/>
      <c r="AD97" s="891"/>
      <c r="AE97" s="891"/>
      <c r="AF97" s="891"/>
      <c r="AG97" s="891"/>
      <c r="AH97" s="891"/>
      <c r="AI97" s="891"/>
      <c r="AJ97" s="891"/>
      <c r="AK97" s="2244"/>
      <c r="AL97" s="2244"/>
      <c r="AM97" s="2239"/>
    </row>
    <row r="98" spans="1:857" s="884" customFormat="1" ht="17.25" customHeight="1" x14ac:dyDescent="0.3">
      <c r="A98" s="2088"/>
      <c r="B98" s="2089"/>
      <c r="C98" s="2090"/>
      <c r="D98" s="2095"/>
      <c r="E98" s="2098"/>
      <c r="F98" s="2099"/>
      <c r="G98" s="2099"/>
      <c r="H98" s="2099"/>
      <c r="I98" s="2099"/>
      <c r="J98" s="2099"/>
      <c r="K98" s="2099"/>
      <c r="L98" s="894"/>
      <c r="M98" s="894"/>
      <c r="N98" s="894"/>
      <c r="O98" s="894"/>
      <c r="P98" s="894"/>
      <c r="Q98" s="894"/>
      <c r="R98" s="895"/>
      <c r="S98" s="896"/>
      <c r="T98" s="896"/>
      <c r="U98" s="896"/>
      <c r="V98" s="895"/>
      <c r="W98" s="894"/>
      <c r="X98" s="896"/>
      <c r="Y98" s="894"/>
      <c r="Z98" s="894"/>
      <c r="AA98" s="894"/>
      <c r="AB98" s="894"/>
      <c r="AC98" s="894"/>
      <c r="AD98" s="894"/>
      <c r="AE98" s="894"/>
      <c r="AF98" s="894"/>
      <c r="AG98" s="894"/>
      <c r="AH98" s="894"/>
      <c r="AI98" s="894"/>
      <c r="AJ98" s="894"/>
      <c r="AK98" s="2245"/>
      <c r="AL98" s="2245"/>
      <c r="AM98" s="2240"/>
    </row>
    <row r="99" spans="1:857" s="904" customFormat="1" ht="33" customHeight="1" x14ac:dyDescent="0.3">
      <c r="A99" s="2088"/>
      <c r="B99" s="2089"/>
      <c r="C99" s="2090"/>
      <c r="D99" s="2225"/>
      <c r="E99" s="2226"/>
      <c r="F99" s="2226"/>
      <c r="G99" s="2226"/>
      <c r="H99" s="2226"/>
      <c r="I99" s="2227"/>
      <c r="J99" s="897">
        <v>11</v>
      </c>
      <c r="K99" s="2228" t="s">
        <v>500</v>
      </c>
      <c r="L99" s="2229"/>
      <c r="M99" s="2229"/>
      <c r="N99" s="2229"/>
      <c r="O99" s="898"/>
      <c r="P99" s="898"/>
      <c r="Q99" s="898"/>
      <c r="R99" s="899"/>
      <c r="S99" s="900"/>
      <c r="T99" s="900"/>
      <c r="U99" s="900"/>
      <c r="V99" s="899"/>
      <c r="W99" s="898"/>
      <c r="X99" s="900"/>
      <c r="Y99" s="898"/>
      <c r="Z99" s="898"/>
      <c r="AA99" s="898"/>
      <c r="AB99" s="898"/>
      <c r="AC99" s="898"/>
      <c r="AD99" s="898"/>
      <c r="AE99" s="898"/>
      <c r="AF99" s="898"/>
      <c r="AG99" s="898"/>
      <c r="AH99" s="898"/>
      <c r="AI99" s="898"/>
      <c r="AJ99" s="898"/>
      <c r="AK99" s="901"/>
      <c r="AL99" s="901"/>
      <c r="AM99" s="902"/>
      <c r="AN99" s="903"/>
      <c r="AO99" s="903"/>
      <c r="AP99" s="903"/>
      <c r="AQ99" s="903"/>
      <c r="AR99" s="903"/>
      <c r="AS99" s="903"/>
      <c r="AT99" s="903"/>
      <c r="AU99" s="903"/>
      <c r="AV99" s="903"/>
      <c r="AW99" s="903"/>
      <c r="AX99" s="903"/>
      <c r="AY99" s="903"/>
      <c r="AZ99" s="903"/>
      <c r="BA99" s="903"/>
      <c r="BB99" s="903"/>
      <c r="BC99" s="903"/>
      <c r="BD99" s="903"/>
      <c r="BE99" s="903"/>
      <c r="BF99" s="903"/>
      <c r="BG99" s="903"/>
      <c r="BH99" s="903"/>
      <c r="BI99" s="903"/>
      <c r="BJ99" s="903"/>
      <c r="BK99" s="903"/>
      <c r="BL99" s="903"/>
      <c r="BM99" s="903"/>
      <c r="BN99" s="903"/>
      <c r="BO99" s="903"/>
      <c r="BP99" s="903"/>
      <c r="BQ99" s="903"/>
      <c r="BR99" s="903"/>
      <c r="BS99" s="903"/>
      <c r="BT99" s="903"/>
      <c r="BU99" s="903"/>
      <c r="BV99" s="903"/>
      <c r="BW99" s="903"/>
      <c r="BX99" s="903"/>
      <c r="BY99" s="903"/>
      <c r="BZ99" s="903"/>
      <c r="CA99" s="903"/>
      <c r="CB99" s="903"/>
      <c r="CC99" s="903"/>
      <c r="CD99" s="903"/>
      <c r="CE99" s="903"/>
      <c r="CF99" s="903"/>
      <c r="CG99" s="903"/>
      <c r="CH99" s="903"/>
      <c r="CI99" s="903"/>
      <c r="CJ99" s="903"/>
      <c r="CK99" s="903"/>
      <c r="CL99" s="903"/>
      <c r="CM99" s="903"/>
      <c r="CN99" s="903"/>
      <c r="CO99" s="903"/>
      <c r="CP99" s="903"/>
      <c r="CQ99" s="903"/>
      <c r="CR99" s="903"/>
      <c r="CS99" s="903"/>
      <c r="CT99" s="903"/>
      <c r="CU99" s="903"/>
      <c r="CV99" s="903"/>
      <c r="CW99" s="903"/>
      <c r="CX99" s="903"/>
      <c r="CY99" s="903"/>
      <c r="CZ99" s="903"/>
      <c r="DA99" s="903"/>
      <c r="DB99" s="903"/>
      <c r="DC99" s="903"/>
      <c r="DD99" s="903"/>
      <c r="DE99" s="903"/>
      <c r="DF99" s="903"/>
      <c r="DG99" s="903"/>
      <c r="DH99" s="903"/>
      <c r="DI99" s="903"/>
      <c r="DJ99" s="903"/>
      <c r="DK99" s="903"/>
      <c r="DL99" s="903"/>
      <c r="DM99" s="903"/>
      <c r="DN99" s="903"/>
      <c r="DO99" s="903"/>
      <c r="DP99" s="903"/>
      <c r="DQ99" s="903"/>
      <c r="DR99" s="903"/>
      <c r="DS99" s="903"/>
      <c r="DT99" s="903"/>
      <c r="DU99" s="903"/>
      <c r="DV99" s="903"/>
      <c r="DW99" s="903"/>
      <c r="DX99" s="903"/>
      <c r="DY99" s="903"/>
      <c r="DZ99" s="903"/>
      <c r="EA99" s="903"/>
      <c r="EB99" s="903"/>
      <c r="EC99" s="903"/>
      <c r="ED99" s="903"/>
      <c r="EE99" s="903"/>
      <c r="EF99" s="903"/>
      <c r="EG99" s="903"/>
      <c r="EH99" s="903"/>
      <c r="EI99" s="903"/>
      <c r="EJ99" s="903"/>
      <c r="EK99" s="903"/>
      <c r="EL99" s="903"/>
      <c r="EM99" s="903"/>
      <c r="EN99" s="903"/>
      <c r="EO99" s="903"/>
      <c r="EP99" s="903"/>
      <c r="EQ99" s="903"/>
      <c r="ER99" s="903"/>
      <c r="ES99" s="903"/>
      <c r="ET99" s="903"/>
      <c r="EU99" s="903"/>
      <c r="EV99" s="903"/>
      <c r="EW99" s="903"/>
      <c r="EX99" s="903"/>
      <c r="EY99" s="903"/>
      <c r="EZ99" s="903"/>
      <c r="FA99" s="903"/>
      <c r="FB99" s="903"/>
      <c r="FC99" s="903"/>
      <c r="FD99" s="903"/>
      <c r="FE99" s="903"/>
      <c r="FF99" s="903"/>
      <c r="FG99" s="903"/>
      <c r="FH99" s="903"/>
      <c r="FI99" s="903"/>
      <c r="FJ99" s="903"/>
      <c r="FK99" s="903"/>
      <c r="FL99" s="903"/>
      <c r="FM99" s="903"/>
      <c r="FN99" s="903"/>
      <c r="FO99" s="903"/>
      <c r="FP99" s="903"/>
      <c r="FQ99" s="903"/>
      <c r="FR99" s="903"/>
      <c r="FS99" s="903"/>
      <c r="FT99" s="903"/>
      <c r="FU99" s="903"/>
      <c r="FV99" s="903"/>
      <c r="FW99" s="903"/>
      <c r="FX99" s="903"/>
      <c r="FY99" s="903"/>
      <c r="FZ99" s="903"/>
      <c r="GA99" s="903"/>
      <c r="GB99" s="903"/>
      <c r="GC99" s="903"/>
      <c r="GD99" s="903"/>
      <c r="GE99" s="903"/>
      <c r="GF99" s="903"/>
      <c r="GG99" s="903"/>
      <c r="GH99" s="903"/>
      <c r="GI99" s="903"/>
      <c r="GJ99" s="903"/>
      <c r="GK99" s="903"/>
      <c r="GL99" s="903"/>
      <c r="GM99" s="903"/>
      <c r="GN99" s="903"/>
      <c r="GO99" s="903"/>
      <c r="GP99" s="903"/>
      <c r="GQ99" s="903"/>
      <c r="GR99" s="903"/>
      <c r="GS99" s="903"/>
      <c r="GT99" s="903"/>
      <c r="GU99" s="903"/>
      <c r="GV99" s="903"/>
      <c r="GW99" s="903"/>
      <c r="GX99" s="903"/>
      <c r="GY99" s="903"/>
      <c r="GZ99" s="903"/>
      <c r="HA99" s="903"/>
      <c r="HB99" s="903"/>
      <c r="HC99" s="903"/>
      <c r="HD99" s="903"/>
      <c r="HE99" s="903"/>
      <c r="HF99" s="903"/>
      <c r="HG99" s="903"/>
      <c r="HH99" s="903"/>
      <c r="HI99" s="903"/>
      <c r="HJ99" s="903"/>
      <c r="HK99" s="903"/>
      <c r="HL99" s="903"/>
      <c r="HM99" s="903"/>
      <c r="HN99" s="903"/>
      <c r="HO99" s="903"/>
      <c r="HP99" s="903"/>
      <c r="HQ99" s="903"/>
      <c r="HR99" s="903"/>
      <c r="HS99" s="903"/>
      <c r="HT99" s="903"/>
      <c r="HU99" s="903"/>
      <c r="HV99" s="903"/>
      <c r="HW99" s="903"/>
      <c r="HX99" s="903"/>
      <c r="HY99" s="903"/>
      <c r="HZ99" s="903"/>
      <c r="IA99" s="903"/>
      <c r="IB99" s="903"/>
      <c r="IC99" s="903"/>
      <c r="ID99" s="903"/>
      <c r="IE99" s="903"/>
      <c r="IF99" s="903"/>
      <c r="IG99" s="903"/>
      <c r="IH99" s="903"/>
      <c r="II99" s="903"/>
      <c r="IJ99" s="903"/>
      <c r="IK99" s="903"/>
      <c r="IL99" s="903"/>
      <c r="IM99" s="903"/>
      <c r="IN99" s="903"/>
      <c r="IO99" s="903"/>
      <c r="IP99" s="903"/>
      <c r="IQ99" s="903"/>
      <c r="IR99" s="903"/>
      <c r="IS99" s="903"/>
      <c r="IT99" s="903"/>
      <c r="IU99" s="903"/>
      <c r="IV99" s="903"/>
      <c r="IW99" s="903"/>
      <c r="IX99" s="903"/>
      <c r="IY99" s="903"/>
      <c r="IZ99" s="903"/>
      <c r="JA99" s="903"/>
      <c r="JB99" s="903"/>
      <c r="JC99" s="903"/>
      <c r="JD99" s="903"/>
      <c r="JE99" s="903"/>
      <c r="JF99" s="903"/>
      <c r="JG99" s="903"/>
      <c r="JH99" s="903"/>
      <c r="JI99" s="903"/>
      <c r="JJ99" s="903"/>
      <c r="JK99" s="903"/>
      <c r="JL99" s="903"/>
      <c r="JM99" s="903"/>
      <c r="JN99" s="903"/>
      <c r="JO99" s="903"/>
      <c r="JP99" s="903"/>
      <c r="JQ99" s="903"/>
      <c r="JR99" s="903"/>
      <c r="JS99" s="903"/>
      <c r="JT99" s="903"/>
      <c r="JU99" s="903"/>
      <c r="JV99" s="903"/>
      <c r="JW99" s="903"/>
      <c r="JX99" s="903"/>
      <c r="JY99" s="903"/>
      <c r="JZ99" s="903"/>
      <c r="KA99" s="903"/>
      <c r="KB99" s="903"/>
      <c r="KC99" s="903"/>
      <c r="KD99" s="903"/>
      <c r="KE99" s="903"/>
      <c r="KF99" s="903"/>
      <c r="KG99" s="903"/>
      <c r="KH99" s="903"/>
      <c r="KI99" s="903"/>
      <c r="KJ99" s="903"/>
      <c r="KK99" s="903"/>
      <c r="KL99" s="903"/>
      <c r="KM99" s="903"/>
      <c r="KN99" s="903"/>
      <c r="KO99" s="903"/>
      <c r="KP99" s="903"/>
      <c r="KQ99" s="903"/>
      <c r="KR99" s="903"/>
      <c r="KS99" s="903"/>
      <c r="KT99" s="903"/>
      <c r="KU99" s="903"/>
      <c r="KV99" s="903"/>
      <c r="KW99" s="903"/>
      <c r="KX99" s="903"/>
      <c r="KY99" s="903"/>
      <c r="KZ99" s="903"/>
      <c r="LA99" s="903"/>
      <c r="LB99" s="903"/>
      <c r="LC99" s="903"/>
      <c r="LD99" s="903"/>
      <c r="LE99" s="903"/>
      <c r="LF99" s="903"/>
      <c r="LG99" s="903"/>
      <c r="LH99" s="903"/>
      <c r="LI99" s="903"/>
      <c r="LJ99" s="903"/>
      <c r="LK99" s="903"/>
      <c r="LL99" s="903"/>
      <c r="LM99" s="903"/>
      <c r="LN99" s="903"/>
      <c r="LO99" s="903"/>
      <c r="LP99" s="903"/>
      <c r="LQ99" s="903"/>
      <c r="LR99" s="903"/>
      <c r="LS99" s="903"/>
      <c r="LT99" s="903"/>
      <c r="LU99" s="903"/>
      <c r="LV99" s="903"/>
      <c r="LW99" s="903"/>
      <c r="LX99" s="903"/>
      <c r="LY99" s="903"/>
      <c r="LZ99" s="903"/>
      <c r="MA99" s="903"/>
      <c r="MB99" s="903"/>
      <c r="MC99" s="903"/>
      <c r="MD99" s="903"/>
      <c r="ME99" s="903"/>
      <c r="MF99" s="903"/>
      <c r="MG99" s="903"/>
      <c r="MH99" s="903"/>
      <c r="MI99" s="903"/>
      <c r="MJ99" s="903"/>
      <c r="MK99" s="903"/>
      <c r="ML99" s="903"/>
      <c r="MM99" s="903"/>
      <c r="MN99" s="903"/>
      <c r="MO99" s="903"/>
      <c r="MP99" s="903"/>
      <c r="MQ99" s="903"/>
      <c r="MR99" s="903"/>
      <c r="MS99" s="903"/>
      <c r="MT99" s="903"/>
      <c r="MU99" s="903"/>
      <c r="MV99" s="903"/>
      <c r="MW99" s="903"/>
      <c r="MX99" s="903"/>
      <c r="MY99" s="903"/>
      <c r="MZ99" s="903"/>
      <c r="NA99" s="903"/>
      <c r="NB99" s="903"/>
      <c r="NC99" s="903"/>
      <c r="ND99" s="903"/>
      <c r="NE99" s="903"/>
      <c r="NF99" s="903"/>
      <c r="NG99" s="903"/>
      <c r="NH99" s="903"/>
      <c r="NI99" s="903"/>
      <c r="NJ99" s="903"/>
      <c r="NK99" s="903"/>
      <c r="NL99" s="903"/>
      <c r="NM99" s="903"/>
      <c r="NN99" s="903"/>
      <c r="NO99" s="903"/>
      <c r="NP99" s="903"/>
      <c r="NQ99" s="903"/>
      <c r="NR99" s="903"/>
      <c r="NS99" s="903"/>
      <c r="NT99" s="903"/>
      <c r="NU99" s="903"/>
      <c r="NV99" s="903"/>
      <c r="NW99" s="903"/>
      <c r="NX99" s="903"/>
      <c r="NY99" s="903"/>
      <c r="NZ99" s="903"/>
      <c r="OA99" s="903"/>
      <c r="OB99" s="903"/>
      <c r="OC99" s="903"/>
      <c r="OD99" s="903"/>
      <c r="OE99" s="903"/>
      <c r="OF99" s="903"/>
      <c r="OG99" s="903"/>
      <c r="OH99" s="903"/>
      <c r="OI99" s="903"/>
      <c r="OJ99" s="903"/>
      <c r="OK99" s="903"/>
      <c r="OL99" s="903"/>
      <c r="OM99" s="903"/>
      <c r="ON99" s="903"/>
      <c r="OO99" s="903"/>
      <c r="OP99" s="903"/>
      <c r="OQ99" s="903"/>
      <c r="OR99" s="903"/>
      <c r="OS99" s="903"/>
      <c r="OT99" s="903"/>
      <c r="OU99" s="903"/>
      <c r="OV99" s="903"/>
      <c r="OW99" s="903"/>
      <c r="OX99" s="903"/>
      <c r="OY99" s="903"/>
      <c r="OZ99" s="903"/>
      <c r="PA99" s="903"/>
      <c r="PB99" s="903"/>
      <c r="PC99" s="903"/>
      <c r="PD99" s="903"/>
      <c r="PE99" s="903"/>
      <c r="PF99" s="903"/>
      <c r="PG99" s="903"/>
      <c r="PH99" s="903"/>
      <c r="PI99" s="903"/>
      <c r="PJ99" s="903"/>
      <c r="PK99" s="903"/>
      <c r="PL99" s="903"/>
      <c r="PM99" s="903"/>
      <c r="PN99" s="903"/>
      <c r="PO99" s="903"/>
      <c r="PP99" s="903"/>
      <c r="PQ99" s="903"/>
      <c r="PR99" s="903"/>
      <c r="PS99" s="903"/>
      <c r="PT99" s="903"/>
      <c r="PU99" s="903"/>
      <c r="PV99" s="903"/>
      <c r="PW99" s="903"/>
      <c r="PX99" s="903"/>
      <c r="PY99" s="903"/>
      <c r="PZ99" s="903"/>
      <c r="QA99" s="903"/>
      <c r="QB99" s="903"/>
      <c r="QC99" s="903"/>
      <c r="QD99" s="903"/>
      <c r="QE99" s="903"/>
      <c r="QF99" s="903"/>
      <c r="QG99" s="903"/>
      <c r="QH99" s="903"/>
      <c r="QI99" s="903"/>
      <c r="QJ99" s="903"/>
      <c r="QK99" s="903"/>
      <c r="QL99" s="903"/>
      <c r="QM99" s="903"/>
      <c r="QN99" s="903"/>
      <c r="QO99" s="903"/>
      <c r="QP99" s="903"/>
      <c r="QQ99" s="903"/>
      <c r="QR99" s="903"/>
      <c r="QS99" s="903"/>
      <c r="QT99" s="903"/>
      <c r="QU99" s="903"/>
      <c r="QV99" s="903"/>
      <c r="QW99" s="903"/>
      <c r="QX99" s="903"/>
      <c r="QY99" s="903"/>
      <c r="QZ99" s="903"/>
      <c r="RA99" s="903"/>
      <c r="RB99" s="903"/>
      <c r="RC99" s="903"/>
      <c r="RD99" s="903"/>
      <c r="RE99" s="903"/>
      <c r="RF99" s="903"/>
      <c r="RG99" s="903"/>
      <c r="RH99" s="903"/>
      <c r="RI99" s="903"/>
      <c r="RJ99" s="903"/>
      <c r="RK99" s="903"/>
      <c r="RL99" s="903"/>
      <c r="RM99" s="903"/>
      <c r="RN99" s="903"/>
      <c r="RO99" s="903"/>
      <c r="RP99" s="903"/>
      <c r="RQ99" s="903"/>
      <c r="RR99" s="903"/>
      <c r="RS99" s="903"/>
      <c r="RT99" s="903"/>
      <c r="RU99" s="903"/>
      <c r="RV99" s="903"/>
      <c r="RW99" s="903"/>
      <c r="RX99" s="903"/>
      <c r="RY99" s="903"/>
      <c r="RZ99" s="903"/>
      <c r="SA99" s="903"/>
      <c r="SB99" s="903"/>
      <c r="SC99" s="903"/>
      <c r="SD99" s="903"/>
      <c r="SE99" s="903"/>
      <c r="SF99" s="903"/>
      <c r="SG99" s="903"/>
      <c r="SH99" s="903"/>
      <c r="SI99" s="903"/>
      <c r="SJ99" s="903"/>
      <c r="SK99" s="903"/>
      <c r="SL99" s="903"/>
      <c r="SM99" s="903"/>
      <c r="SN99" s="903"/>
      <c r="SO99" s="903"/>
      <c r="SP99" s="903"/>
      <c r="SQ99" s="903"/>
      <c r="SR99" s="903"/>
      <c r="SS99" s="903"/>
      <c r="ST99" s="903"/>
      <c r="SU99" s="903"/>
      <c r="SV99" s="903"/>
      <c r="SW99" s="903"/>
      <c r="SX99" s="903"/>
      <c r="SY99" s="903"/>
      <c r="SZ99" s="903"/>
      <c r="TA99" s="903"/>
      <c r="TB99" s="903"/>
      <c r="TC99" s="903"/>
      <c r="TD99" s="903"/>
      <c r="TE99" s="903"/>
      <c r="TF99" s="903"/>
      <c r="TG99" s="903"/>
      <c r="TH99" s="903"/>
      <c r="TI99" s="903"/>
      <c r="TJ99" s="903"/>
      <c r="TK99" s="903"/>
      <c r="TL99" s="903"/>
      <c r="TM99" s="903"/>
      <c r="TN99" s="903"/>
      <c r="TO99" s="903"/>
      <c r="TP99" s="903"/>
      <c r="TQ99" s="903"/>
      <c r="TR99" s="903"/>
      <c r="TS99" s="903"/>
      <c r="TT99" s="903"/>
      <c r="TU99" s="903"/>
      <c r="TV99" s="903"/>
      <c r="TW99" s="903"/>
      <c r="TX99" s="903"/>
      <c r="TY99" s="903"/>
      <c r="TZ99" s="903"/>
      <c r="UA99" s="903"/>
      <c r="UB99" s="903"/>
      <c r="UC99" s="903"/>
      <c r="UD99" s="903"/>
      <c r="UE99" s="903"/>
      <c r="UF99" s="903"/>
      <c r="UG99" s="903"/>
      <c r="UH99" s="903"/>
      <c r="UI99" s="903"/>
      <c r="UJ99" s="903"/>
      <c r="UK99" s="903"/>
      <c r="UL99" s="903"/>
      <c r="UM99" s="903"/>
      <c r="UN99" s="903"/>
      <c r="UO99" s="903"/>
      <c r="UP99" s="903"/>
      <c r="UQ99" s="903"/>
      <c r="UR99" s="903"/>
      <c r="US99" s="903"/>
      <c r="UT99" s="903"/>
      <c r="UU99" s="903"/>
      <c r="UV99" s="903"/>
      <c r="UW99" s="903"/>
      <c r="UX99" s="903"/>
      <c r="UY99" s="903"/>
      <c r="UZ99" s="903"/>
      <c r="VA99" s="903"/>
      <c r="VB99" s="903"/>
      <c r="VC99" s="903"/>
      <c r="VD99" s="903"/>
      <c r="VE99" s="903"/>
      <c r="VF99" s="903"/>
      <c r="VG99" s="903"/>
      <c r="VH99" s="903"/>
      <c r="VI99" s="903"/>
      <c r="VJ99" s="903"/>
      <c r="VK99" s="903"/>
      <c r="VL99" s="903"/>
      <c r="VM99" s="903"/>
      <c r="VN99" s="903"/>
      <c r="VO99" s="903"/>
      <c r="VP99" s="903"/>
      <c r="VQ99" s="903"/>
      <c r="VR99" s="903"/>
      <c r="VS99" s="903"/>
      <c r="VT99" s="903"/>
      <c r="VU99" s="903"/>
      <c r="VV99" s="903"/>
      <c r="VW99" s="903"/>
      <c r="VX99" s="903"/>
      <c r="VY99" s="903"/>
      <c r="VZ99" s="903"/>
      <c r="WA99" s="903"/>
      <c r="WB99" s="903"/>
      <c r="WC99" s="903"/>
      <c r="WD99" s="903"/>
      <c r="WE99" s="903"/>
      <c r="WF99" s="903"/>
      <c r="WG99" s="903"/>
      <c r="WH99" s="903"/>
      <c r="WI99" s="903"/>
      <c r="WJ99" s="903"/>
      <c r="WK99" s="903"/>
      <c r="WL99" s="903"/>
      <c r="WM99" s="903"/>
      <c r="WN99" s="903"/>
      <c r="WO99" s="903"/>
      <c r="WP99" s="903"/>
      <c r="WQ99" s="903"/>
      <c r="WR99" s="903"/>
      <c r="WS99" s="903"/>
      <c r="WT99" s="903"/>
      <c r="WU99" s="903"/>
      <c r="WV99" s="903"/>
      <c r="WW99" s="903"/>
      <c r="WX99" s="903"/>
      <c r="WY99" s="903"/>
      <c r="WZ99" s="903"/>
      <c r="XA99" s="903"/>
      <c r="XB99" s="903"/>
      <c r="XC99" s="903"/>
      <c r="XD99" s="903"/>
      <c r="XE99" s="903"/>
      <c r="XF99" s="903"/>
      <c r="XG99" s="903"/>
      <c r="XH99" s="903"/>
      <c r="XI99" s="903"/>
      <c r="XJ99" s="903"/>
      <c r="XK99" s="903"/>
      <c r="XL99" s="903"/>
      <c r="XM99" s="903"/>
      <c r="XN99" s="903"/>
      <c r="XO99" s="903"/>
      <c r="XP99" s="903"/>
      <c r="XQ99" s="903"/>
      <c r="XR99" s="903"/>
      <c r="XS99" s="903"/>
      <c r="XT99" s="903"/>
      <c r="XU99" s="903"/>
      <c r="XV99" s="903"/>
      <c r="XW99" s="903"/>
      <c r="XX99" s="903"/>
      <c r="XY99" s="903"/>
      <c r="XZ99" s="903"/>
      <c r="YA99" s="903"/>
      <c r="YB99" s="903"/>
      <c r="YC99" s="903"/>
      <c r="YD99" s="903"/>
      <c r="YE99" s="903"/>
      <c r="YF99" s="903"/>
      <c r="YG99" s="903"/>
      <c r="YH99" s="903"/>
      <c r="YI99" s="903"/>
      <c r="YJ99" s="903"/>
      <c r="YK99" s="903"/>
      <c r="YL99" s="903"/>
      <c r="YM99" s="903"/>
      <c r="YN99" s="903"/>
      <c r="YO99" s="903"/>
      <c r="YP99" s="903"/>
      <c r="YQ99" s="903"/>
      <c r="YR99" s="903"/>
      <c r="YS99" s="903"/>
      <c r="YT99" s="903"/>
      <c r="YU99" s="903"/>
      <c r="YV99" s="903"/>
      <c r="YW99" s="903"/>
      <c r="YX99" s="903"/>
      <c r="YY99" s="903"/>
      <c r="YZ99" s="903"/>
      <c r="ZA99" s="903"/>
      <c r="ZB99" s="903"/>
      <c r="ZC99" s="903"/>
      <c r="ZD99" s="903"/>
      <c r="ZE99" s="903"/>
      <c r="ZF99" s="903"/>
      <c r="ZG99" s="903"/>
      <c r="ZH99" s="903"/>
      <c r="ZI99" s="903"/>
      <c r="ZJ99" s="903"/>
      <c r="ZK99" s="903"/>
      <c r="ZL99" s="903"/>
      <c r="ZM99" s="903"/>
      <c r="ZN99" s="903"/>
      <c r="ZO99" s="903"/>
      <c r="ZP99" s="903"/>
      <c r="ZQ99" s="903"/>
      <c r="ZR99" s="903"/>
      <c r="ZS99" s="903"/>
      <c r="ZT99" s="903"/>
      <c r="ZU99" s="903"/>
      <c r="ZV99" s="903"/>
      <c r="ZW99" s="903"/>
      <c r="ZX99" s="903"/>
      <c r="ZY99" s="903"/>
      <c r="ZZ99" s="903"/>
      <c r="AAA99" s="903"/>
      <c r="AAB99" s="903"/>
      <c r="AAC99" s="903"/>
      <c r="AAD99" s="903"/>
      <c r="AAE99" s="903"/>
      <c r="AAF99" s="903"/>
      <c r="AAG99" s="903"/>
      <c r="AAH99" s="903"/>
      <c r="AAI99" s="903"/>
      <c r="AAJ99" s="903"/>
      <c r="AAK99" s="903"/>
      <c r="AAL99" s="903"/>
      <c r="AAM99" s="903"/>
      <c r="AAN99" s="903"/>
      <c r="AAO99" s="903"/>
      <c r="AAP99" s="903"/>
      <c r="AAQ99" s="903"/>
      <c r="AAR99" s="903"/>
      <c r="AAS99" s="903"/>
      <c r="AAT99" s="903"/>
      <c r="AAU99" s="903"/>
      <c r="AAV99" s="903"/>
      <c r="AAW99" s="903"/>
      <c r="AAX99" s="903"/>
      <c r="AAY99" s="903"/>
      <c r="AAZ99" s="903"/>
      <c r="ABA99" s="903"/>
      <c r="ABB99" s="903"/>
      <c r="ABC99" s="903"/>
      <c r="ABD99" s="903"/>
      <c r="ABE99" s="903"/>
      <c r="ABF99" s="903"/>
      <c r="ABG99" s="903"/>
      <c r="ABH99" s="903"/>
      <c r="ABI99" s="903"/>
      <c r="ABJ99" s="903"/>
      <c r="ABK99" s="903"/>
      <c r="ABL99" s="903"/>
      <c r="ABM99" s="903"/>
      <c r="ABN99" s="903"/>
      <c r="ABO99" s="903"/>
      <c r="ABP99" s="903"/>
      <c r="ABQ99" s="903"/>
      <c r="ABR99" s="903"/>
      <c r="ABS99" s="903"/>
      <c r="ABT99" s="903"/>
      <c r="ABU99" s="903"/>
      <c r="ABV99" s="903"/>
      <c r="ABW99" s="903"/>
      <c r="ABX99" s="903"/>
      <c r="ABY99" s="903"/>
      <c r="ABZ99" s="903"/>
      <c r="ACA99" s="903"/>
      <c r="ACB99" s="903"/>
      <c r="ACC99" s="903"/>
      <c r="ACD99" s="903"/>
      <c r="ACE99" s="903"/>
      <c r="ACF99" s="903"/>
      <c r="ACG99" s="903"/>
      <c r="ACH99" s="903"/>
      <c r="ACI99" s="903"/>
      <c r="ACJ99" s="903"/>
      <c r="ACK99" s="903"/>
      <c r="ACL99" s="903"/>
      <c r="ACM99" s="903"/>
      <c r="ACN99" s="903"/>
      <c r="ACO99" s="903"/>
      <c r="ACP99" s="903"/>
      <c r="ACQ99" s="903"/>
      <c r="ACR99" s="903"/>
      <c r="ACS99" s="903"/>
      <c r="ACT99" s="903"/>
      <c r="ACU99" s="903"/>
      <c r="ACV99" s="903"/>
      <c r="ACW99" s="903"/>
      <c r="ACX99" s="903"/>
      <c r="ACY99" s="903"/>
      <c r="ACZ99" s="903"/>
      <c r="ADA99" s="903"/>
      <c r="ADB99" s="903"/>
      <c r="ADC99" s="903"/>
      <c r="ADD99" s="903"/>
      <c r="ADE99" s="903"/>
      <c r="ADF99" s="903"/>
      <c r="ADG99" s="903"/>
      <c r="ADH99" s="903"/>
      <c r="ADI99" s="903"/>
      <c r="ADJ99" s="903"/>
      <c r="ADK99" s="903"/>
      <c r="ADL99" s="903"/>
      <c r="ADM99" s="903"/>
      <c r="ADN99" s="903"/>
      <c r="ADO99" s="903"/>
      <c r="ADP99" s="903"/>
      <c r="ADQ99" s="903"/>
      <c r="ADR99" s="903"/>
      <c r="ADS99" s="903"/>
      <c r="ADT99" s="903"/>
      <c r="ADU99" s="903"/>
      <c r="ADV99" s="903"/>
      <c r="ADW99" s="903"/>
      <c r="ADX99" s="903"/>
      <c r="ADY99" s="903"/>
      <c r="ADZ99" s="903"/>
      <c r="AEA99" s="903"/>
      <c r="AEB99" s="903"/>
      <c r="AEC99" s="903"/>
      <c r="AED99" s="903"/>
      <c r="AEE99" s="903"/>
      <c r="AEF99" s="903"/>
      <c r="AEG99" s="903"/>
      <c r="AEH99" s="903"/>
      <c r="AEI99" s="903"/>
      <c r="AEJ99" s="903"/>
      <c r="AEK99" s="903"/>
      <c r="AEL99" s="903"/>
      <c r="AEM99" s="903"/>
      <c r="AEN99" s="903"/>
      <c r="AEO99" s="903"/>
      <c r="AEP99" s="903"/>
      <c r="AEQ99" s="903"/>
      <c r="AER99" s="903"/>
      <c r="AES99" s="903"/>
      <c r="AET99" s="903"/>
      <c r="AEU99" s="903"/>
      <c r="AEV99" s="903"/>
      <c r="AEW99" s="903"/>
      <c r="AEX99" s="903"/>
      <c r="AEY99" s="903"/>
      <c r="AEZ99" s="903"/>
      <c r="AFA99" s="903"/>
      <c r="AFB99" s="903"/>
      <c r="AFC99" s="903"/>
      <c r="AFD99" s="903"/>
      <c r="AFE99" s="903"/>
      <c r="AFF99" s="903"/>
      <c r="AFG99" s="903"/>
      <c r="AFH99" s="903"/>
      <c r="AFI99" s="903"/>
      <c r="AFJ99" s="903"/>
      <c r="AFK99" s="903"/>
      <c r="AFL99" s="903"/>
      <c r="AFM99" s="903"/>
      <c r="AFN99" s="903"/>
      <c r="AFO99" s="903"/>
      <c r="AFP99" s="903"/>
      <c r="AFQ99" s="903"/>
      <c r="AFR99" s="903"/>
      <c r="AFS99" s="903"/>
      <c r="AFT99" s="903"/>
      <c r="AFU99" s="903"/>
      <c r="AFV99" s="903"/>
      <c r="AFW99" s="903"/>
      <c r="AFX99" s="903"/>
      <c r="AFY99" s="903"/>
    </row>
    <row r="100" spans="1:857" s="884" customFormat="1" ht="17.25" customHeight="1" x14ac:dyDescent="0.3">
      <c r="A100" s="2088"/>
      <c r="B100" s="2089"/>
      <c r="C100" s="2090"/>
      <c r="D100" s="2230"/>
      <c r="E100" s="2231"/>
      <c r="F100" s="2231"/>
      <c r="G100" s="2231"/>
      <c r="H100" s="2231"/>
      <c r="I100" s="2232"/>
      <c r="J100" s="2161">
        <v>50</v>
      </c>
      <c r="K100" s="2109" t="s">
        <v>501</v>
      </c>
      <c r="L100" s="2155" t="s">
        <v>16</v>
      </c>
      <c r="M100" s="2161">
        <v>5</v>
      </c>
      <c r="N100" s="2121" t="s">
        <v>502</v>
      </c>
      <c r="O100" s="2127" t="s">
        <v>503</v>
      </c>
      <c r="P100" s="2109" t="s">
        <v>504</v>
      </c>
      <c r="Q100" s="2250">
        <f>+R100/298240000</f>
        <v>0.69822961373390557</v>
      </c>
      <c r="R100" s="2253">
        <v>208240000</v>
      </c>
      <c r="S100" s="2109" t="s">
        <v>505</v>
      </c>
      <c r="T100" s="2196" t="s">
        <v>506</v>
      </c>
      <c r="U100" s="2196" t="s">
        <v>507</v>
      </c>
      <c r="V100" s="2152">
        <f>90000000-30000000+148240000</f>
        <v>208240000</v>
      </c>
      <c r="W100" s="2121" t="s">
        <v>446</v>
      </c>
      <c r="X100" s="2109" t="s">
        <v>447</v>
      </c>
      <c r="Y100" s="2241">
        <v>64149</v>
      </c>
      <c r="Z100" s="2241">
        <v>72224</v>
      </c>
      <c r="AA100" s="2241">
        <v>27477</v>
      </c>
      <c r="AB100" s="2241">
        <v>86843</v>
      </c>
      <c r="AC100" s="2241">
        <v>236429</v>
      </c>
      <c r="AD100" s="2241">
        <v>81384</v>
      </c>
      <c r="AE100" s="2241">
        <v>13208</v>
      </c>
      <c r="AF100" s="2241">
        <v>1827</v>
      </c>
      <c r="AG100" s="2241"/>
      <c r="AH100" s="2247"/>
      <c r="AI100" s="2241">
        <v>16897</v>
      </c>
      <c r="AJ100" s="2241">
        <v>81384</v>
      </c>
      <c r="AK100" s="2209">
        <v>42745</v>
      </c>
      <c r="AL100" s="2224">
        <v>42358</v>
      </c>
      <c r="AM100" s="2246" t="s">
        <v>463</v>
      </c>
    </row>
    <row r="101" spans="1:857" s="884" customFormat="1" ht="17.25" customHeight="1" x14ac:dyDescent="0.3">
      <c r="A101" s="2088"/>
      <c r="B101" s="2089"/>
      <c r="C101" s="2090"/>
      <c r="D101" s="2233"/>
      <c r="E101" s="2234"/>
      <c r="F101" s="2234"/>
      <c r="G101" s="2234"/>
      <c r="H101" s="2234"/>
      <c r="I101" s="2235"/>
      <c r="J101" s="2162"/>
      <c r="K101" s="2110"/>
      <c r="L101" s="2156"/>
      <c r="M101" s="2162"/>
      <c r="N101" s="2122"/>
      <c r="O101" s="2128"/>
      <c r="P101" s="2110"/>
      <c r="Q101" s="2251"/>
      <c r="R101" s="2253"/>
      <c r="S101" s="2110"/>
      <c r="T101" s="2197"/>
      <c r="U101" s="2197"/>
      <c r="V101" s="2153"/>
      <c r="W101" s="2122"/>
      <c r="X101" s="2110"/>
      <c r="Y101" s="2242"/>
      <c r="Z101" s="2242"/>
      <c r="AA101" s="2242"/>
      <c r="AB101" s="2242"/>
      <c r="AC101" s="2242"/>
      <c r="AD101" s="2242"/>
      <c r="AE101" s="2242"/>
      <c r="AF101" s="2242"/>
      <c r="AG101" s="2242"/>
      <c r="AH101" s="2248"/>
      <c r="AI101" s="2242"/>
      <c r="AJ101" s="2242"/>
      <c r="AK101" s="2210"/>
      <c r="AL101" s="2224"/>
      <c r="AM101" s="2246"/>
    </row>
    <row r="102" spans="1:857" s="884" customFormat="1" ht="17.25" customHeight="1" x14ac:dyDescent="0.3">
      <c r="A102" s="2088"/>
      <c r="B102" s="2089"/>
      <c r="C102" s="2090"/>
      <c r="D102" s="2233"/>
      <c r="E102" s="2234"/>
      <c r="F102" s="2234"/>
      <c r="G102" s="2234"/>
      <c r="H102" s="2234"/>
      <c r="I102" s="2235"/>
      <c r="J102" s="2162"/>
      <c r="K102" s="2110"/>
      <c r="L102" s="2156"/>
      <c r="M102" s="2162"/>
      <c r="N102" s="2122"/>
      <c r="O102" s="2128"/>
      <c r="P102" s="2110"/>
      <c r="Q102" s="2251"/>
      <c r="R102" s="2253"/>
      <c r="S102" s="2110"/>
      <c r="T102" s="2197"/>
      <c r="U102" s="2197"/>
      <c r="V102" s="2153"/>
      <c r="W102" s="2122"/>
      <c r="X102" s="2110"/>
      <c r="Y102" s="2242"/>
      <c r="Z102" s="2242"/>
      <c r="AA102" s="2242"/>
      <c r="AB102" s="2242"/>
      <c r="AC102" s="2242"/>
      <c r="AD102" s="2242"/>
      <c r="AE102" s="2242"/>
      <c r="AF102" s="2242"/>
      <c r="AG102" s="2242"/>
      <c r="AH102" s="2248"/>
      <c r="AI102" s="2242"/>
      <c r="AJ102" s="2242"/>
      <c r="AK102" s="2210"/>
      <c r="AL102" s="2224"/>
      <c r="AM102" s="2246"/>
    </row>
    <row r="103" spans="1:857" s="884" customFormat="1" ht="17.25" customHeight="1" x14ac:dyDescent="0.3">
      <c r="A103" s="2088"/>
      <c r="B103" s="2089"/>
      <c r="C103" s="2090"/>
      <c r="D103" s="2233"/>
      <c r="E103" s="2234"/>
      <c r="F103" s="2234"/>
      <c r="G103" s="2234"/>
      <c r="H103" s="2234"/>
      <c r="I103" s="2235"/>
      <c r="J103" s="2162"/>
      <c r="K103" s="2110"/>
      <c r="L103" s="2156"/>
      <c r="M103" s="2162"/>
      <c r="N103" s="2122"/>
      <c r="O103" s="2128"/>
      <c r="P103" s="2110"/>
      <c r="Q103" s="2251"/>
      <c r="R103" s="2253"/>
      <c r="S103" s="2110"/>
      <c r="T103" s="2197"/>
      <c r="U103" s="2197"/>
      <c r="V103" s="2153"/>
      <c r="W103" s="2122"/>
      <c r="X103" s="2110"/>
      <c r="Y103" s="2242"/>
      <c r="Z103" s="2242"/>
      <c r="AA103" s="2242"/>
      <c r="AB103" s="2242"/>
      <c r="AC103" s="2242"/>
      <c r="AD103" s="2242"/>
      <c r="AE103" s="2242"/>
      <c r="AF103" s="2242"/>
      <c r="AG103" s="2242"/>
      <c r="AH103" s="2248"/>
      <c r="AI103" s="2242"/>
      <c r="AJ103" s="2242"/>
      <c r="AK103" s="2210"/>
      <c r="AL103" s="2224"/>
      <c r="AM103" s="2246"/>
    </row>
    <row r="104" spans="1:857" s="884" customFormat="1" ht="17.25" customHeight="1" x14ac:dyDescent="0.3">
      <c r="A104" s="2088"/>
      <c r="B104" s="2089"/>
      <c r="C104" s="2090"/>
      <c r="D104" s="2233"/>
      <c r="E104" s="2234"/>
      <c r="F104" s="2234"/>
      <c r="G104" s="2234"/>
      <c r="H104" s="2234"/>
      <c r="I104" s="2235"/>
      <c r="J104" s="2162"/>
      <c r="K104" s="2110"/>
      <c r="L104" s="2156"/>
      <c r="M104" s="2162"/>
      <c r="N104" s="2122"/>
      <c r="O104" s="2128"/>
      <c r="P104" s="2110"/>
      <c r="Q104" s="2251"/>
      <c r="R104" s="2253"/>
      <c r="S104" s="2110"/>
      <c r="T104" s="2197"/>
      <c r="U104" s="2197"/>
      <c r="V104" s="2153"/>
      <c r="W104" s="2122"/>
      <c r="X104" s="2110"/>
      <c r="Y104" s="2242"/>
      <c r="Z104" s="2242"/>
      <c r="AA104" s="2242"/>
      <c r="AB104" s="2242"/>
      <c r="AC104" s="2242"/>
      <c r="AD104" s="2242"/>
      <c r="AE104" s="2242"/>
      <c r="AF104" s="2242"/>
      <c r="AG104" s="2242"/>
      <c r="AH104" s="2248"/>
      <c r="AI104" s="2242"/>
      <c r="AJ104" s="2242"/>
      <c r="AK104" s="2210"/>
      <c r="AL104" s="2224"/>
      <c r="AM104" s="2246"/>
    </row>
    <row r="105" spans="1:857" s="884" customFormat="1" ht="17.25" customHeight="1" x14ac:dyDescent="0.3">
      <c r="A105" s="2088"/>
      <c r="B105" s="2089"/>
      <c r="C105" s="2090"/>
      <c r="D105" s="2233"/>
      <c r="E105" s="2234"/>
      <c r="F105" s="2234"/>
      <c r="G105" s="2234"/>
      <c r="H105" s="2234"/>
      <c r="I105" s="2235"/>
      <c r="J105" s="2163"/>
      <c r="K105" s="2111"/>
      <c r="L105" s="2157"/>
      <c r="M105" s="2163"/>
      <c r="N105" s="2122"/>
      <c r="O105" s="2128"/>
      <c r="P105" s="2110"/>
      <c r="Q105" s="2252"/>
      <c r="R105" s="2253"/>
      <c r="S105" s="2110"/>
      <c r="T105" s="2197"/>
      <c r="U105" s="2198"/>
      <c r="V105" s="2154"/>
      <c r="W105" s="2122"/>
      <c r="X105" s="2110"/>
      <c r="Y105" s="2242"/>
      <c r="Z105" s="2242"/>
      <c r="AA105" s="2242"/>
      <c r="AB105" s="2242"/>
      <c r="AC105" s="2242"/>
      <c r="AD105" s="2242"/>
      <c r="AE105" s="2242"/>
      <c r="AF105" s="2242"/>
      <c r="AG105" s="2242"/>
      <c r="AH105" s="2248"/>
      <c r="AI105" s="2242"/>
      <c r="AJ105" s="2242"/>
      <c r="AK105" s="2211"/>
      <c r="AL105" s="2224"/>
      <c r="AM105" s="2246"/>
      <c r="PO105" s="903"/>
      <c r="PP105" s="903"/>
      <c r="PQ105" s="903"/>
      <c r="PR105" s="903"/>
      <c r="PS105" s="903"/>
      <c r="PT105" s="903"/>
      <c r="PU105" s="903"/>
      <c r="PV105" s="903"/>
      <c r="PW105" s="903"/>
      <c r="PX105" s="903"/>
      <c r="PY105" s="903"/>
      <c r="PZ105" s="903"/>
      <c r="QA105" s="903"/>
      <c r="QB105" s="903"/>
      <c r="QC105" s="903"/>
      <c r="QD105" s="903"/>
      <c r="QE105" s="903"/>
      <c r="QF105" s="903"/>
      <c r="QG105" s="903"/>
      <c r="QH105" s="903"/>
      <c r="QI105" s="903"/>
      <c r="QJ105" s="903"/>
      <c r="QK105" s="903"/>
      <c r="QL105" s="903"/>
      <c r="QM105" s="903"/>
      <c r="QN105" s="903"/>
      <c r="QO105" s="903"/>
      <c r="QP105" s="903"/>
      <c r="QQ105" s="903"/>
      <c r="QR105" s="903"/>
      <c r="QS105" s="903"/>
      <c r="QT105" s="903"/>
      <c r="QU105" s="903"/>
      <c r="QV105" s="903"/>
      <c r="QW105" s="903"/>
      <c r="QX105" s="903"/>
      <c r="QY105" s="903"/>
      <c r="QZ105" s="903"/>
      <c r="RA105" s="903"/>
      <c r="RB105" s="903"/>
      <c r="RC105" s="903"/>
      <c r="RD105" s="903"/>
      <c r="RE105" s="903"/>
      <c r="RF105" s="903"/>
      <c r="RG105" s="903"/>
      <c r="RH105" s="903"/>
      <c r="RI105" s="903"/>
      <c r="RJ105" s="903"/>
      <c r="RK105" s="903"/>
      <c r="RL105" s="903"/>
      <c r="RM105" s="903"/>
      <c r="RN105" s="903"/>
      <c r="RO105" s="903"/>
      <c r="RP105" s="903"/>
    </row>
    <row r="106" spans="1:857" s="884" customFormat="1" ht="17.25" customHeight="1" x14ac:dyDescent="0.3">
      <c r="A106" s="2088"/>
      <c r="B106" s="2089"/>
      <c r="C106" s="2090"/>
      <c r="D106" s="2233"/>
      <c r="E106" s="2234"/>
      <c r="F106" s="2234"/>
      <c r="G106" s="2234"/>
      <c r="H106" s="2234"/>
      <c r="I106" s="2235"/>
      <c r="J106" s="2161">
        <v>51</v>
      </c>
      <c r="K106" s="2109" t="s">
        <v>508</v>
      </c>
      <c r="L106" s="2155" t="s">
        <v>16</v>
      </c>
      <c r="M106" s="2161">
        <v>1</v>
      </c>
      <c r="N106" s="2122"/>
      <c r="O106" s="2128"/>
      <c r="P106" s="2110"/>
      <c r="Q106" s="2250">
        <f>+R106/298240000</f>
        <v>0.30177038626609443</v>
      </c>
      <c r="R106" s="2152">
        <v>90000000</v>
      </c>
      <c r="S106" s="2110"/>
      <c r="T106" s="2197"/>
      <c r="U106" s="2196" t="s">
        <v>509</v>
      </c>
      <c r="V106" s="2152">
        <f>60000000+30000000</f>
        <v>90000000</v>
      </c>
      <c r="W106" s="2122"/>
      <c r="X106" s="2110"/>
      <c r="Y106" s="2242"/>
      <c r="Z106" s="2242"/>
      <c r="AA106" s="2242"/>
      <c r="AB106" s="2242"/>
      <c r="AC106" s="2242"/>
      <c r="AD106" s="2242"/>
      <c r="AE106" s="2242"/>
      <c r="AF106" s="2242"/>
      <c r="AG106" s="2242"/>
      <c r="AH106" s="2248"/>
      <c r="AI106" s="2242"/>
      <c r="AJ106" s="2242"/>
      <c r="AK106" s="2209">
        <v>42745</v>
      </c>
      <c r="AL106" s="2224">
        <v>42358</v>
      </c>
      <c r="AM106" s="2246"/>
      <c r="PO106" s="903"/>
      <c r="PP106" s="903"/>
      <c r="PQ106" s="903"/>
      <c r="PR106" s="903"/>
      <c r="PS106" s="903"/>
      <c r="PT106" s="903"/>
      <c r="PU106" s="903"/>
      <c r="PV106" s="903"/>
      <c r="PW106" s="903"/>
      <c r="PX106" s="903"/>
      <c r="PY106" s="903"/>
      <c r="PZ106" s="903"/>
      <c r="QA106" s="903"/>
      <c r="QB106" s="903"/>
      <c r="QC106" s="903"/>
      <c r="QD106" s="903"/>
      <c r="QE106" s="903"/>
      <c r="QF106" s="903"/>
      <c r="QG106" s="903"/>
      <c r="QH106" s="903"/>
      <c r="QI106" s="903"/>
      <c r="QJ106" s="903"/>
      <c r="QK106" s="903"/>
      <c r="QL106" s="903"/>
      <c r="QM106" s="903"/>
      <c r="QN106" s="903"/>
      <c r="QO106" s="903"/>
      <c r="QP106" s="903"/>
      <c r="QQ106" s="903"/>
      <c r="QR106" s="903"/>
      <c r="QS106" s="903"/>
      <c r="QT106" s="903"/>
      <c r="QU106" s="903"/>
      <c r="QV106" s="903"/>
      <c r="QW106" s="903"/>
      <c r="QX106" s="903"/>
      <c r="QY106" s="903"/>
      <c r="QZ106" s="903"/>
      <c r="RA106" s="903"/>
      <c r="RB106" s="903"/>
      <c r="RC106" s="903"/>
      <c r="RD106" s="903"/>
      <c r="RE106" s="903"/>
      <c r="RF106" s="903"/>
      <c r="RG106" s="903"/>
      <c r="RH106" s="903"/>
      <c r="RI106" s="903"/>
      <c r="RJ106" s="903"/>
      <c r="RK106" s="903"/>
      <c r="RL106" s="903"/>
      <c r="RM106" s="903"/>
      <c r="RN106" s="903"/>
      <c r="RO106" s="903"/>
      <c r="RP106" s="903"/>
    </row>
    <row r="107" spans="1:857" s="884" customFormat="1" ht="45.75" customHeight="1" x14ac:dyDescent="0.3">
      <c r="A107" s="2088"/>
      <c r="B107" s="2089"/>
      <c r="C107" s="2090"/>
      <c r="D107" s="2233"/>
      <c r="E107" s="2234"/>
      <c r="F107" s="2234"/>
      <c r="G107" s="2234"/>
      <c r="H107" s="2234"/>
      <c r="I107" s="2235"/>
      <c r="J107" s="2163"/>
      <c r="K107" s="2111"/>
      <c r="L107" s="2157"/>
      <c r="M107" s="2163"/>
      <c r="N107" s="2123"/>
      <c r="O107" s="2129"/>
      <c r="P107" s="2111"/>
      <c r="Q107" s="2252"/>
      <c r="R107" s="2154"/>
      <c r="S107" s="2111"/>
      <c r="T107" s="2198"/>
      <c r="U107" s="2198"/>
      <c r="V107" s="2154"/>
      <c r="W107" s="2123"/>
      <c r="X107" s="2111"/>
      <c r="Y107" s="2243"/>
      <c r="Z107" s="2243"/>
      <c r="AA107" s="2243"/>
      <c r="AB107" s="2243"/>
      <c r="AC107" s="2243"/>
      <c r="AD107" s="2243"/>
      <c r="AE107" s="2243"/>
      <c r="AF107" s="2243"/>
      <c r="AG107" s="2243"/>
      <c r="AH107" s="2249"/>
      <c r="AI107" s="2243"/>
      <c r="AJ107" s="2243"/>
      <c r="AK107" s="2211"/>
      <c r="AL107" s="2224"/>
      <c r="AM107" s="2246"/>
      <c r="PO107" s="903"/>
      <c r="PP107" s="903"/>
      <c r="PQ107" s="903"/>
      <c r="PR107" s="903"/>
      <c r="PS107" s="903"/>
      <c r="PT107" s="903"/>
      <c r="PU107" s="903"/>
      <c r="PV107" s="903"/>
      <c r="PW107" s="903"/>
      <c r="PX107" s="903"/>
      <c r="PY107" s="903"/>
      <c r="PZ107" s="903"/>
      <c r="QA107" s="903"/>
      <c r="QB107" s="903"/>
      <c r="QC107" s="903"/>
      <c r="QD107" s="903"/>
      <c r="QE107" s="903"/>
      <c r="QF107" s="903"/>
      <c r="QG107" s="903"/>
      <c r="QH107" s="903"/>
      <c r="QI107" s="903"/>
      <c r="QJ107" s="903"/>
      <c r="QK107" s="903"/>
      <c r="QL107" s="903"/>
      <c r="QM107" s="903"/>
      <c r="QN107" s="903"/>
      <c r="QO107" s="903"/>
      <c r="QP107" s="903"/>
      <c r="QQ107" s="903"/>
      <c r="QR107" s="903"/>
      <c r="QS107" s="903"/>
      <c r="QT107" s="903"/>
      <c r="QU107" s="903"/>
      <c r="QV107" s="903"/>
      <c r="QW107" s="903"/>
      <c r="QX107" s="903"/>
      <c r="QY107" s="903"/>
      <c r="QZ107" s="903"/>
      <c r="RA107" s="903"/>
      <c r="RB107" s="903"/>
      <c r="RC107" s="903"/>
      <c r="RD107" s="903"/>
      <c r="RE107" s="903"/>
      <c r="RF107" s="903"/>
      <c r="RG107" s="903"/>
      <c r="RH107" s="903"/>
      <c r="RI107" s="903"/>
      <c r="RJ107" s="903"/>
      <c r="RK107" s="903"/>
      <c r="RL107" s="903"/>
      <c r="RM107" s="903"/>
      <c r="RN107" s="903"/>
      <c r="RO107" s="903"/>
      <c r="RP107" s="903"/>
    </row>
    <row r="108" spans="1:857" s="884" customFormat="1" ht="17.25" customHeight="1" x14ac:dyDescent="0.3">
      <c r="A108" s="2088"/>
      <c r="B108" s="2089"/>
      <c r="C108" s="2090"/>
      <c r="D108" s="2233"/>
      <c r="E108" s="2234"/>
      <c r="F108" s="2234"/>
      <c r="G108" s="2234"/>
      <c r="H108" s="2234"/>
      <c r="I108" s="2235"/>
      <c r="J108" s="2100">
        <v>12</v>
      </c>
      <c r="K108" s="2102" t="s">
        <v>510</v>
      </c>
      <c r="L108" s="2103"/>
      <c r="M108" s="2103"/>
      <c r="N108" s="885"/>
      <c r="O108" s="885"/>
      <c r="P108" s="885"/>
      <c r="Q108" s="885"/>
      <c r="R108" s="886"/>
      <c r="S108" s="887"/>
      <c r="T108" s="887"/>
      <c r="U108" s="887"/>
      <c r="V108" s="886"/>
      <c r="W108" s="885"/>
      <c r="X108" s="887"/>
      <c r="Y108" s="885"/>
      <c r="Z108" s="885"/>
      <c r="AA108" s="885"/>
      <c r="AB108" s="885"/>
      <c r="AC108" s="885"/>
      <c r="AD108" s="885"/>
      <c r="AE108" s="885"/>
      <c r="AF108" s="885"/>
      <c r="AG108" s="885"/>
      <c r="AH108" s="885"/>
      <c r="AI108" s="885"/>
      <c r="AJ108" s="885"/>
      <c r="AK108" s="2171"/>
      <c r="AL108" s="2171"/>
      <c r="AM108" s="2176"/>
      <c r="PO108" s="903"/>
      <c r="PP108" s="903"/>
      <c r="PQ108" s="903"/>
      <c r="PR108" s="903"/>
      <c r="PS108" s="903"/>
      <c r="PT108" s="903"/>
      <c r="PU108" s="903"/>
      <c r="PV108" s="903"/>
      <c r="PW108" s="903"/>
      <c r="PX108" s="903"/>
      <c r="PY108" s="903"/>
      <c r="PZ108" s="903"/>
      <c r="QA108" s="903"/>
      <c r="QB108" s="903"/>
      <c r="QC108" s="903"/>
      <c r="QD108" s="903"/>
      <c r="QE108" s="903"/>
      <c r="QF108" s="903"/>
      <c r="QG108" s="903"/>
      <c r="QH108" s="903"/>
      <c r="QI108" s="903"/>
      <c r="QJ108" s="903"/>
      <c r="QK108" s="903"/>
      <c r="QL108" s="903"/>
      <c r="QM108" s="903"/>
      <c r="QN108" s="903"/>
      <c r="QO108" s="903"/>
      <c r="QP108" s="903"/>
      <c r="QQ108" s="903"/>
      <c r="QR108" s="903"/>
      <c r="QS108" s="903"/>
      <c r="QT108" s="903"/>
      <c r="QU108" s="903"/>
      <c r="QV108" s="903"/>
      <c r="QW108" s="903"/>
      <c r="QX108" s="903"/>
      <c r="QY108" s="903"/>
      <c r="QZ108" s="903"/>
      <c r="RA108" s="903"/>
      <c r="RB108" s="903"/>
      <c r="RC108" s="903"/>
      <c r="RD108" s="903"/>
      <c r="RE108" s="903"/>
      <c r="RF108" s="903"/>
      <c r="RG108" s="903"/>
      <c r="RH108" s="903"/>
      <c r="RI108" s="903"/>
      <c r="RJ108" s="903"/>
      <c r="RK108" s="903"/>
      <c r="RL108" s="903"/>
      <c r="RM108" s="903"/>
      <c r="RN108" s="903"/>
      <c r="RO108" s="903"/>
      <c r="RP108" s="903"/>
    </row>
    <row r="109" spans="1:857" s="884" customFormat="1" ht="17.25" customHeight="1" x14ac:dyDescent="0.3">
      <c r="A109" s="2088"/>
      <c r="B109" s="2089"/>
      <c r="C109" s="2090"/>
      <c r="D109" s="2233"/>
      <c r="E109" s="2234"/>
      <c r="F109" s="2234"/>
      <c r="G109" s="2234"/>
      <c r="H109" s="2234"/>
      <c r="I109" s="2235"/>
      <c r="J109" s="2101"/>
      <c r="K109" s="2104"/>
      <c r="L109" s="2105"/>
      <c r="M109" s="2105"/>
      <c r="N109" s="888"/>
      <c r="O109" s="888"/>
      <c r="P109" s="888"/>
      <c r="Q109" s="888"/>
      <c r="R109" s="889"/>
      <c r="S109" s="890"/>
      <c r="T109" s="890"/>
      <c r="U109" s="890"/>
      <c r="V109" s="889"/>
      <c r="W109" s="888"/>
      <c r="X109" s="890"/>
      <c r="Y109" s="888"/>
      <c r="Z109" s="888"/>
      <c r="AA109" s="888"/>
      <c r="AB109" s="888"/>
      <c r="AC109" s="888"/>
      <c r="AD109" s="888"/>
      <c r="AE109" s="888"/>
      <c r="AF109" s="888"/>
      <c r="AG109" s="888"/>
      <c r="AH109" s="888"/>
      <c r="AI109" s="888"/>
      <c r="AJ109" s="888"/>
      <c r="AK109" s="2172"/>
      <c r="AL109" s="2172"/>
      <c r="AM109" s="2177"/>
      <c r="PO109" s="903"/>
      <c r="PP109" s="903"/>
      <c r="PQ109" s="903"/>
      <c r="PR109" s="903"/>
      <c r="PS109" s="903"/>
      <c r="PT109" s="903"/>
      <c r="PU109" s="903"/>
      <c r="PV109" s="903"/>
      <c r="PW109" s="903"/>
      <c r="PX109" s="903"/>
      <c r="PY109" s="903"/>
      <c r="PZ109" s="903"/>
      <c r="QA109" s="903"/>
      <c r="QB109" s="903"/>
      <c r="QC109" s="903"/>
      <c r="QD109" s="903"/>
      <c r="QE109" s="903"/>
      <c r="QF109" s="903"/>
      <c r="QG109" s="903"/>
      <c r="QH109" s="903"/>
      <c r="QI109" s="903"/>
      <c r="QJ109" s="903"/>
      <c r="QK109" s="903"/>
      <c r="QL109" s="903"/>
      <c r="QM109" s="903"/>
      <c r="QN109" s="903"/>
      <c r="QO109" s="903"/>
      <c r="QP109" s="903"/>
      <c r="QQ109" s="903"/>
      <c r="QR109" s="903"/>
      <c r="QS109" s="903"/>
      <c r="QT109" s="903"/>
      <c r="QU109" s="903"/>
      <c r="QV109" s="903"/>
      <c r="QW109" s="903"/>
      <c r="QX109" s="903"/>
      <c r="QY109" s="903"/>
      <c r="QZ109" s="903"/>
      <c r="RA109" s="903"/>
      <c r="RB109" s="903"/>
      <c r="RC109" s="903"/>
      <c r="RD109" s="903"/>
      <c r="RE109" s="903"/>
      <c r="RF109" s="903"/>
      <c r="RG109" s="903"/>
      <c r="RH109" s="903"/>
      <c r="RI109" s="903"/>
      <c r="RJ109" s="903"/>
      <c r="RK109" s="903"/>
      <c r="RL109" s="903"/>
      <c r="RM109" s="903"/>
      <c r="RN109" s="903"/>
      <c r="RO109" s="903"/>
      <c r="RP109" s="903"/>
    </row>
    <row r="110" spans="1:857" s="884" customFormat="1" ht="17.25" customHeight="1" x14ac:dyDescent="0.3">
      <c r="A110" s="2088"/>
      <c r="B110" s="2089"/>
      <c r="C110" s="2090"/>
      <c r="D110" s="2233"/>
      <c r="E110" s="2234"/>
      <c r="F110" s="2234"/>
      <c r="G110" s="2234"/>
      <c r="H110" s="2234"/>
      <c r="I110" s="2235"/>
      <c r="J110" s="2161">
        <v>52</v>
      </c>
      <c r="K110" s="2109" t="s">
        <v>511</v>
      </c>
      <c r="L110" s="2155" t="s">
        <v>16</v>
      </c>
      <c r="M110" s="2161">
        <v>3</v>
      </c>
      <c r="N110" s="2121" t="s">
        <v>512</v>
      </c>
      <c r="O110" s="2127" t="s">
        <v>513</v>
      </c>
      <c r="P110" s="2109" t="s">
        <v>514</v>
      </c>
      <c r="Q110" s="2250">
        <f>+R110/245080000</f>
        <v>1</v>
      </c>
      <c r="R110" s="2217">
        <f>SUM(V110:V122)</f>
        <v>245080000</v>
      </c>
      <c r="S110" s="2109" t="s">
        <v>515</v>
      </c>
      <c r="T110" s="2109" t="s">
        <v>516</v>
      </c>
      <c r="U110" s="2109" t="s">
        <v>517</v>
      </c>
      <c r="V110" s="2152">
        <f>30000000+79400000</f>
        <v>109400000</v>
      </c>
      <c r="W110" s="2121" t="s">
        <v>446</v>
      </c>
      <c r="X110" s="2109" t="s">
        <v>447</v>
      </c>
      <c r="Y110" s="2241">
        <v>64149</v>
      </c>
      <c r="Z110" s="2241">
        <v>72224</v>
      </c>
      <c r="AA110" s="2241">
        <v>27477</v>
      </c>
      <c r="AB110" s="2241">
        <v>86843</v>
      </c>
      <c r="AC110" s="2241">
        <v>236429</v>
      </c>
      <c r="AD110" s="2241">
        <v>81384</v>
      </c>
      <c r="AE110" s="2241">
        <v>13208</v>
      </c>
      <c r="AF110" s="2241">
        <v>1827</v>
      </c>
      <c r="AG110" s="2241"/>
      <c r="AH110" s="2241"/>
      <c r="AI110" s="2241">
        <v>16897</v>
      </c>
      <c r="AJ110" s="2241">
        <v>81384</v>
      </c>
      <c r="AK110" s="2209">
        <v>42745</v>
      </c>
      <c r="AL110" s="2224">
        <v>43094</v>
      </c>
      <c r="AM110" s="2254" t="s">
        <v>463</v>
      </c>
      <c r="PO110" s="903"/>
      <c r="PP110" s="903"/>
      <c r="PQ110" s="903"/>
      <c r="PR110" s="903"/>
      <c r="PS110" s="903"/>
      <c r="PT110" s="903"/>
      <c r="PU110" s="903"/>
      <c r="PV110" s="903"/>
      <c r="PW110" s="903"/>
      <c r="PX110" s="903"/>
      <c r="PY110" s="903"/>
      <c r="PZ110" s="903"/>
      <c r="QA110" s="903"/>
      <c r="QB110" s="903"/>
      <c r="QC110" s="903"/>
      <c r="QD110" s="903"/>
      <c r="QE110" s="903"/>
      <c r="QF110" s="903"/>
      <c r="QG110" s="903"/>
      <c r="QH110" s="903"/>
      <c r="QI110" s="903"/>
      <c r="QJ110" s="903"/>
      <c r="QK110" s="903"/>
      <c r="QL110" s="903"/>
      <c r="QM110" s="903"/>
      <c r="QN110" s="903"/>
      <c r="QO110" s="903"/>
      <c r="QP110" s="903"/>
      <c r="QQ110" s="903"/>
      <c r="QR110" s="903"/>
      <c r="QS110" s="903"/>
      <c r="QT110" s="903"/>
      <c r="QU110" s="903"/>
      <c r="QV110" s="903"/>
      <c r="QW110" s="903"/>
      <c r="QX110" s="903"/>
      <c r="QY110" s="903"/>
      <c r="QZ110" s="903"/>
      <c r="RA110" s="903"/>
      <c r="RB110" s="903"/>
      <c r="RC110" s="903"/>
      <c r="RD110" s="903"/>
      <c r="RE110" s="903"/>
      <c r="RF110" s="903"/>
      <c r="RG110" s="903"/>
      <c r="RH110" s="903"/>
      <c r="RI110" s="903"/>
      <c r="RJ110" s="903"/>
      <c r="RK110" s="903"/>
      <c r="RL110" s="903"/>
      <c r="RM110" s="903"/>
      <c r="RN110" s="903"/>
      <c r="RO110" s="903"/>
      <c r="RP110" s="903"/>
    </row>
    <row r="111" spans="1:857" s="884" customFormat="1" ht="17.25" customHeight="1" x14ac:dyDescent="0.3">
      <c r="A111" s="2088"/>
      <c r="B111" s="2089"/>
      <c r="C111" s="2090"/>
      <c r="D111" s="2233"/>
      <c r="E111" s="2234"/>
      <c r="F111" s="2234"/>
      <c r="G111" s="2234"/>
      <c r="H111" s="2234"/>
      <c r="I111" s="2235"/>
      <c r="J111" s="2162"/>
      <c r="K111" s="2110"/>
      <c r="L111" s="2156"/>
      <c r="M111" s="2162"/>
      <c r="N111" s="2122"/>
      <c r="O111" s="2128"/>
      <c r="P111" s="2110"/>
      <c r="Q111" s="2251"/>
      <c r="R111" s="2218"/>
      <c r="S111" s="2110"/>
      <c r="T111" s="2110"/>
      <c r="U111" s="2110"/>
      <c r="V111" s="2153"/>
      <c r="W111" s="2122"/>
      <c r="X111" s="2110"/>
      <c r="Y111" s="2242"/>
      <c r="Z111" s="2242"/>
      <c r="AA111" s="2242"/>
      <c r="AB111" s="2242"/>
      <c r="AC111" s="2242"/>
      <c r="AD111" s="2242"/>
      <c r="AE111" s="2242"/>
      <c r="AF111" s="2242"/>
      <c r="AG111" s="2242"/>
      <c r="AH111" s="2242"/>
      <c r="AI111" s="2242"/>
      <c r="AJ111" s="2242"/>
      <c r="AK111" s="2210"/>
      <c r="AL111" s="2224"/>
      <c r="AM111" s="2254"/>
      <c r="PO111" s="903"/>
      <c r="PP111" s="903"/>
      <c r="PQ111" s="903"/>
      <c r="PR111" s="903"/>
      <c r="PS111" s="903"/>
      <c r="PT111" s="903"/>
      <c r="PU111" s="903"/>
      <c r="PV111" s="903"/>
      <c r="PW111" s="903"/>
      <c r="PX111" s="903"/>
      <c r="PY111" s="903"/>
      <c r="PZ111" s="903"/>
      <c r="QA111" s="903"/>
      <c r="QB111" s="903"/>
      <c r="QC111" s="903"/>
      <c r="QD111" s="903"/>
      <c r="QE111" s="903"/>
      <c r="QF111" s="903"/>
      <c r="QG111" s="903"/>
      <c r="QH111" s="903"/>
      <c r="QI111" s="903"/>
      <c r="QJ111" s="903"/>
      <c r="QK111" s="903"/>
      <c r="QL111" s="903"/>
      <c r="QM111" s="903"/>
      <c r="QN111" s="903"/>
      <c r="QO111" s="903"/>
      <c r="QP111" s="903"/>
      <c r="QQ111" s="903"/>
      <c r="QR111" s="903"/>
      <c r="QS111" s="903"/>
      <c r="QT111" s="903"/>
      <c r="QU111" s="903"/>
      <c r="QV111" s="903"/>
      <c r="QW111" s="903"/>
      <c r="QX111" s="903"/>
      <c r="QY111" s="903"/>
      <c r="QZ111" s="903"/>
      <c r="RA111" s="903"/>
      <c r="RB111" s="903"/>
      <c r="RC111" s="903"/>
      <c r="RD111" s="903"/>
      <c r="RE111" s="903"/>
      <c r="RF111" s="903"/>
      <c r="RG111" s="903"/>
      <c r="RH111" s="903"/>
      <c r="RI111" s="903"/>
      <c r="RJ111" s="903"/>
      <c r="RK111" s="903"/>
      <c r="RL111" s="903"/>
      <c r="RM111" s="903"/>
      <c r="RN111" s="903"/>
      <c r="RO111" s="903"/>
      <c r="RP111" s="903"/>
    </row>
    <row r="112" spans="1:857" s="884" customFormat="1" ht="17.25" customHeight="1" x14ac:dyDescent="0.3">
      <c r="A112" s="2088"/>
      <c r="B112" s="2089"/>
      <c r="C112" s="2090"/>
      <c r="D112" s="2233"/>
      <c r="E112" s="2234"/>
      <c r="F112" s="2234"/>
      <c r="G112" s="2234"/>
      <c r="H112" s="2234"/>
      <c r="I112" s="2235"/>
      <c r="J112" s="2162"/>
      <c r="K112" s="2110"/>
      <c r="L112" s="2156"/>
      <c r="M112" s="2162"/>
      <c r="N112" s="2122"/>
      <c r="O112" s="2128"/>
      <c r="P112" s="2110"/>
      <c r="Q112" s="2251"/>
      <c r="R112" s="2218"/>
      <c r="S112" s="2110"/>
      <c r="T112" s="2110"/>
      <c r="U112" s="2111"/>
      <c r="V112" s="2154"/>
      <c r="W112" s="2122"/>
      <c r="X112" s="2110"/>
      <c r="Y112" s="2242"/>
      <c r="Z112" s="2242"/>
      <c r="AA112" s="2242"/>
      <c r="AB112" s="2242"/>
      <c r="AC112" s="2242"/>
      <c r="AD112" s="2242"/>
      <c r="AE112" s="2242"/>
      <c r="AF112" s="2242"/>
      <c r="AG112" s="2242"/>
      <c r="AH112" s="2242"/>
      <c r="AI112" s="2242"/>
      <c r="AJ112" s="2242"/>
      <c r="AK112" s="2210"/>
      <c r="AL112" s="2224"/>
      <c r="AM112" s="2254"/>
      <c r="PO112" s="903"/>
      <c r="PP112" s="903"/>
      <c r="PQ112" s="903"/>
      <c r="PR112" s="903"/>
      <c r="PS112" s="903"/>
      <c r="PT112" s="903"/>
      <c r="PU112" s="903"/>
      <c r="PV112" s="903"/>
      <c r="PW112" s="903"/>
      <c r="PX112" s="903"/>
      <c r="PY112" s="903"/>
      <c r="PZ112" s="903"/>
      <c r="QA112" s="903"/>
      <c r="QB112" s="903"/>
      <c r="QC112" s="903"/>
      <c r="QD112" s="903"/>
      <c r="QE112" s="903"/>
      <c r="QF112" s="903"/>
      <c r="QG112" s="903"/>
      <c r="QH112" s="903"/>
      <c r="QI112" s="903"/>
      <c r="QJ112" s="903"/>
      <c r="QK112" s="903"/>
      <c r="QL112" s="903"/>
      <c r="QM112" s="903"/>
      <c r="QN112" s="903"/>
      <c r="QO112" s="903"/>
      <c r="QP112" s="903"/>
      <c r="QQ112" s="903"/>
      <c r="QR112" s="903"/>
      <c r="QS112" s="903"/>
      <c r="QT112" s="903"/>
      <c r="QU112" s="903"/>
      <c r="QV112" s="903"/>
      <c r="QW112" s="903"/>
      <c r="QX112" s="903"/>
      <c r="QY112" s="903"/>
      <c r="QZ112" s="903"/>
      <c r="RA112" s="903"/>
      <c r="RB112" s="903"/>
      <c r="RC112" s="903"/>
      <c r="RD112" s="903"/>
      <c r="RE112" s="903"/>
      <c r="RF112" s="903"/>
      <c r="RG112" s="903"/>
      <c r="RH112" s="903"/>
      <c r="RI112" s="903"/>
      <c r="RJ112" s="903"/>
      <c r="RK112" s="903"/>
      <c r="RL112" s="903"/>
      <c r="RM112" s="903"/>
      <c r="RN112" s="903"/>
      <c r="RO112" s="903"/>
      <c r="RP112" s="903"/>
    </row>
    <row r="113" spans="1:484" s="884" customFormat="1" ht="17.25" customHeight="1" x14ac:dyDescent="0.3">
      <c r="A113" s="2088"/>
      <c r="B113" s="2089"/>
      <c r="C113" s="2090"/>
      <c r="D113" s="2233"/>
      <c r="E113" s="2234"/>
      <c r="F113" s="2234"/>
      <c r="G113" s="2234"/>
      <c r="H113" s="2234"/>
      <c r="I113" s="2235"/>
      <c r="J113" s="2162"/>
      <c r="K113" s="2110"/>
      <c r="L113" s="2156"/>
      <c r="M113" s="2162"/>
      <c r="N113" s="2122"/>
      <c r="O113" s="2128"/>
      <c r="P113" s="2110"/>
      <c r="Q113" s="2251"/>
      <c r="R113" s="2218"/>
      <c r="S113" s="2110"/>
      <c r="T113" s="2110"/>
      <c r="U113" s="2109" t="s">
        <v>518</v>
      </c>
      <c r="V113" s="2152">
        <f>20000000+33200000</f>
        <v>53200000</v>
      </c>
      <c r="W113" s="2122"/>
      <c r="X113" s="2110"/>
      <c r="Y113" s="2242"/>
      <c r="Z113" s="2242"/>
      <c r="AA113" s="2242"/>
      <c r="AB113" s="2242"/>
      <c r="AC113" s="2242"/>
      <c r="AD113" s="2242"/>
      <c r="AE113" s="2242"/>
      <c r="AF113" s="2242"/>
      <c r="AG113" s="2242"/>
      <c r="AH113" s="2242"/>
      <c r="AI113" s="2242"/>
      <c r="AJ113" s="2242"/>
      <c r="AK113" s="2210"/>
      <c r="AL113" s="2224"/>
      <c r="AM113" s="2254"/>
      <c r="PO113" s="903"/>
      <c r="PP113" s="903"/>
      <c r="PQ113" s="903"/>
      <c r="PR113" s="903"/>
      <c r="PS113" s="903"/>
      <c r="PT113" s="903"/>
      <c r="PU113" s="903"/>
      <c r="PV113" s="903"/>
      <c r="PW113" s="903"/>
      <c r="PX113" s="903"/>
      <c r="PY113" s="903"/>
      <c r="PZ113" s="903"/>
      <c r="QA113" s="903"/>
      <c r="QB113" s="903"/>
      <c r="QC113" s="903"/>
      <c r="QD113" s="903"/>
      <c r="QE113" s="903"/>
      <c r="QF113" s="903"/>
      <c r="QG113" s="903"/>
      <c r="QH113" s="903"/>
      <c r="QI113" s="903"/>
      <c r="QJ113" s="903"/>
      <c r="QK113" s="903"/>
      <c r="QL113" s="903"/>
      <c r="QM113" s="903"/>
      <c r="QN113" s="903"/>
      <c r="QO113" s="903"/>
      <c r="QP113" s="903"/>
      <c r="QQ113" s="903"/>
      <c r="QR113" s="903"/>
      <c r="QS113" s="903"/>
      <c r="QT113" s="903"/>
      <c r="QU113" s="903"/>
      <c r="QV113" s="903"/>
      <c r="QW113" s="903"/>
      <c r="QX113" s="903"/>
      <c r="QY113" s="903"/>
      <c r="QZ113" s="903"/>
      <c r="RA113" s="903"/>
      <c r="RB113" s="903"/>
      <c r="RC113" s="903"/>
      <c r="RD113" s="903"/>
      <c r="RE113" s="903"/>
      <c r="RF113" s="903"/>
      <c r="RG113" s="903"/>
      <c r="RH113" s="903"/>
      <c r="RI113" s="903"/>
      <c r="RJ113" s="903"/>
      <c r="RK113" s="903"/>
      <c r="RL113" s="903"/>
      <c r="RM113" s="903"/>
      <c r="RN113" s="903"/>
      <c r="RO113" s="903"/>
      <c r="RP113" s="903"/>
    </row>
    <row r="114" spans="1:484" s="884" customFormat="1" ht="17.25" customHeight="1" x14ac:dyDescent="0.3">
      <c r="A114" s="2088"/>
      <c r="B114" s="2089"/>
      <c r="C114" s="2090"/>
      <c r="D114" s="2233"/>
      <c r="E114" s="2234"/>
      <c r="F114" s="2234"/>
      <c r="G114" s="2234"/>
      <c r="H114" s="2234"/>
      <c r="I114" s="2235"/>
      <c r="J114" s="2162"/>
      <c r="K114" s="2110"/>
      <c r="L114" s="2156"/>
      <c r="M114" s="2162"/>
      <c r="N114" s="2122"/>
      <c r="O114" s="2128"/>
      <c r="P114" s="2110"/>
      <c r="Q114" s="2251"/>
      <c r="R114" s="2218"/>
      <c r="S114" s="2110"/>
      <c r="T114" s="2110"/>
      <c r="U114" s="2111"/>
      <c r="V114" s="2154"/>
      <c r="W114" s="2122"/>
      <c r="X114" s="2110"/>
      <c r="Y114" s="2242"/>
      <c r="Z114" s="2242"/>
      <c r="AA114" s="2242"/>
      <c r="AB114" s="2242"/>
      <c r="AC114" s="2242"/>
      <c r="AD114" s="2242"/>
      <c r="AE114" s="2242"/>
      <c r="AF114" s="2242"/>
      <c r="AG114" s="2242"/>
      <c r="AH114" s="2242"/>
      <c r="AI114" s="2242"/>
      <c r="AJ114" s="2242"/>
      <c r="AK114" s="2210"/>
      <c r="AL114" s="2224"/>
      <c r="AM114" s="2254"/>
      <c r="PO114" s="903"/>
      <c r="PP114" s="903"/>
      <c r="PQ114" s="903"/>
      <c r="PR114" s="903"/>
      <c r="PS114" s="903"/>
      <c r="PT114" s="903"/>
      <c r="PU114" s="903"/>
      <c r="PV114" s="903"/>
      <c r="PW114" s="903"/>
      <c r="PX114" s="903"/>
      <c r="PY114" s="903"/>
      <c r="PZ114" s="903"/>
      <c r="QA114" s="903"/>
      <c r="QB114" s="903"/>
      <c r="QC114" s="903"/>
      <c r="QD114" s="903"/>
      <c r="QE114" s="903"/>
      <c r="QF114" s="903"/>
      <c r="QG114" s="903"/>
      <c r="QH114" s="903"/>
      <c r="QI114" s="903"/>
      <c r="QJ114" s="903"/>
      <c r="QK114" s="903"/>
      <c r="QL114" s="903"/>
      <c r="QM114" s="903"/>
      <c r="QN114" s="903"/>
      <c r="QO114" s="903"/>
      <c r="QP114" s="903"/>
      <c r="QQ114" s="903"/>
      <c r="QR114" s="903"/>
      <c r="QS114" s="903"/>
      <c r="QT114" s="903"/>
      <c r="QU114" s="903"/>
      <c r="QV114" s="903"/>
      <c r="QW114" s="903"/>
      <c r="QX114" s="903"/>
      <c r="QY114" s="903"/>
      <c r="QZ114" s="903"/>
      <c r="RA114" s="903"/>
      <c r="RB114" s="903"/>
      <c r="RC114" s="903"/>
      <c r="RD114" s="903"/>
      <c r="RE114" s="903"/>
      <c r="RF114" s="903"/>
      <c r="RG114" s="903"/>
      <c r="RH114" s="903"/>
      <c r="RI114" s="903"/>
      <c r="RJ114" s="903"/>
      <c r="RK114" s="903"/>
      <c r="RL114" s="903"/>
      <c r="RM114" s="903"/>
      <c r="RN114" s="903"/>
      <c r="RO114" s="903"/>
      <c r="RP114" s="903"/>
    </row>
    <row r="115" spans="1:484" s="884" customFormat="1" ht="17.25" customHeight="1" x14ac:dyDescent="0.3">
      <c r="A115" s="2088"/>
      <c r="B115" s="2089"/>
      <c r="C115" s="2090"/>
      <c r="D115" s="2233"/>
      <c r="E115" s="2234"/>
      <c r="F115" s="2234"/>
      <c r="G115" s="2234"/>
      <c r="H115" s="2234"/>
      <c r="I115" s="2235"/>
      <c r="J115" s="2162"/>
      <c r="K115" s="2110"/>
      <c r="L115" s="2156"/>
      <c r="M115" s="2162"/>
      <c r="N115" s="2122"/>
      <c r="O115" s="2128"/>
      <c r="P115" s="2110"/>
      <c r="Q115" s="2251"/>
      <c r="R115" s="2218"/>
      <c r="S115" s="2110"/>
      <c r="T115" s="2110"/>
      <c r="U115" s="2109" t="s">
        <v>519</v>
      </c>
      <c r="V115" s="2152">
        <f>25000000+10000000</f>
        <v>35000000</v>
      </c>
      <c r="W115" s="2122"/>
      <c r="X115" s="2110"/>
      <c r="Y115" s="2242"/>
      <c r="Z115" s="2242"/>
      <c r="AA115" s="2242"/>
      <c r="AB115" s="2242"/>
      <c r="AC115" s="2242"/>
      <c r="AD115" s="2242"/>
      <c r="AE115" s="2242"/>
      <c r="AF115" s="2242"/>
      <c r="AG115" s="2242"/>
      <c r="AH115" s="2242"/>
      <c r="AI115" s="2242"/>
      <c r="AJ115" s="2242"/>
      <c r="AK115" s="2210"/>
      <c r="AL115" s="2224"/>
      <c r="AM115" s="2254"/>
      <c r="PO115" s="903"/>
      <c r="PP115" s="903"/>
      <c r="PQ115" s="903"/>
      <c r="PR115" s="903"/>
      <c r="PS115" s="903"/>
      <c r="PT115" s="903"/>
      <c r="PU115" s="903"/>
      <c r="PV115" s="903"/>
      <c r="PW115" s="903"/>
      <c r="PX115" s="903"/>
      <c r="PY115" s="903"/>
      <c r="PZ115" s="903"/>
      <c r="QA115" s="903"/>
      <c r="QB115" s="903"/>
      <c r="QC115" s="903"/>
      <c r="QD115" s="903"/>
      <c r="QE115" s="903"/>
      <c r="QF115" s="903"/>
      <c r="QG115" s="903"/>
      <c r="QH115" s="903"/>
      <c r="QI115" s="903"/>
      <c r="QJ115" s="903"/>
      <c r="QK115" s="903"/>
      <c r="QL115" s="903"/>
      <c r="QM115" s="903"/>
      <c r="QN115" s="903"/>
      <c r="QO115" s="903"/>
      <c r="QP115" s="903"/>
      <c r="QQ115" s="903"/>
      <c r="QR115" s="903"/>
      <c r="QS115" s="903"/>
      <c r="QT115" s="903"/>
      <c r="QU115" s="903"/>
      <c r="QV115" s="903"/>
      <c r="QW115" s="903"/>
      <c r="QX115" s="903"/>
      <c r="QY115" s="903"/>
      <c r="QZ115" s="903"/>
      <c r="RA115" s="903"/>
      <c r="RB115" s="903"/>
      <c r="RC115" s="903"/>
      <c r="RD115" s="903"/>
      <c r="RE115" s="903"/>
      <c r="RF115" s="903"/>
      <c r="RG115" s="903"/>
      <c r="RH115" s="903"/>
      <c r="RI115" s="903"/>
      <c r="RJ115" s="903"/>
      <c r="RK115" s="903"/>
      <c r="RL115" s="903"/>
      <c r="RM115" s="903"/>
      <c r="RN115" s="903"/>
      <c r="RO115" s="903"/>
      <c r="RP115" s="903"/>
    </row>
    <row r="116" spans="1:484" s="884" customFormat="1" ht="17.25" customHeight="1" x14ac:dyDescent="0.3">
      <c r="A116" s="2088"/>
      <c r="B116" s="2089"/>
      <c r="C116" s="2090"/>
      <c r="D116" s="2233"/>
      <c r="E116" s="2234"/>
      <c r="F116" s="2234"/>
      <c r="G116" s="2234"/>
      <c r="H116" s="2234"/>
      <c r="I116" s="2235"/>
      <c r="J116" s="2162"/>
      <c r="K116" s="2110"/>
      <c r="L116" s="2156"/>
      <c r="M116" s="2162"/>
      <c r="N116" s="2122"/>
      <c r="O116" s="2128"/>
      <c r="P116" s="2110"/>
      <c r="Q116" s="2251"/>
      <c r="R116" s="2218"/>
      <c r="S116" s="2110"/>
      <c r="T116" s="2110"/>
      <c r="U116" s="2111"/>
      <c r="V116" s="2154"/>
      <c r="W116" s="2122"/>
      <c r="X116" s="2110"/>
      <c r="Y116" s="2242"/>
      <c r="Z116" s="2242"/>
      <c r="AA116" s="2242"/>
      <c r="AB116" s="2242"/>
      <c r="AC116" s="2242"/>
      <c r="AD116" s="2242"/>
      <c r="AE116" s="2242"/>
      <c r="AF116" s="2242"/>
      <c r="AG116" s="2242"/>
      <c r="AH116" s="2242"/>
      <c r="AI116" s="2242"/>
      <c r="AJ116" s="2242"/>
      <c r="AK116" s="2210"/>
      <c r="AL116" s="2224"/>
      <c r="AM116" s="2254"/>
      <c r="PO116" s="903"/>
      <c r="PP116" s="903"/>
      <c r="PQ116" s="903"/>
      <c r="PR116" s="903"/>
      <c r="PS116" s="903"/>
      <c r="PT116" s="903"/>
      <c r="PU116" s="903"/>
      <c r="PV116" s="903"/>
      <c r="PW116" s="903"/>
      <c r="PX116" s="903"/>
      <c r="PY116" s="903"/>
      <c r="PZ116" s="903"/>
      <c r="QA116" s="903"/>
      <c r="QB116" s="903"/>
      <c r="QC116" s="903"/>
      <c r="QD116" s="903"/>
      <c r="QE116" s="903"/>
      <c r="QF116" s="903"/>
      <c r="QG116" s="903"/>
      <c r="QH116" s="903"/>
      <c r="QI116" s="903"/>
      <c r="QJ116" s="903"/>
      <c r="QK116" s="903"/>
      <c r="QL116" s="903"/>
      <c r="QM116" s="903"/>
      <c r="QN116" s="903"/>
      <c r="QO116" s="903"/>
      <c r="QP116" s="903"/>
      <c r="QQ116" s="903"/>
      <c r="QR116" s="903"/>
      <c r="QS116" s="903"/>
      <c r="QT116" s="903"/>
      <c r="QU116" s="903"/>
      <c r="QV116" s="903"/>
      <c r="QW116" s="903"/>
      <c r="QX116" s="903"/>
      <c r="QY116" s="903"/>
      <c r="QZ116" s="903"/>
      <c r="RA116" s="903"/>
      <c r="RB116" s="903"/>
      <c r="RC116" s="903"/>
      <c r="RD116" s="903"/>
      <c r="RE116" s="903"/>
      <c r="RF116" s="903"/>
      <c r="RG116" s="903"/>
      <c r="RH116" s="903"/>
      <c r="RI116" s="903"/>
      <c r="RJ116" s="903"/>
      <c r="RK116" s="903"/>
      <c r="RL116" s="903"/>
      <c r="RM116" s="903"/>
      <c r="RN116" s="903"/>
      <c r="RO116" s="903"/>
      <c r="RP116" s="903"/>
    </row>
    <row r="117" spans="1:484" s="884" customFormat="1" ht="17.25" customHeight="1" x14ac:dyDescent="0.3">
      <c r="A117" s="2088"/>
      <c r="B117" s="2089"/>
      <c r="C117" s="2090"/>
      <c r="D117" s="2233"/>
      <c r="E117" s="2234"/>
      <c r="F117" s="2234"/>
      <c r="G117" s="2234"/>
      <c r="H117" s="2234"/>
      <c r="I117" s="2235"/>
      <c r="J117" s="2162"/>
      <c r="K117" s="2110"/>
      <c r="L117" s="2156"/>
      <c r="M117" s="2162"/>
      <c r="N117" s="2122"/>
      <c r="O117" s="2128"/>
      <c r="P117" s="2110"/>
      <c r="Q117" s="2251"/>
      <c r="R117" s="2218"/>
      <c r="S117" s="2110"/>
      <c r="T117" s="2110"/>
      <c r="U117" s="2109" t="s">
        <v>520</v>
      </c>
      <c r="V117" s="2152">
        <f>4200000+10800000</f>
        <v>15000000</v>
      </c>
      <c r="W117" s="2122"/>
      <c r="X117" s="2110"/>
      <c r="Y117" s="2242"/>
      <c r="Z117" s="2242"/>
      <c r="AA117" s="2242"/>
      <c r="AB117" s="2242"/>
      <c r="AC117" s="2242"/>
      <c r="AD117" s="2242"/>
      <c r="AE117" s="2242"/>
      <c r="AF117" s="2242"/>
      <c r="AG117" s="2242"/>
      <c r="AH117" s="2242"/>
      <c r="AI117" s="2242"/>
      <c r="AJ117" s="2242"/>
      <c r="AK117" s="2210"/>
      <c r="AL117" s="2224"/>
      <c r="AM117" s="2254"/>
      <c r="PO117" s="903"/>
      <c r="PP117" s="903"/>
      <c r="PQ117" s="903"/>
      <c r="PR117" s="903"/>
      <c r="PS117" s="903"/>
      <c r="PT117" s="903"/>
      <c r="PU117" s="903"/>
      <c r="PV117" s="903"/>
      <c r="PW117" s="903"/>
      <c r="PX117" s="903"/>
      <c r="PY117" s="903"/>
      <c r="PZ117" s="903"/>
      <c r="QA117" s="903"/>
      <c r="QB117" s="903"/>
      <c r="QC117" s="903"/>
      <c r="QD117" s="903"/>
      <c r="QE117" s="903"/>
      <c r="QF117" s="903"/>
      <c r="QG117" s="903"/>
      <c r="QH117" s="903"/>
      <c r="QI117" s="903"/>
      <c r="QJ117" s="903"/>
      <c r="QK117" s="903"/>
      <c r="QL117" s="903"/>
      <c r="QM117" s="903"/>
      <c r="QN117" s="903"/>
      <c r="QO117" s="903"/>
      <c r="QP117" s="903"/>
      <c r="QQ117" s="903"/>
      <c r="QR117" s="903"/>
      <c r="QS117" s="903"/>
      <c r="QT117" s="903"/>
      <c r="QU117" s="903"/>
      <c r="QV117" s="903"/>
      <c r="QW117" s="903"/>
      <c r="QX117" s="903"/>
      <c r="QY117" s="903"/>
      <c r="QZ117" s="903"/>
      <c r="RA117" s="903"/>
      <c r="RB117" s="903"/>
      <c r="RC117" s="903"/>
      <c r="RD117" s="903"/>
      <c r="RE117" s="903"/>
      <c r="RF117" s="903"/>
      <c r="RG117" s="903"/>
      <c r="RH117" s="903"/>
      <c r="RI117" s="903"/>
      <c r="RJ117" s="903"/>
      <c r="RK117" s="903"/>
      <c r="RL117" s="903"/>
      <c r="RM117" s="903"/>
      <c r="RN117" s="903"/>
      <c r="RO117" s="903"/>
      <c r="RP117" s="903"/>
    </row>
    <row r="118" spans="1:484" s="884" customFormat="1" ht="17.25" customHeight="1" x14ac:dyDescent="0.3">
      <c r="A118" s="2088"/>
      <c r="B118" s="2089"/>
      <c r="C118" s="2090"/>
      <c r="D118" s="2233"/>
      <c r="E118" s="2234"/>
      <c r="F118" s="2234"/>
      <c r="G118" s="2234"/>
      <c r="H118" s="2234"/>
      <c r="I118" s="2235"/>
      <c r="J118" s="2162"/>
      <c r="K118" s="2110"/>
      <c r="L118" s="2156"/>
      <c r="M118" s="2162"/>
      <c r="N118" s="2122"/>
      <c r="O118" s="2128"/>
      <c r="P118" s="2110"/>
      <c r="Q118" s="2251"/>
      <c r="R118" s="2218"/>
      <c r="S118" s="2110"/>
      <c r="T118" s="2110"/>
      <c r="U118" s="2110"/>
      <c r="V118" s="2153"/>
      <c r="W118" s="2122"/>
      <c r="X118" s="2110"/>
      <c r="Y118" s="2242"/>
      <c r="Z118" s="2242"/>
      <c r="AA118" s="2242"/>
      <c r="AB118" s="2242"/>
      <c r="AC118" s="2242"/>
      <c r="AD118" s="2242"/>
      <c r="AE118" s="2242"/>
      <c r="AF118" s="2242"/>
      <c r="AG118" s="2242"/>
      <c r="AH118" s="2242"/>
      <c r="AI118" s="2242"/>
      <c r="AJ118" s="2242"/>
      <c r="AK118" s="2210"/>
      <c r="AL118" s="2224"/>
      <c r="AM118" s="2254"/>
      <c r="PO118" s="903"/>
      <c r="PP118" s="903"/>
      <c r="PQ118" s="903"/>
      <c r="PR118" s="903"/>
      <c r="PS118" s="903"/>
      <c r="PT118" s="903"/>
      <c r="PU118" s="903"/>
      <c r="PV118" s="903"/>
      <c r="PW118" s="903"/>
      <c r="PX118" s="903"/>
      <c r="PY118" s="903"/>
      <c r="PZ118" s="903"/>
      <c r="QA118" s="903"/>
      <c r="QB118" s="903"/>
      <c r="QC118" s="903"/>
      <c r="QD118" s="903"/>
      <c r="QE118" s="903"/>
      <c r="QF118" s="903"/>
      <c r="QG118" s="903"/>
      <c r="QH118" s="903"/>
      <c r="QI118" s="903"/>
      <c r="QJ118" s="903"/>
      <c r="QK118" s="903"/>
      <c r="QL118" s="903"/>
      <c r="QM118" s="903"/>
      <c r="QN118" s="903"/>
      <c r="QO118" s="903"/>
      <c r="QP118" s="903"/>
      <c r="QQ118" s="903"/>
      <c r="QR118" s="903"/>
      <c r="QS118" s="903"/>
      <c r="QT118" s="903"/>
      <c r="QU118" s="903"/>
      <c r="QV118" s="903"/>
      <c r="QW118" s="903"/>
      <c r="QX118" s="903"/>
      <c r="QY118" s="903"/>
      <c r="QZ118" s="903"/>
      <c r="RA118" s="903"/>
      <c r="RB118" s="903"/>
      <c r="RC118" s="903"/>
      <c r="RD118" s="903"/>
      <c r="RE118" s="903"/>
      <c r="RF118" s="903"/>
      <c r="RG118" s="903"/>
      <c r="RH118" s="903"/>
      <c r="RI118" s="903"/>
      <c r="RJ118" s="903"/>
      <c r="RK118" s="903"/>
      <c r="RL118" s="903"/>
      <c r="RM118" s="903"/>
      <c r="RN118" s="903"/>
      <c r="RO118" s="903"/>
      <c r="RP118" s="903"/>
    </row>
    <row r="119" spans="1:484" s="884" customFormat="1" ht="17.25" customHeight="1" x14ac:dyDescent="0.3">
      <c r="A119" s="2088"/>
      <c r="B119" s="2089"/>
      <c r="C119" s="2090"/>
      <c r="D119" s="2233"/>
      <c r="E119" s="2234"/>
      <c r="F119" s="2234"/>
      <c r="G119" s="2234"/>
      <c r="H119" s="2234"/>
      <c r="I119" s="2235"/>
      <c r="J119" s="2162"/>
      <c r="K119" s="2110"/>
      <c r="L119" s="2156"/>
      <c r="M119" s="2162"/>
      <c r="N119" s="2122"/>
      <c r="O119" s="2128"/>
      <c r="P119" s="2110"/>
      <c r="Q119" s="2251"/>
      <c r="R119" s="2218"/>
      <c r="S119" s="2110"/>
      <c r="T119" s="2110"/>
      <c r="U119" s="2111"/>
      <c r="V119" s="2154"/>
      <c r="W119" s="2122"/>
      <c r="X119" s="2110"/>
      <c r="Y119" s="2242"/>
      <c r="Z119" s="2242"/>
      <c r="AA119" s="2242"/>
      <c r="AB119" s="2242"/>
      <c r="AC119" s="2242"/>
      <c r="AD119" s="2242"/>
      <c r="AE119" s="2242"/>
      <c r="AF119" s="2242"/>
      <c r="AG119" s="2242"/>
      <c r="AH119" s="2242"/>
      <c r="AI119" s="2242"/>
      <c r="AJ119" s="2242"/>
      <c r="AK119" s="2210"/>
      <c r="AL119" s="2224"/>
      <c r="AM119" s="2254"/>
      <c r="PO119" s="903"/>
      <c r="PP119" s="903"/>
      <c r="PQ119" s="903"/>
      <c r="PR119" s="903"/>
      <c r="PS119" s="903"/>
      <c r="PT119" s="903"/>
      <c r="PU119" s="903"/>
      <c r="PV119" s="903"/>
      <c r="PW119" s="903"/>
      <c r="PX119" s="903"/>
      <c r="PY119" s="903"/>
      <c r="PZ119" s="903"/>
      <c r="QA119" s="903"/>
      <c r="QB119" s="903"/>
      <c r="QC119" s="903"/>
      <c r="QD119" s="903"/>
      <c r="QE119" s="903"/>
      <c r="QF119" s="903"/>
      <c r="QG119" s="903"/>
      <c r="QH119" s="903"/>
      <c r="QI119" s="903"/>
      <c r="QJ119" s="903"/>
      <c r="QK119" s="903"/>
      <c r="QL119" s="903"/>
      <c r="QM119" s="903"/>
      <c r="QN119" s="903"/>
      <c r="QO119" s="903"/>
      <c r="QP119" s="903"/>
      <c r="QQ119" s="903"/>
      <c r="QR119" s="903"/>
      <c r="QS119" s="903"/>
      <c r="QT119" s="903"/>
      <c r="QU119" s="903"/>
      <c r="QV119" s="903"/>
      <c r="QW119" s="903"/>
      <c r="QX119" s="903"/>
      <c r="QY119" s="903"/>
      <c r="QZ119" s="903"/>
      <c r="RA119" s="903"/>
      <c r="RB119" s="903"/>
      <c r="RC119" s="903"/>
      <c r="RD119" s="903"/>
      <c r="RE119" s="903"/>
      <c r="RF119" s="903"/>
      <c r="RG119" s="903"/>
      <c r="RH119" s="903"/>
      <c r="RI119" s="903"/>
      <c r="RJ119" s="903"/>
      <c r="RK119" s="903"/>
      <c r="RL119" s="903"/>
      <c r="RM119" s="903"/>
      <c r="RN119" s="903"/>
      <c r="RO119" s="903"/>
      <c r="RP119" s="903"/>
    </row>
    <row r="120" spans="1:484" s="884" customFormat="1" ht="17.25" customHeight="1" x14ac:dyDescent="0.3">
      <c r="A120" s="2088"/>
      <c r="B120" s="2089"/>
      <c r="C120" s="2090"/>
      <c r="D120" s="2233"/>
      <c r="E120" s="2234"/>
      <c r="F120" s="2234"/>
      <c r="G120" s="2234"/>
      <c r="H120" s="2234"/>
      <c r="I120" s="2235"/>
      <c r="J120" s="2162"/>
      <c r="K120" s="2110"/>
      <c r="L120" s="2156"/>
      <c r="M120" s="2162"/>
      <c r="N120" s="2122"/>
      <c r="O120" s="2128"/>
      <c r="P120" s="2110"/>
      <c r="Q120" s="2251"/>
      <c r="R120" s="2218"/>
      <c r="S120" s="2110"/>
      <c r="T120" s="2110"/>
      <c r="U120" s="2109" t="s">
        <v>521</v>
      </c>
      <c r="V120" s="2152">
        <f>10800000+21680000</f>
        <v>32480000</v>
      </c>
      <c r="W120" s="2122"/>
      <c r="X120" s="2110"/>
      <c r="Y120" s="2242"/>
      <c r="Z120" s="2242"/>
      <c r="AA120" s="2242"/>
      <c r="AB120" s="2242"/>
      <c r="AC120" s="2242"/>
      <c r="AD120" s="2242"/>
      <c r="AE120" s="2242"/>
      <c r="AF120" s="2242"/>
      <c r="AG120" s="2242"/>
      <c r="AH120" s="2242"/>
      <c r="AI120" s="2242"/>
      <c r="AJ120" s="2242"/>
      <c r="AK120" s="2210"/>
      <c r="AL120" s="2224"/>
      <c r="AM120" s="2254"/>
      <c r="PO120" s="903"/>
      <c r="PP120" s="903"/>
      <c r="PQ120" s="903"/>
      <c r="PR120" s="903"/>
      <c r="PS120" s="903"/>
      <c r="PT120" s="903"/>
      <c r="PU120" s="903"/>
      <c r="PV120" s="903"/>
      <c r="PW120" s="903"/>
      <c r="PX120" s="903"/>
      <c r="PY120" s="903"/>
      <c r="PZ120" s="903"/>
      <c r="QA120" s="903"/>
      <c r="QB120" s="903"/>
      <c r="QC120" s="903"/>
      <c r="QD120" s="903"/>
      <c r="QE120" s="903"/>
      <c r="QF120" s="903"/>
      <c r="QG120" s="903"/>
      <c r="QH120" s="903"/>
      <c r="QI120" s="903"/>
      <c r="QJ120" s="903"/>
      <c r="QK120" s="903"/>
      <c r="QL120" s="903"/>
      <c r="QM120" s="903"/>
      <c r="QN120" s="903"/>
      <c r="QO120" s="903"/>
      <c r="QP120" s="903"/>
      <c r="QQ120" s="903"/>
      <c r="QR120" s="903"/>
      <c r="QS120" s="903"/>
      <c r="QT120" s="903"/>
      <c r="QU120" s="903"/>
      <c r="QV120" s="903"/>
      <c r="QW120" s="903"/>
      <c r="QX120" s="903"/>
      <c r="QY120" s="903"/>
      <c r="QZ120" s="903"/>
      <c r="RA120" s="903"/>
      <c r="RB120" s="903"/>
      <c r="RC120" s="903"/>
      <c r="RD120" s="903"/>
      <c r="RE120" s="903"/>
      <c r="RF120" s="903"/>
      <c r="RG120" s="903"/>
      <c r="RH120" s="903"/>
      <c r="RI120" s="903"/>
      <c r="RJ120" s="903"/>
      <c r="RK120" s="903"/>
      <c r="RL120" s="903"/>
      <c r="RM120" s="903"/>
      <c r="RN120" s="903"/>
      <c r="RO120" s="903"/>
      <c r="RP120" s="903"/>
    </row>
    <row r="121" spans="1:484" s="884" customFormat="1" ht="17.25" customHeight="1" x14ac:dyDescent="0.3">
      <c r="A121" s="2088"/>
      <c r="B121" s="2089"/>
      <c r="C121" s="2090"/>
      <c r="D121" s="2233"/>
      <c r="E121" s="2234"/>
      <c r="F121" s="2234"/>
      <c r="G121" s="2234"/>
      <c r="H121" s="2234"/>
      <c r="I121" s="2235"/>
      <c r="J121" s="2162"/>
      <c r="K121" s="2110"/>
      <c r="L121" s="2156"/>
      <c r="M121" s="2162"/>
      <c r="N121" s="2122"/>
      <c r="O121" s="2128"/>
      <c r="P121" s="2110"/>
      <c r="Q121" s="2251"/>
      <c r="R121" s="2218"/>
      <c r="S121" s="2110"/>
      <c r="T121" s="2110"/>
      <c r="U121" s="2110"/>
      <c r="V121" s="2153"/>
      <c r="W121" s="2122"/>
      <c r="X121" s="2110"/>
      <c r="Y121" s="2242"/>
      <c r="Z121" s="2242"/>
      <c r="AA121" s="2242"/>
      <c r="AB121" s="2242"/>
      <c r="AC121" s="2242"/>
      <c r="AD121" s="2242"/>
      <c r="AE121" s="2242"/>
      <c r="AF121" s="2242"/>
      <c r="AG121" s="2242"/>
      <c r="AH121" s="2242"/>
      <c r="AI121" s="2242"/>
      <c r="AJ121" s="2242"/>
      <c r="AK121" s="2210"/>
      <c r="AL121" s="2224"/>
      <c r="AM121" s="2254"/>
      <c r="PO121" s="903"/>
      <c r="PP121" s="903"/>
      <c r="PQ121" s="903"/>
      <c r="PR121" s="903"/>
      <c r="PS121" s="903"/>
      <c r="PT121" s="903"/>
      <c r="PU121" s="903"/>
      <c r="PV121" s="903"/>
      <c r="PW121" s="903"/>
      <c r="PX121" s="903"/>
      <c r="PY121" s="903"/>
      <c r="PZ121" s="903"/>
      <c r="QA121" s="903"/>
      <c r="QB121" s="903"/>
      <c r="QC121" s="903"/>
      <c r="QD121" s="903"/>
      <c r="QE121" s="903"/>
      <c r="QF121" s="903"/>
      <c r="QG121" s="903"/>
      <c r="QH121" s="903"/>
      <c r="QI121" s="903"/>
      <c r="QJ121" s="903"/>
      <c r="QK121" s="903"/>
      <c r="QL121" s="903"/>
      <c r="QM121" s="903"/>
      <c r="QN121" s="903"/>
      <c r="QO121" s="903"/>
      <c r="QP121" s="903"/>
      <c r="QQ121" s="903"/>
      <c r="QR121" s="903"/>
      <c r="QS121" s="903"/>
      <c r="QT121" s="903"/>
      <c r="QU121" s="903"/>
      <c r="QV121" s="903"/>
      <c r="QW121" s="903"/>
      <c r="QX121" s="903"/>
      <c r="QY121" s="903"/>
      <c r="QZ121" s="903"/>
      <c r="RA121" s="903"/>
      <c r="RB121" s="903"/>
      <c r="RC121" s="903"/>
      <c r="RD121" s="903"/>
      <c r="RE121" s="903"/>
      <c r="RF121" s="903"/>
      <c r="RG121" s="903"/>
      <c r="RH121" s="903"/>
      <c r="RI121" s="903"/>
      <c r="RJ121" s="903"/>
      <c r="RK121" s="903"/>
      <c r="RL121" s="903"/>
      <c r="RM121" s="903"/>
      <c r="RN121" s="903"/>
      <c r="RO121" s="903"/>
      <c r="RP121" s="903"/>
    </row>
    <row r="122" spans="1:484" s="884" customFormat="1" ht="17.25" customHeight="1" x14ac:dyDescent="0.3">
      <c r="A122" s="2088"/>
      <c r="B122" s="2089"/>
      <c r="C122" s="2090"/>
      <c r="D122" s="2233"/>
      <c r="E122" s="2234"/>
      <c r="F122" s="2234"/>
      <c r="G122" s="2234"/>
      <c r="H122" s="2234"/>
      <c r="I122" s="2235"/>
      <c r="J122" s="2163"/>
      <c r="K122" s="2111"/>
      <c r="L122" s="2157"/>
      <c r="M122" s="2163"/>
      <c r="N122" s="2123"/>
      <c r="O122" s="2129"/>
      <c r="P122" s="2111"/>
      <c r="Q122" s="2252"/>
      <c r="R122" s="2219"/>
      <c r="S122" s="2111"/>
      <c r="T122" s="2111"/>
      <c r="U122" s="2111"/>
      <c r="V122" s="2154"/>
      <c r="W122" s="2123"/>
      <c r="X122" s="2111"/>
      <c r="Y122" s="2243"/>
      <c r="Z122" s="2243"/>
      <c r="AA122" s="2243"/>
      <c r="AB122" s="2243"/>
      <c r="AC122" s="2243"/>
      <c r="AD122" s="2243"/>
      <c r="AE122" s="2243"/>
      <c r="AF122" s="2243"/>
      <c r="AG122" s="2243"/>
      <c r="AH122" s="2243"/>
      <c r="AI122" s="2243"/>
      <c r="AJ122" s="2243"/>
      <c r="AK122" s="2211"/>
      <c r="AL122" s="2224"/>
      <c r="AM122" s="2254"/>
      <c r="PO122" s="903"/>
      <c r="PP122" s="903"/>
      <c r="PQ122" s="903"/>
      <c r="PR122" s="903"/>
      <c r="PS122" s="903"/>
      <c r="PT122" s="903"/>
      <c r="PU122" s="903"/>
      <c r="PV122" s="903"/>
      <c r="PW122" s="903"/>
      <c r="PX122" s="903"/>
      <c r="PY122" s="903"/>
      <c r="PZ122" s="903"/>
      <c r="QA122" s="903"/>
      <c r="QB122" s="903"/>
      <c r="QC122" s="903"/>
      <c r="QD122" s="903"/>
      <c r="QE122" s="903"/>
      <c r="QF122" s="903"/>
      <c r="QG122" s="903"/>
      <c r="QH122" s="903"/>
      <c r="QI122" s="903"/>
      <c r="QJ122" s="903"/>
      <c r="QK122" s="903"/>
      <c r="QL122" s="903"/>
      <c r="QM122" s="903"/>
      <c r="QN122" s="903"/>
      <c r="QO122" s="903"/>
      <c r="QP122" s="903"/>
      <c r="QQ122" s="903"/>
      <c r="QR122" s="903"/>
      <c r="QS122" s="903"/>
      <c r="QT122" s="903"/>
      <c r="QU122" s="903"/>
      <c r="QV122" s="903"/>
      <c r="QW122" s="903"/>
      <c r="QX122" s="903"/>
      <c r="QY122" s="903"/>
      <c r="QZ122" s="903"/>
      <c r="RA122" s="903"/>
      <c r="RB122" s="903"/>
      <c r="RC122" s="903"/>
      <c r="RD122" s="903"/>
      <c r="RE122" s="903"/>
      <c r="RF122" s="903"/>
      <c r="RG122" s="903"/>
      <c r="RH122" s="903"/>
      <c r="RI122" s="903"/>
      <c r="RJ122" s="903"/>
      <c r="RK122" s="903"/>
      <c r="RL122" s="903"/>
      <c r="RM122" s="903"/>
      <c r="RN122" s="903"/>
      <c r="RO122" s="903"/>
      <c r="RP122" s="903"/>
    </row>
    <row r="123" spans="1:484" s="884" customFormat="1" ht="17.25" customHeight="1" x14ac:dyDescent="0.3">
      <c r="A123" s="2088"/>
      <c r="B123" s="2089"/>
      <c r="C123" s="2090"/>
      <c r="D123" s="2233"/>
      <c r="E123" s="2234"/>
      <c r="F123" s="2234"/>
      <c r="G123" s="2234"/>
      <c r="H123" s="2234"/>
      <c r="I123" s="2235"/>
      <c r="J123" s="2100">
        <v>13</v>
      </c>
      <c r="K123" s="2102" t="s">
        <v>522</v>
      </c>
      <c r="L123" s="2103"/>
      <c r="M123" s="2103"/>
      <c r="N123" s="2103"/>
      <c r="O123" s="885"/>
      <c r="P123" s="885"/>
      <c r="Q123" s="885"/>
      <c r="R123" s="886"/>
      <c r="S123" s="887"/>
      <c r="T123" s="887"/>
      <c r="U123" s="887"/>
      <c r="V123" s="886"/>
      <c r="W123" s="885"/>
      <c r="X123" s="885"/>
      <c r="Y123" s="885"/>
      <c r="Z123" s="885"/>
      <c r="AA123" s="885"/>
      <c r="AB123" s="885"/>
      <c r="AC123" s="885"/>
      <c r="AD123" s="885"/>
      <c r="AE123" s="885"/>
      <c r="AF123" s="885"/>
      <c r="AG123" s="885"/>
      <c r="AH123" s="885"/>
      <c r="AI123" s="885"/>
      <c r="AJ123" s="885"/>
      <c r="AK123" s="2171"/>
      <c r="AL123" s="2171"/>
      <c r="AM123" s="2176"/>
    </row>
    <row r="124" spans="1:484" s="884" customFormat="1" ht="17.25" customHeight="1" x14ac:dyDescent="0.3">
      <c r="A124" s="2088"/>
      <c r="B124" s="2089"/>
      <c r="C124" s="2090"/>
      <c r="D124" s="2233"/>
      <c r="E124" s="2234"/>
      <c r="F124" s="2234"/>
      <c r="G124" s="2234"/>
      <c r="H124" s="2234"/>
      <c r="I124" s="2235"/>
      <c r="J124" s="2101"/>
      <c r="K124" s="2104"/>
      <c r="L124" s="2105"/>
      <c r="M124" s="2105"/>
      <c r="N124" s="2105"/>
      <c r="O124" s="888"/>
      <c r="P124" s="888"/>
      <c r="Q124" s="888"/>
      <c r="R124" s="889"/>
      <c r="S124" s="890"/>
      <c r="T124" s="890"/>
      <c r="U124" s="890"/>
      <c r="V124" s="889"/>
      <c r="W124" s="888"/>
      <c r="X124" s="888"/>
      <c r="Y124" s="888"/>
      <c r="Z124" s="888"/>
      <c r="AA124" s="888"/>
      <c r="AB124" s="888"/>
      <c r="AC124" s="888"/>
      <c r="AD124" s="888"/>
      <c r="AE124" s="888"/>
      <c r="AF124" s="888"/>
      <c r="AG124" s="888"/>
      <c r="AH124" s="888"/>
      <c r="AI124" s="888"/>
      <c r="AJ124" s="888"/>
      <c r="AK124" s="2172"/>
      <c r="AL124" s="2172"/>
      <c r="AM124" s="2177"/>
    </row>
    <row r="125" spans="1:484" s="884" customFormat="1" ht="17.25" customHeight="1" x14ac:dyDescent="0.3">
      <c r="A125" s="2088"/>
      <c r="B125" s="2089"/>
      <c r="C125" s="2090"/>
      <c r="D125" s="2233"/>
      <c r="E125" s="2234"/>
      <c r="F125" s="2234"/>
      <c r="G125" s="2234"/>
      <c r="H125" s="2234"/>
      <c r="I125" s="2235"/>
      <c r="J125" s="2161">
        <v>53</v>
      </c>
      <c r="K125" s="2109" t="s">
        <v>523</v>
      </c>
      <c r="L125" s="2155" t="s">
        <v>16</v>
      </c>
      <c r="M125" s="2161">
        <v>1</v>
      </c>
      <c r="N125" s="2121" t="s">
        <v>524</v>
      </c>
      <c r="O125" s="2127" t="s">
        <v>525</v>
      </c>
      <c r="P125" s="2109" t="s">
        <v>526</v>
      </c>
      <c r="Q125" s="2112">
        <f>+R125/868209563</f>
        <v>1</v>
      </c>
      <c r="R125" s="2217">
        <f>+V125</f>
        <v>868209563</v>
      </c>
      <c r="S125" s="2109" t="s">
        <v>527</v>
      </c>
      <c r="T125" s="2109" t="s">
        <v>528</v>
      </c>
      <c r="U125" s="2109" t="s">
        <v>529</v>
      </c>
      <c r="V125" s="2152">
        <f>729502600+138706963</f>
        <v>868209563</v>
      </c>
      <c r="W125" s="2121" t="s">
        <v>530</v>
      </c>
      <c r="X125" s="2109" t="s">
        <v>531</v>
      </c>
      <c r="Y125" s="2255">
        <v>64149</v>
      </c>
      <c r="Z125" s="2255">
        <v>72224</v>
      </c>
      <c r="AA125" s="2255">
        <v>27477</v>
      </c>
      <c r="AB125" s="2255">
        <v>86843</v>
      </c>
      <c r="AC125" s="2255">
        <v>236429</v>
      </c>
      <c r="AD125" s="2255">
        <v>81384</v>
      </c>
      <c r="AE125" s="2255">
        <v>13208</v>
      </c>
      <c r="AF125" s="2255">
        <v>1827</v>
      </c>
      <c r="AG125" s="2256"/>
      <c r="AH125" s="2256"/>
      <c r="AI125" s="2255">
        <v>16897</v>
      </c>
      <c r="AJ125" s="2255">
        <v>81384</v>
      </c>
      <c r="AK125" s="2209">
        <v>42745</v>
      </c>
      <c r="AL125" s="2224">
        <v>43100</v>
      </c>
      <c r="AM125" s="2246" t="s">
        <v>463</v>
      </c>
    </row>
    <row r="126" spans="1:484" s="884" customFormat="1" ht="17.25" customHeight="1" x14ac:dyDescent="0.3">
      <c r="A126" s="2088"/>
      <c r="B126" s="2089"/>
      <c r="C126" s="2090"/>
      <c r="D126" s="2233"/>
      <c r="E126" s="2234"/>
      <c r="F126" s="2234"/>
      <c r="G126" s="2234"/>
      <c r="H126" s="2234"/>
      <c r="I126" s="2235"/>
      <c r="J126" s="2162"/>
      <c r="K126" s="2110"/>
      <c r="L126" s="2156"/>
      <c r="M126" s="2162"/>
      <c r="N126" s="2122"/>
      <c r="O126" s="2128"/>
      <c r="P126" s="2110"/>
      <c r="Q126" s="2113"/>
      <c r="R126" s="2218"/>
      <c r="S126" s="2110"/>
      <c r="T126" s="2110"/>
      <c r="U126" s="2110"/>
      <c r="V126" s="2153"/>
      <c r="W126" s="2122"/>
      <c r="X126" s="2110"/>
      <c r="Y126" s="2255"/>
      <c r="Z126" s="2255"/>
      <c r="AA126" s="2255"/>
      <c r="AB126" s="2255"/>
      <c r="AC126" s="2255"/>
      <c r="AD126" s="2255"/>
      <c r="AE126" s="2255"/>
      <c r="AF126" s="2255"/>
      <c r="AG126" s="2256"/>
      <c r="AH126" s="2256"/>
      <c r="AI126" s="2255"/>
      <c r="AJ126" s="2255"/>
      <c r="AK126" s="2210"/>
      <c r="AL126" s="2224"/>
      <c r="AM126" s="2246"/>
    </row>
    <row r="127" spans="1:484" s="884" customFormat="1" ht="17.25" customHeight="1" x14ac:dyDescent="0.3">
      <c r="A127" s="2088"/>
      <c r="B127" s="2089"/>
      <c r="C127" s="2090"/>
      <c r="D127" s="2233"/>
      <c r="E127" s="2234"/>
      <c r="F127" s="2234"/>
      <c r="G127" s="2234"/>
      <c r="H127" s="2234"/>
      <c r="I127" s="2235"/>
      <c r="J127" s="2162"/>
      <c r="K127" s="2110"/>
      <c r="L127" s="2156"/>
      <c r="M127" s="2162"/>
      <c r="N127" s="2122"/>
      <c r="O127" s="2128"/>
      <c r="P127" s="2110"/>
      <c r="Q127" s="2113"/>
      <c r="R127" s="2218"/>
      <c r="S127" s="2110"/>
      <c r="T127" s="2110"/>
      <c r="U127" s="2110"/>
      <c r="V127" s="2153"/>
      <c r="W127" s="2122"/>
      <c r="X127" s="2110"/>
      <c r="Y127" s="2255"/>
      <c r="Z127" s="2255"/>
      <c r="AA127" s="2255"/>
      <c r="AB127" s="2255"/>
      <c r="AC127" s="2255"/>
      <c r="AD127" s="2255"/>
      <c r="AE127" s="2255"/>
      <c r="AF127" s="2255"/>
      <c r="AG127" s="2256"/>
      <c r="AH127" s="2256"/>
      <c r="AI127" s="2255"/>
      <c r="AJ127" s="2255"/>
      <c r="AK127" s="2210"/>
      <c r="AL127" s="2224"/>
      <c r="AM127" s="2246"/>
    </row>
    <row r="128" spans="1:484" s="884" customFormat="1" ht="17.25" customHeight="1" x14ac:dyDescent="0.3">
      <c r="A128" s="2088"/>
      <c r="B128" s="2089"/>
      <c r="C128" s="2090"/>
      <c r="D128" s="2233"/>
      <c r="E128" s="2234"/>
      <c r="F128" s="2234"/>
      <c r="G128" s="2234"/>
      <c r="H128" s="2234"/>
      <c r="I128" s="2235"/>
      <c r="J128" s="2162"/>
      <c r="K128" s="2110"/>
      <c r="L128" s="2156"/>
      <c r="M128" s="2162"/>
      <c r="N128" s="2122"/>
      <c r="O128" s="2128"/>
      <c r="P128" s="2110"/>
      <c r="Q128" s="2113"/>
      <c r="R128" s="2218"/>
      <c r="S128" s="2110"/>
      <c r="T128" s="2110"/>
      <c r="U128" s="2110"/>
      <c r="V128" s="2153"/>
      <c r="W128" s="2122"/>
      <c r="X128" s="2110"/>
      <c r="Y128" s="2255"/>
      <c r="Z128" s="2255"/>
      <c r="AA128" s="2255"/>
      <c r="AB128" s="2255"/>
      <c r="AC128" s="2255"/>
      <c r="AD128" s="2255"/>
      <c r="AE128" s="2255"/>
      <c r="AF128" s="2255"/>
      <c r="AG128" s="2256"/>
      <c r="AH128" s="2256"/>
      <c r="AI128" s="2255"/>
      <c r="AJ128" s="2255"/>
      <c r="AK128" s="2210"/>
      <c r="AL128" s="2224"/>
      <c r="AM128" s="2246"/>
    </row>
    <row r="129" spans="1:60" s="884" customFormat="1" ht="17.25" customHeight="1" x14ac:dyDescent="0.3">
      <c r="A129" s="2088"/>
      <c r="B129" s="2089"/>
      <c r="C129" s="2090"/>
      <c r="D129" s="2233"/>
      <c r="E129" s="2234"/>
      <c r="F129" s="2234"/>
      <c r="G129" s="2234"/>
      <c r="H129" s="2234"/>
      <c r="I129" s="2235"/>
      <c r="J129" s="2162"/>
      <c r="K129" s="2110"/>
      <c r="L129" s="2156"/>
      <c r="M129" s="2162"/>
      <c r="N129" s="2122"/>
      <c r="O129" s="2128"/>
      <c r="P129" s="2110"/>
      <c r="Q129" s="2113"/>
      <c r="R129" s="2218"/>
      <c r="S129" s="2110"/>
      <c r="T129" s="2110"/>
      <c r="U129" s="2110"/>
      <c r="V129" s="2153"/>
      <c r="W129" s="2122"/>
      <c r="X129" s="2110"/>
      <c r="Y129" s="2255"/>
      <c r="Z129" s="2255"/>
      <c r="AA129" s="2255"/>
      <c r="AB129" s="2255"/>
      <c r="AC129" s="2255"/>
      <c r="AD129" s="2255"/>
      <c r="AE129" s="2255"/>
      <c r="AF129" s="2255"/>
      <c r="AG129" s="2256"/>
      <c r="AH129" s="2256"/>
      <c r="AI129" s="2255"/>
      <c r="AJ129" s="2255"/>
      <c r="AK129" s="2210"/>
      <c r="AL129" s="2224"/>
      <c r="AM129" s="2246"/>
    </row>
    <row r="130" spans="1:60" s="884" customFormat="1" ht="17.25" customHeight="1" x14ac:dyDescent="0.3">
      <c r="A130" s="2088"/>
      <c r="B130" s="2089"/>
      <c r="C130" s="2090"/>
      <c r="D130" s="2233"/>
      <c r="E130" s="2234"/>
      <c r="F130" s="2234"/>
      <c r="G130" s="2234"/>
      <c r="H130" s="2234"/>
      <c r="I130" s="2235"/>
      <c r="J130" s="2162"/>
      <c r="K130" s="2110"/>
      <c r="L130" s="2156"/>
      <c r="M130" s="2162"/>
      <c r="N130" s="2122"/>
      <c r="O130" s="2128"/>
      <c r="P130" s="2110"/>
      <c r="Q130" s="2113"/>
      <c r="R130" s="2218"/>
      <c r="S130" s="2110"/>
      <c r="T130" s="2110"/>
      <c r="U130" s="2110"/>
      <c r="V130" s="2153"/>
      <c r="W130" s="2122"/>
      <c r="X130" s="2110"/>
      <c r="Y130" s="2255"/>
      <c r="Z130" s="2255"/>
      <c r="AA130" s="2255"/>
      <c r="AB130" s="2255"/>
      <c r="AC130" s="2255"/>
      <c r="AD130" s="2255"/>
      <c r="AE130" s="2255"/>
      <c r="AF130" s="2255"/>
      <c r="AG130" s="2256"/>
      <c r="AH130" s="2256"/>
      <c r="AI130" s="2255"/>
      <c r="AJ130" s="2255"/>
      <c r="AK130" s="2210"/>
      <c r="AL130" s="2224"/>
      <c r="AM130" s="2246"/>
    </row>
    <row r="131" spans="1:60" s="884" customFormat="1" ht="17.25" customHeight="1" x14ac:dyDescent="0.3">
      <c r="A131" s="2088"/>
      <c r="B131" s="2089"/>
      <c r="C131" s="2090"/>
      <c r="D131" s="2233"/>
      <c r="E131" s="2234"/>
      <c r="F131" s="2234"/>
      <c r="G131" s="2234"/>
      <c r="H131" s="2234"/>
      <c r="I131" s="2235"/>
      <c r="J131" s="2162"/>
      <c r="K131" s="2110"/>
      <c r="L131" s="2156"/>
      <c r="M131" s="2162"/>
      <c r="N131" s="2122"/>
      <c r="O131" s="2128"/>
      <c r="P131" s="2110"/>
      <c r="Q131" s="2113"/>
      <c r="R131" s="2218"/>
      <c r="S131" s="2110"/>
      <c r="T131" s="2110"/>
      <c r="U131" s="2110"/>
      <c r="V131" s="2153"/>
      <c r="W131" s="2122"/>
      <c r="X131" s="2110"/>
      <c r="Y131" s="2255"/>
      <c r="Z131" s="2255"/>
      <c r="AA131" s="2255"/>
      <c r="AB131" s="2255"/>
      <c r="AC131" s="2255"/>
      <c r="AD131" s="2255"/>
      <c r="AE131" s="2255"/>
      <c r="AF131" s="2255"/>
      <c r="AG131" s="2256"/>
      <c r="AH131" s="2256"/>
      <c r="AI131" s="2255"/>
      <c r="AJ131" s="2255"/>
      <c r="AK131" s="2210"/>
      <c r="AL131" s="2224"/>
      <c r="AM131" s="2246"/>
    </row>
    <row r="132" spans="1:60" s="884" customFormat="1" ht="25.5" customHeight="1" x14ac:dyDescent="0.3">
      <c r="A132" s="2091"/>
      <c r="B132" s="2092"/>
      <c r="C132" s="2093"/>
      <c r="D132" s="2236"/>
      <c r="E132" s="2237"/>
      <c r="F132" s="2237"/>
      <c r="G132" s="2237"/>
      <c r="H132" s="2237"/>
      <c r="I132" s="2238"/>
      <c r="J132" s="2163"/>
      <c r="K132" s="2111"/>
      <c r="L132" s="2157"/>
      <c r="M132" s="2163"/>
      <c r="N132" s="2123"/>
      <c r="O132" s="2129"/>
      <c r="P132" s="2111"/>
      <c r="Q132" s="2114"/>
      <c r="R132" s="2219"/>
      <c r="S132" s="2111"/>
      <c r="T132" s="2111"/>
      <c r="U132" s="2111"/>
      <c r="V132" s="2154"/>
      <c r="W132" s="2123"/>
      <c r="X132" s="2111"/>
      <c r="Y132" s="2255"/>
      <c r="Z132" s="2255"/>
      <c r="AA132" s="2255"/>
      <c r="AB132" s="2255"/>
      <c r="AC132" s="2255"/>
      <c r="AD132" s="2255"/>
      <c r="AE132" s="2255"/>
      <c r="AF132" s="2255"/>
      <c r="AG132" s="2256"/>
      <c r="AH132" s="2256"/>
      <c r="AI132" s="2255"/>
      <c r="AJ132" s="2255"/>
      <c r="AK132" s="2211"/>
      <c r="AL132" s="2224"/>
      <c r="AM132" s="2246"/>
    </row>
    <row r="133" spans="1:60" ht="36.75" customHeight="1" x14ac:dyDescent="0.3">
      <c r="A133" s="905"/>
      <c r="B133" s="906"/>
      <c r="C133" s="906"/>
      <c r="D133" s="906"/>
      <c r="E133" s="906"/>
      <c r="F133" s="906"/>
      <c r="G133" s="906"/>
      <c r="H133" s="906"/>
      <c r="I133" s="906"/>
      <c r="J133" s="906"/>
      <c r="K133" s="906"/>
      <c r="L133" s="906"/>
      <c r="M133" s="906"/>
      <c r="N133" s="906"/>
      <c r="O133" s="2257" t="s">
        <v>120</v>
      </c>
      <c r="P133" s="2257"/>
      <c r="Q133" s="2258"/>
      <c r="R133" s="907">
        <f>+R21+R26+R31+R48+R55+R61+R68+R74+R82+R88+R92+R100+R106+R110+R125+R39</f>
        <v>2460109563</v>
      </c>
      <c r="S133" s="908"/>
      <c r="T133" s="909"/>
      <c r="U133" s="910"/>
      <c r="V133" s="907">
        <f>SUM(V21:V132)</f>
        <v>2460109563</v>
      </c>
      <c r="W133" s="911"/>
      <c r="X133" s="912"/>
      <c r="Y133" s="912"/>
      <c r="Z133" s="912"/>
      <c r="AA133" s="912"/>
      <c r="AB133" s="912"/>
      <c r="AC133" s="912"/>
      <c r="AD133" s="912"/>
      <c r="AE133" s="912"/>
      <c r="AF133" s="912"/>
      <c r="AG133" s="912"/>
      <c r="AH133" s="912"/>
      <c r="AI133" s="912"/>
      <c r="AJ133" s="912"/>
      <c r="AK133" s="913"/>
      <c r="AL133" s="914"/>
      <c r="AM133" s="915"/>
    </row>
    <row r="134" spans="1:60" ht="17.25" customHeight="1" x14ac:dyDescent="0.3">
      <c r="R134" s="918"/>
    </row>
    <row r="135" spans="1:60" s="924" customFormat="1" ht="21.75" customHeight="1" x14ac:dyDescent="0.25">
      <c r="E135" s="925" t="s">
        <v>532</v>
      </c>
      <c r="F135" s="925"/>
      <c r="G135" s="925"/>
      <c r="H135" s="925"/>
      <c r="I135" s="925"/>
      <c r="P135" s="926"/>
      <c r="Q135" s="927"/>
      <c r="R135" s="928"/>
      <c r="S135" s="929"/>
      <c r="V135" s="930"/>
      <c r="W135" s="931"/>
      <c r="X135" s="931"/>
      <c r="Y135" s="931"/>
      <c r="Z135" s="932"/>
      <c r="AM135" s="933"/>
      <c r="AW135" s="928"/>
      <c r="AX135" s="928"/>
      <c r="AY135" s="928"/>
      <c r="AZ135" s="934"/>
      <c r="BA135" s="928"/>
      <c r="BB135" s="928"/>
      <c r="BC135" s="935"/>
      <c r="BD135" s="935"/>
      <c r="BE135" s="936"/>
      <c r="BF135" s="936"/>
      <c r="BG135" s="933"/>
      <c r="BH135" s="933"/>
    </row>
    <row r="136" spans="1:60" s="924" customFormat="1" ht="22.5" customHeight="1" x14ac:dyDescent="0.3">
      <c r="E136" s="875" t="s">
        <v>533</v>
      </c>
      <c r="F136" s="875"/>
      <c r="G136" s="875"/>
      <c r="H136" s="875"/>
      <c r="I136" s="875"/>
      <c r="P136" s="926"/>
      <c r="Q136" s="927"/>
      <c r="R136" s="928"/>
      <c r="S136" s="929"/>
      <c r="V136" s="937"/>
      <c r="W136" s="931"/>
      <c r="X136" s="931"/>
      <c r="Y136" s="931"/>
      <c r="Z136" s="932"/>
      <c r="AM136" s="933"/>
      <c r="AW136" s="928"/>
      <c r="AX136" s="928"/>
      <c r="AY136" s="928"/>
      <c r="AZ136" s="934"/>
      <c r="BA136" s="928"/>
      <c r="BB136" s="928"/>
      <c r="BC136" s="935"/>
      <c r="BD136" s="935"/>
      <c r="BE136" s="936"/>
      <c r="BF136" s="936"/>
      <c r="BG136" s="933"/>
      <c r="BH136" s="933"/>
    </row>
    <row r="137" spans="1:60" ht="17.25" customHeight="1" x14ac:dyDescent="0.3">
      <c r="R137" s="918"/>
      <c r="V137" s="937"/>
    </row>
    <row r="138" spans="1:60" ht="17.25" customHeight="1" x14ac:dyDescent="0.3">
      <c r="R138" s="918"/>
    </row>
    <row r="139" spans="1:60" ht="17.25" customHeight="1" x14ac:dyDescent="0.3">
      <c r="R139" s="918"/>
      <c r="V139" s="938"/>
    </row>
    <row r="140" spans="1:60" ht="17.25" customHeight="1" x14ac:dyDescent="0.3">
      <c r="R140" s="918"/>
    </row>
    <row r="141" spans="1:60" ht="17.25" customHeight="1" x14ac:dyDescent="0.3">
      <c r="R141" s="918"/>
    </row>
  </sheetData>
  <mergeCells count="401">
    <mergeCell ref="AG8:AG14"/>
    <mergeCell ref="AH8:AH14"/>
    <mergeCell ref="AI8:AI14"/>
    <mergeCell ref="AJ8:AJ14"/>
    <mergeCell ref="AK7:AK14"/>
    <mergeCell ref="AL7:AL14"/>
    <mergeCell ref="A1:AK2"/>
    <mergeCell ref="A3:AK3"/>
    <mergeCell ref="A4:AK4"/>
    <mergeCell ref="M7:M14"/>
    <mergeCell ref="V7:V14"/>
    <mergeCell ref="Y8:Y14"/>
    <mergeCell ref="Z8:Z14"/>
    <mergeCell ref="AA8:AA14"/>
    <mergeCell ref="AB8:AB14"/>
    <mergeCell ref="AC8:AC14"/>
    <mergeCell ref="AD8:AD14"/>
    <mergeCell ref="AE8:AE14"/>
    <mergeCell ref="A5:M6"/>
    <mergeCell ref="N5:AM5"/>
    <mergeCell ref="Y6:AM6"/>
    <mergeCell ref="AM7:AM14"/>
    <mergeCell ref="AM125:AM132"/>
    <mergeCell ref="O133:Q133"/>
    <mergeCell ref="AH125:AH132"/>
    <mergeCell ref="AI125:AI132"/>
    <mergeCell ref="AJ125:AJ132"/>
    <mergeCell ref="AE125:AE132"/>
    <mergeCell ref="AF125:AF132"/>
    <mergeCell ref="AB125:AB132"/>
    <mergeCell ref="AC125:AC132"/>
    <mergeCell ref="AD125:AD132"/>
    <mergeCell ref="AK125:AK132"/>
    <mergeCell ref="AL125:AL132"/>
    <mergeCell ref="O125:O132"/>
    <mergeCell ref="P125:P132"/>
    <mergeCell ref="Q125:Q132"/>
    <mergeCell ref="R125:R132"/>
    <mergeCell ref="S125:S132"/>
    <mergeCell ref="T125:T132"/>
    <mergeCell ref="AL123:AL124"/>
    <mergeCell ref="AK110:AK122"/>
    <mergeCell ref="AL110:AL122"/>
    <mergeCell ref="AJ110:AJ122"/>
    <mergeCell ref="Y125:Y132"/>
    <mergeCell ref="Z125:Z132"/>
    <mergeCell ref="AA125:AA132"/>
    <mergeCell ref="U125:U132"/>
    <mergeCell ref="V125:V132"/>
    <mergeCell ref="W125:W132"/>
    <mergeCell ref="X125:X132"/>
    <mergeCell ref="AG125:AG132"/>
    <mergeCell ref="X110:X122"/>
    <mergeCell ref="Y110:Y122"/>
    <mergeCell ref="Z110:Z122"/>
    <mergeCell ref="AM123:AM124"/>
    <mergeCell ref="J125:J132"/>
    <mergeCell ref="K125:K132"/>
    <mergeCell ref="L125:L132"/>
    <mergeCell ref="M125:M132"/>
    <mergeCell ref="N125:N132"/>
    <mergeCell ref="V120:V122"/>
    <mergeCell ref="J123:J124"/>
    <mergeCell ref="K123:N124"/>
    <mergeCell ref="AK123:AK124"/>
    <mergeCell ref="AM110:AM122"/>
    <mergeCell ref="U113:U114"/>
    <mergeCell ref="V113:V114"/>
    <mergeCell ref="U115:U116"/>
    <mergeCell ref="V115:V116"/>
    <mergeCell ref="AG110:AG122"/>
    <mergeCell ref="AH110:AH122"/>
    <mergeCell ref="AI110:AI122"/>
    <mergeCell ref="AD110:AD122"/>
    <mergeCell ref="AE110:AE122"/>
    <mergeCell ref="AF110:AF122"/>
    <mergeCell ref="AB110:AB122"/>
    <mergeCell ref="AC110:AC122"/>
    <mergeCell ref="W110:W122"/>
    <mergeCell ref="AM108:AM109"/>
    <mergeCell ref="J110:J122"/>
    <mergeCell ref="K110:K122"/>
    <mergeCell ref="L110:L122"/>
    <mergeCell ref="M110:M122"/>
    <mergeCell ref="N110:N122"/>
    <mergeCell ref="O110:O122"/>
    <mergeCell ref="P110:P122"/>
    <mergeCell ref="Q110:Q122"/>
    <mergeCell ref="R110:R122"/>
    <mergeCell ref="S110:S122"/>
    <mergeCell ref="T110:T122"/>
    <mergeCell ref="U110:U112"/>
    <mergeCell ref="V110:V112"/>
    <mergeCell ref="U117:U119"/>
    <mergeCell ref="V117:V119"/>
    <mergeCell ref="U120:U122"/>
    <mergeCell ref="AA110:AA122"/>
    <mergeCell ref="AK108:AK109"/>
    <mergeCell ref="AL108:AL109"/>
    <mergeCell ref="O100:O107"/>
    <mergeCell ref="P100:P107"/>
    <mergeCell ref="Q100:Q105"/>
    <mergeCell ref="R100:R105"/>
    <mergeCell ref="S100:S107"/>
    <mergeCell ref="T100:T107"/>
    <mergeCell ref="Q106:Q107"/>
    <mergeCell ref="R106:R107"/>
    <mergeCell ref="AK106:AK107"/>
    <mergeCell ref="AJ100:AJ107"/>
    <mergeCell ref="AE100:AE107"/>
    <mergeCell ref="AF100:AF107"/>
    <mergeCell ref="AG100:AG107"/>
    <mergeCell ref="AB100:AB107"/>
    <mergeCell ref="AC100:AC107"/>
    <mergeCell ref="AD100:AD107"/>
    <mergeCell ref="AK100:AK105"/>
    <mergeCell ref="AM97:AM98"/>
    <mergeCell ref="Y100:Y107"/>
    <mergeCell ref="Z100:Z107"/>
    <mergeCell ref="AA100:AA107"/>
    <mergeCell ref="U100:U105"/>
    <mergeCell ref="V100:V105"/>
    <mergeCell ref="W100:W107"/>
    <mergeCell ref="X100:X107"/>
    <mergeCell ref="U106:U107"/>
    <mergeCell ref="V106:V107"/>
    <mergeCell ref="AK97:AK98"/>
    <mergeCell ref="AL97:AL98"/>
    <mergeCell ref="AM100:AM107"/>
    <mergeCell ref="AH100:AH107"/>
    <mergeCell ref="AI100:AI107"/>
    <mergeCell ref="AL106:AL107"/>
    <mergeCell ref="AL100:AL105"/>
    <mergeCell ref="D99:I99"/>
    <mergeCell ref="K99:N99"/>
    <mergeCell ref="D100:I132"/>
    <mergeCell ref="J100:J105"/>
    <mergeCell ref="K100:K105"/>
    <mergeCell ref="L100:L105"/>
    <mergeCell ref="M100:M105"/>
    <mergeCell ref="N100:N107"/>
    <mergeCell ref="D97:D98"/>
    <mergeCell ref="E97:K98"/>
    <mergeCell ref="J106:J107"/>
    <mergeCell ref="K106:K107"/>
    <mergeCell ref="L106:L107"/>
    <mergeCell ref="M106:M107"/>
    <mergeCell ref="J108:J109"/>
    <mergeCell ref="K108:M109"/>
    <mergeCell ref="AK92:AK96"/>
    <mergeCell ref="AL92:AL96"/>
    <mergeCell ref="W82:W96"/>
    <mergeCell ref="X82:X96"/>
    <mergeCell ref="Y82:Y96"/>
    <mergeCell ref="Q82:Q87"/>
    <mergeCell ref="R82:R87"/>
    <mergeCell ref="S82:S96"/>
    <mergeCell ref="T82:T87"/>
    <mergeCell ref="AL88:AL91"/>
    <mergeCell ref="AE82:AE96"/>
    <mergeCell ref="AL82:AL87"/>
    <mergeCell ref="AG82:AG96"/>
    <mergeCell ref="AH82:AH96"/>
    <mergeCell ref="G80:G81"/>
    <mergeCell ref="H80:L81"/>
    <mergeCell ref="AK80:AK81"/>
    <mergeCell ref="AL80:AL81"/>
    <mergeCell ref="AM82:AM96"/>
    <mergeCell ref="J88:J91"/>
    <mergeCell ref="K88:K91"/>
    <mergeCell ref="M88:M91"/>
    <mergeCell ref="Q88:Q91"/>
    <mergeCell ref="R88:R91"/>
    <mergeCell ref="T88:T96"/>
    <mergeCell ref="AK82:AK87"/>
    <mergeCell ref="AK88:AK91"/>
    <mergeCell ref="AI82:AI96"/>
    <mergeCell ref="AJ82:AJ96"/>
    <mergeCell ref="U82:U87"/>
    <mergeCell ref="V82:V87"/>
    <mergeCell ref="U88:U91"/>
    <mergeCell ref="V88:V91"/>
    <mergeCell ref="J92:J96"/>
    <mergeCell ref="K92:K96"/>
    <mergeCell ref="M92:M96"/>
    <mergeCell ref="G82:I96"/>
    <mergeCell ref="J82:J87"/>
    <mergeCell ref="K82:K87"/>
    <mergeCell ref="L82:L96"/>
    <mergeCell ref="M82:M87"/>
    <mergeCell ref="N82:N96"/>
    <mergeCell ref="O82:O96"/>
    <mergeCell ref="P82:P96"/>
    <mergeCell ref="AF82:AF96"/>
    <mergeCell ref="Q92:Q96"/>
    <mergeCell ref="R92:R96"/>
    <mergeCell ref="U92:U96"/>
    <mergeCell ref="V92:V96"/>
    <mergeCell ref="AC82:AC96"/>
    <mergeCell ref="AD82:AD96"/>
    <mergeCell ref="Z82:Z96"/>
    <mergeCell ref="AA82:AA96"/>
    <mergeCell ref="AB82:AB96"/>
    <mergeCell ref="R74:R79"/>
    <mergeCell ref="U74:U79"/>
    <mergeCell ref="V74:V79"/>
    <mergeCell ref="J74:J79"/>
    <mergeCell ref="K74:K79"/>
    <mergeCell ref="L74:L79"/>
    <mergeCell ref="M74:M79"/>
    <mergeCell ref="Q74:Q79"/>
    <mergeCell ref="AM80:AM81"/>
    <mergeCell ref="AL68:AL73"/>
    <mergeCell ref="U71:U73"/>
    <mergeCell ref="V71:V73"/>
    <mergeCell ref="AK68:AK73"/>
    <mergeCell ref="AH55:AH79"/>
    <mergeCell ref="AC55:AC79"/>
    <mergeCell ref="AD55:AD79"/>
    <mergeCell ref="AE55:AE79"/>
    <mergeCell ref="Z55:Z79"/>
    <mergeCell ref="AL61:AL67"/>
    <mergeCell ref="AF55:AF79"/>
    <mergeCell ref="AG55:AG79"/>
    <mergeCell ref="AL55:AL60"/>
    <mergeCell ref="AK74:AK79"/>
    <mergeCell ref="AL74:AL79"/>
    <mergeCell ref="U61:U67"/>
    <mergeCell ref="V61:V67"/>
    <mergeCell ref="AK55:AK60"/>
    <mergeCell ref="AK61:AK67"/>
    <mergeCell ref="AI55:AI79"/>
    <mergeCell ref="AJ55:AJ79"/>
    <mergeCell ref="W55:W79"/>
    <mergeCell ref="X55:X79"/>
    <mergeCell ref="Y55:Y79"/>
    <mergeCell ref="J68:J73"/>
    <mergeCell ref="K68:K73"/>
    <mergeCell ref="L68:L73"/>
    <mergeCell ref="M68:M73"/>
    <mergeCell ref="Q68:Q73"/>
    <mergeCell ref="R68:R73"/>
    <mergeCell ref="J61:J67"/>
    <mergeCell ref="K61:K67"/>
    <mergeCell ref="L61:L67"/>
    <mergeCell ref="M61:M67"/>
    <mergeCell ref="Q61:Q67"/>
    <mergeCell ref="V68:V70"/>
    <mergeCell ref="AM53:AM54"/>
    <mergeCell ref="G55:I79"/>
    <mergeCell ref="J55:J60"/>
    <mergeCell ref="K55:K60"/>
    <mergeCell ref="L55:L60"/>
    <mergeCell ref="M55:M60"/>
    <mergeCell ref="N55:N79"/>
    <mergeCell ref="O55:O79"/>
    <mergeCell ref="P55:P79"/>
    <mergeCell ref="Q55:Q60"/>
    <mergeCell ref="R55:R60"/>
    <mergeCell ref="S55:S79"/>
    <mergeCell ref="T55:T60"/>
    <mergeCell ref="U55:U58"/>
    <mergeCell ref="R61:R67"/>
    <mergeCell ref="T61:T67"/>
    <mergeCell ref="T68:T79"/>
    <mergeCell ref="U68:U70"/>
    <mergeCell ref="AA55:AA79"/>
    <mergeCell ref="AB55:AB79"/>
    <mergeCell ref="V55:V58"/>
    <mergeCell ref="AM55:AM79"/>
    <mergeCell ref="U59:U60"/>
    <mergeCell ref="V59:V60"/>
    <mergeCell ref="G53:G54"/>
    <mergeCell ref="H53:O54"/>
    <mergeCell ref="AK53:AK54"/>
    <mergeCell ref="AL53:AL54"/>
    <mergeCell ref="AK47:AK52"/>
    <mergeCell ref="AD31:AD52"/>
    <mergeCell ref="Y31:Y52"/>
    <mergeCell ref="Z31:Z52"/>
    <mergeCell ref="AA31:AA52"/>
    <mergeCell ref="AK39:AK46"/>
    <mergeCell ref="AL39:AL46"/>
    <mergeCell ref="J47:J52"/>
    <mergeCell ref="K47:K52"/>
    <mergeCell ref="M47:M52"/>
    <mergeCell ref="U47:U52"/>
    <mergeCell ref="V47:V52"/>
    <mergeCell ref="W39:W52"/>
    <mergeCell ref="X39:X52"/>
    <mergeCell ref="AF31:AF52"/>
    <mergeCell ref="AG31:AG52"/>
    <mergeCell ref="AB31:AB52"/>
    <mergeCell ref="Q39:Q47"/>
    <mergeCell ref="R39:R47"/>
    <mergeCell ref="AL31:AL38"/>
    <mergeCell ref="AM31:AM52"/>
    <mergeCell ref="U35:U38"/>
    <mergeCell ref="V35:V38"/>
    <mergeCell ref="U39:U46"/>
    <mergeCell ref="V39:V46"/>
    <mergeCell ref="AH31:AH52"/>
    <mergeCell ref="AI31:AI52"/>
    <mergeCell ref="AJ31:AJ52"/>
    <mergeCell ref="AE31:AE52"/>
    <mergeCell ref="U31:U34"/>
    <mergeCell ref="V31:V34"/>
    <mergeCell ref="W31:W38"/>
    <mergeCell ref="X31:X38"/>
    <mergeCell ref="AL47:AL52"/>
    <mergeCell ref="J26:J30"/>
    <mergeCell ref="K26:K30"/>
    <mergeCell ref="L26:L30"/>
    <mergeCell ref="M26:M30"/>
    <mergeCell ref="Q26:Q30"/>
    <mergeCell ref="R26:R30"/>
    <mergeCell ref="Q48:Q52"/>
    <mergeCell ref="R48:R52"/>
    <mergeCell ref="K31:K38"/>
    <mergeCell ref="L31:L52"/>
    <mergeCell ref="M31:M38"/>
    <mergeCell ref="N31:N52"/>
    <mergeCell ref="J39:J46"/>
    <mergeCell ref="K39:K46"/>
    <mergeCell ref="M39:M46"/>
    <mergeCell ref="O31:O52"/>
    <mergeCell ref="P31:P52"/>
    <mergeCell ref="Q31:Q38"/>
    <mergeCell ref="R31:R38"/>
    <mergeCell ref="S31:S52"/>
    <mergeCell ref="T31:T38"/>
    <mergeCell ref="AM21:AM30"/>
    <mergeCell ref="AK21:AK25"/>
    <mergeCell ref="AL21:AL25"/>
    <mergeCell ref="AD21:AD30"/>
    <mergeCell ref="AE21:AE30"/>
    <mergeCell ref="Z21:Z30"/>
    <mergeCell ref="AA21:AA30"/>
    <mergeCell ref="AB21:AB30"/>
    <mergeCell ref="AF21:AF30"/>
    <mergeCell ref="AG21:AG30"/>
    <mergeCell ref="AH21:AH30"/>
    <mergeCell ref="AC21:AC30"/>
    <mergeCell ref="AI21:AI30"/>
    <mergeCell ref="AJ21:AJ30"/>
    <mergeCell ref="AK26:AK30"/>
    <mergeCell ref="W21:W30"/>
    <mergeCell ref="X21:X30"/>
    <mergeCell ref="Y21:Y30"/>
    <mergeCell ref="V26:V30"/>
    <mergeCell ref="T39:T52"/>
    <mergeCell ref="AC31:AC52"/>
    <mergeCell ref="AK31:AK38"/>
    <mergeCell ref="A17:C132"/>
    <mergeCell ref="D17:D18"/>
    <mergeCell ref="E17:AL18"/>
    <mergeCell ref="D19:F96"/>
    <mergeCell ref="G19:G20"/>
    <mergeCell ref="H19:AL20"/>
    <mergeCell ref="G21:I52"/>
    <mergeCell ref="J21:J25"/>
    <mergeCell ref="P21:P30"/>
    <mergeCell ref="Q21:Q25"/>
    <mergeCell ref="R21:R25"/>
    <mergeCell ref="S21:S30"/>
    <mergeCell ref="T21:T25"/>
    <mergeCell ref="U21:U25"/>
    <mergeCell ref="T26:T30"/>
    <mergeCell ref="U26:U30"/>
    <mergeCell ref="K21:K25"/>
    <mergeCell ref="L21:L25"/>
    <mergeCell ref="M21:M25"/>
    <mergeCell ref="N21:N30"/>
    <mergeCell ref="O21:O30"/>
    <mergeCell ref="V21:V25"/>
    <mergeCell ref="AL26:AL30"/>
    <mergeCell ref="J31:J38"/>
    <mergeCell ref="A15:A16"/>
    <mergeCell ref="B15:AL16"/>
    <mergeCell ref="P7:P14"/>
    <mergeCell ref="Q7:Q14"/>
    <mergeCell ref="R7:R14"/>
    <mergeCell ref="S7:S14"/>
    <mergeCell ref="T7:T14"/>
    <mergeCell ref="U7:U14"/>
    <mergeCell ref="X7:X14"/>
    <mergeCell ref="Y7:AD7"/>
    <mergeCell ref="AE7:AJ7"/>
    <mergeCell ref="J7:J14"/>
    <mergeCell ref="K7:K14"/>
    <mergeCell ref="L7:L14"/>
    <mergeCell ref="N7:N14"/>
    <mergeCell ref="O7:O14"/>
    <mergeCell ref="A7:A14"/>
    <mergeCell ref="B7:C14"/>
    <mergeCell ref="D7:D14"/>
    <mergeCell ref="E7:F14"/>
    <mergeCell ref="G7:G14"/>
    <mergeCell ref="H7:I14"/>
    <mergeCell ref="W8:W14"/>
    <mergeCell ref="AF8:AF14"/>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topLeftCell="A64" zoomScale="60" zoomScaleNormal="60" workbookViewId="0">
      <selection activeCell="N76" sqref="N76"/>
    </sheetView>
  </sheetViews>
  <sheetFormatPr baseColWidth="10" defaultColWidth="11.42578125" defaultRowHeight="14.25" x14ac:dyDescent="0.2"/>
  <cols>
    <col min="1" max="1" width="11" style="34" customWidth="1"/>
    <col min="2" max="2" width="13" style="34" customWidth="1"/>
    <col min="3" max="3" width="11.5703125" style="34" bestFit="1" customWidth="1"/>
    <col min="4" max="4" width="13.28515625" style="34" customWidth="1"/>
    <col min="5" max="5" width="9.5703125" style="34" customWidth="1"/>
    <col min="6" max="6" width="10.5703125" style="34" customWidth="1"/>
    <col min="7" max="7" width="18.7109375" style="34" customWidth="1"/>
    <col min="8" max="8" width="14.42578125" style="34" customWidth="1"/>
    <col min="9" max="9" width="19" style="359" customWidth="1"/>
    <col min="10" max="10" width="14.85546875" style="34" customWidth="1"/>
    <col min="11" max="11" width="12.5703125" style="34" customWidth="1"/>
    <col min="12" max="12" width="21.42578125" style="359" customWidth="1"/>
    <col min="13" max="13" width="11.7109375" style="34" customWidth="1"/>
    <col min="14" max="14" width="21.5703125" style="358" customWidth="1"/>
    <col min="15" max="15" width="11.5703125" style="1702" bestFit="1" customWidth="1"/>
    <col min="16" max="16" width="27.42578125" style="565" customWidth="1"/>
    <col min="17" max="17" width="26.85546875" style="34" customWidth="1"/>
    <col min="18" max="18" width="27.42578125" style="358" customWidth="1"/>
    <col min="19" max="19" width="25" style="359" customWidth="1"/>
    <col min="20" max="20" width="24.42578125" style="1173" customWidth="1"/>
    <col min="21" max="21" width="14.7109375" style="34" customWidth="1"/>
    <col min="22" max="22" width="16.140625" style="34" customWidth="1"/>
    <col min="23" max="23" width="12.7109375" style="560" customWidth="1"/>
    <col min="24" max="24" width="11.42578125" style="560"/>
    <col min="25" max="26" width="11.5703125" style="560" bestFit="1" customWidth="1"/>
    <col min="27" max="27" width="11.42578125" style="560" customWidth="1"/>
    <col min="28" max="30" width="11.5703125" style="560" bestFit="1" customWidth="1"/>
    <col min="31" max="33" width="11.42578125" style="560"/>
    <col min="34" max="34" width="11.5703125" style="560" bestFit="1" customWidth="1"/>
    <col min="35" max="36" width="22.7109375" style="561" customWidth="1"/>
    <col min="37" max="37" width="28.7109375" style="34" customWidth="1"/>
    <col min="38" max="16384" width="11.42578125" style="34"/>
  </cols>
  <sheetData>
    <row r="1" spans="1:37" ht="15" customHeight="1" x14ac:dyDescent="0.25">
      <c r="A1" s="1747" t="s">
        <v>1789</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7"/>
      <c r="AI1" s="1748"/>
      <c r="AJ1" s="769" t="s">
        <v>0</v>
      </c>
      <c r="AK1" s="245" t="s">
        <v>1784</v>
      </c>
    </row>
    <row r="2" spans="1:37" ht="15" x14ac:dyDescent="0.25">
      <c r="A2" s="1747"/>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8"/>
      <c r="AJ2" s="770" t="s">
        <v>1</v>
      </c>
      <c r="AK2" s="246">
        <v>5</v>
      </c>
    </row>
    <row r="3" spans="1:37" ht="15" customHeight="1" x14ac:dyDescent="0.25">
      <c r="A3" s="1747" t="s">
        <v>1795</v>
      </c>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7"/>
      <c r="AI3" s="1748"/>
      <c r="AJ3" s="769" t="s">
        <v>2</v>
      </c>
      <c r="AK3" s="247" t="s">
        <v>1785</v>
      </c>
    </row>
    <row r="4" spans="1:37" s="36" customFormat="1" ht="11.25" customHeight="1" x14ac:dyDescent="0.2">
      <c r="A4" s="1750" t="s">
        <v>119</v>
      </c>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0"/>
      <c r="AI4" s="1751"/>
      <c r="AJ4" s="772" t="s">
        <v>3</v>
      </c>
      <c r="AK4" s="248" t="s">
        <v>4</v>
      </c>
    </row>
    <row r="5" spans="1:37" ht="15" customHeight="1" x14ac:dyDescent="0.2">
      <c r="A5" s="1757" t="s">
        <v>5</v>
      </c>
      <c r="B5" s="1758"/>
      <c r="C5" s="1758"/>
      <c r="D5" s="1758"/>
      <c r="E5" s="1758"/>
      <c r="F5" s="1758"/>
      <c r="G5" s="1758"/>
      <c r="H5" s="1758"/>
      <c r="I5" s="1758"/>
      <c r="J5" s="1758"/>
      <c r="K5" s="1758"/>
      <c r="L5" s="1757" t="s">
        <v>6</v>
      </c>
      <c r="M5" s="1758"/>
      <c r="N5" s="1758"/>
      <c r="O5" s="1758"/>
      <c r="P5" s="1758"/>
      <c r="Q5" s="1758"/>
      <c r="R5" s="1758"/>
      <c r="S5" s="1758"/>
      <c r="T5" s="1758"/>
      <c r="U5" s="1758"/>
      <c r="V5" s="1762"/>
      <c r="W5" s="1757" t="s">
        <v>7</v>
      </c>
      <c r="X5" s="1758"/>
      <c r="Y5" s="1758"/>
      <c r="Z5" s="1758"/>
      <c r="AA5" s="1758"/>
      <c r="AB5" s="1758"/>
      <c r="AC5" s="1758"/>
      <c r="AD5" s="1758"/>
      <c r="AE5" s="1758"/>
      <c r="AF5" s="1758"/>
      <c r="AG5" s="1758"/>
      <c r="AH5" s="1758"/>
      <c r="AI5" s="1758"/>
      <c r="AJ5" s="1758"/>
      <c r="AK5" s="1762"/>
    </row>
    <row r="6" spans="1:37" ht="14.25" customHeight="1" x14ac:dyDescent="0.2">
      <c r="A6" s="1759"/>
      <c r="B6" s="1760"/>
      <c r="C6" s="1760"/>
      <c r="D6" s="1760"/>
      <c r="E6" s="1760"/>
      <c r="F6" s="1760"/>
      <c r="G6" s="1760"/>
      <c r="H6" s="1760"/>
      <c r="I6" s="1760"/>
      <c r="J6" s="1760"/>
      <c r="K6" s="1760"/>
      <c r="L6" s="1759"/>
      <c r="M6" s="1760"/>
      <c r="N6" s="1760"/>
      <c r="O6" s="1760"/>
      <c r="P6" s="1760"/>
      <c r="Q6" s="1760"/>
      <c r="R6" s="1760"/>
      <c r="S6" s="1760"/>
      <c r="T6" s="1760"/>
      <c r="U6" s="1760"/>
      <c r="V6" s="1761"/>
      <c r="W6" s="1759"/>
      <c r="X6" s="1760"/>
      <c r="Y6" s="1760"/>
      <c r="Z6" s="1760"/>
      <c r="AA6" s="1760"/>
      <c r="AB6" s="1760"/>
      <c r="AC6" s="1760"/>
      <c r="AD6" s="1760"/>
      <c r="AE6" s="1760"/>
      <c r="AF6" s="1760"/>
      <c r="AG6" s="1760"/>
      <c r="AH6" s="1760"/>
      <c r="AI6" s="1806"/>
      <c r="AJ6" s="1806"/>
      <c r="AK6" s="2060"/>
    </row>
    <row r="7" spans="1:37" ht="22.5" customHeight="1" x14ac:dyDescent="0.2">
      <c r="A7" s="1752" t="s">
        <v>8</v>
      </c>
      <c r="B7" s="1752" t="s">
        <v>9</v>
      </c>
      <c r="C7" s="1754" t="s">
        <v>8</v>
      </c>
      <c r="D7" s="1754" t="s">
        <v>10</v>
      </c>
      <c r="E7" s="1754"/>
      <c r="F7" s="1754" t="s">
        <v>8</v>
      </c>
      <c r="G7" s="1754" t="s">
        <v>11</v>
      </c>
      <c r="H7" s="1754" t="s">
        <v>8</v>
      </c>
      <c r="I7" s="2268" t="s">
        <v>12</v>
      </c>
      <c r="J7" s="1754" t="s">
        <v>13</v>
      </c>
      <c r="K7" s="1900" t="s">
        <v>14</v>
      </c>
      <c r="L7" s="2268" t="s">
        <v>15</v>
      </c>
      <c r="M7" s="1752" t="s">
        <v>16</v>
      </c>
      <c r="N7" s="2268" t="s">
        <v>6</v>
      </c>
      <c r="O7" s="2273" t="s">
        <v>17</v>
      </c>
      <c r="P7" s="2274" t="s">
        <v>18</v>
      </c>
      <c r="Q7" s="1754" t="s">
        <v>19</v>
      </c>
      <c r="R7" s="2268" t="s">
        <v>20</v>
      </c>
      <c r="S7" s="2268" t="s">
        <v>21</v>
      </c>
      <c r="T7" s="1900" t="s">
        <v>18</v>
      </c>
      <c r="U7" s="1752" t="s">
        <v>8</v>
      </c>
      <c r="V7" s="1752" t="s">
        <v>22</v>
      </c>
      <c r="W7" s="2271" t="s">
        <v>23</v>
      </c>
      <c r="X7" s="2272"/>
      <c r="Y7" s="2272"/>
      <c r="Z7" s="2272"/>
      <c r="AA7" s="2272"/>
      <c r="AB7" s="2272"/>
      <c r="AC7" s="2271" t="s">
        <v>24</v>
      </c>
      <c r="AD7" s="2272"/>
      <c r="AE7" s="2272"/>
      <c r="AF7" s="2272"/>
      <c r="AG7" s="2272"/>
      <c r="AH7" s="2272"/>
      <c r="AI7" s="1791" t="s">
        <v>25</v>
      </c>
      <c r="AJ7" s="1791" t="s">
        <v>26</v>
      </c>
      <c r="AK7" s="1793" t="s">
        <v>27</v>
      </c>
    </row>
    <row r="8" spans="1:37" s="78" customFormat="1" ht="31.5" customHeight="1" x14ac:dyDescent="0.25">
      <c r="A8" s="2270"/>
      <c r="B8" s="2270"/>
      <c r="C8" s="1754"/>
      <c r="D8" s="1754"/>
      <c r="E8" s="1754"/>
      <c r="F8" s="1754"/>
      <c r="G8" s="1754"/>
      <c r="H8" s="1754"/>
      <c r="I8" s="2268"/>
      <c r="J8" s="1754"/>
      <c r="K8" s="2269"/>
      <c r="L8" s="2268"/>
      <c r="M8" s="2270"/>
      <c r="N8" s="2268"/>
      <c r="O8" s="2273"/>
      <c r="P8" s="2274"/>
      <c r="Q8" s="1754"/>
      <c r="R8" s="2268"/>
      <c r="S8" s="2268"/>
      <c r="T8" s="2269"/>
      <c r="U8" s="2270"/>
      <c r="V8" s="2270"/>
      <c r="W8" s="1703" t="s">
        <v>28</v>
      </c>
      <c r="X8" s="1703" t="s">
        <v>29</v>
      </c>
      <c r="Y8" s="1703" t="s">
        <v>30</v>
      </c>
      <c r="Z8" s="1703" t="s">
        <v>31</v>
      </c>
      <c r="AA8" s="1703" t="s">
        <v>32</v>
      </c>
      <c r="AB8" s="1703" t="s">
        <v>33</v>
      </c>
      <c r="AC8" s="1703" t="s">
        <v>34</v>
      </c>
      <c r="AD8" s="1703" t="s">
        <v>35</v>
      </c>
      <c r="AE8" s="1703" t="s">
        <v>36</v>
      </c>
      <c r="AF8" s="1703" t="s">
        <v>37</v>
      </c>
      <c r="AG8" s="1703" t="s">
        <v>38</v>
      </c>
      <c r="AH8" s="1703" t="s">
        <v>39</v>
      </c>
      <c r="AI8" s="1792"/>
      <c r="AJ8" s="1792"/>
      <c r="AK8" s="1793"/>
    </row>
    <row r="9" spans="1:37" ht="12.75" customHeight="1" x14ac:dyDescent="0.2">
      <c r="A9" s="1711">
        <v>1</v>
      </c>
      <c r="B9" s="1712" t="s">
        <v>1430</v>
      </c>
      <c r="C9" s="1712"/>
      <c r="D9" s="1544"/>
      <c r="E9" s="1544"/>
      <c r="F9" s="1544"/>
      <c r="G9" s="1544"/>
      <c r="H9" s="1544"/>
      <c r="I9" s="1713"/>
      <c r="J9" s="1544"/>
      <c r="K9" s="1544"/>
      <c r="L9" s="1713"/>
      <c r="M9" s="1544"/>
      <c r="N9" s="1713"/>
      <c r="O9" s="1714"/>
      <c r="P9" s="1715"/>
      <c r="Q9" s="1544"/>
      <c r="R9" s="1713"/>
      <c r="S9" s="1713"/>
      <c r="T9" s="1715"/>
      <c r="U9" s="1544"/>
      <c r="V9" s="1544"/>
      <c r="W9" s="1546"/>
      <c r="X9" s="1546"/>
      <c r="Y9" s="1546"/>
      <c r="Z9" s="1546"/>
      <c r="AA9" s="1546"/>
      <c r="AB9" s="1546"/>
      <c r="AC9" s="1546"/>
      <c r="AD9" s="1546"/>
      <c r="AE9" s="1546"/>
      <c r="AF9" s="1546"/>
      <c r="AG9" s="1546"/>
      <c r="AH9" s="1546"/>
      <c r="AI9" s="1716"/>
      <c r="AJ9" s="1716"/>
      <c r="AK9" s="1717"/>
    </row>
    <row r="10" spans="1:37" ht="12.75" customHeight="1" x14ac:dyDescent="0.2">
      <c r="A10" s="1856"/>
      <c r="B10" s="131"/>
      <c r="C10" s="1547">
        <v>1</v>
      </c>
      <c r="D10" s="2278" t="s">
        <v>1796</v>
      </c>
      <c r="E10" s="2279"/>
      <c r="F10" s="2280"/>
      <c r="G10" s="1548"/>
      <c r="H10" s="1548"/>
      <c r="I10" s="1549"/>
      <c r="J10" s="1548"/>
      <c r="K10" s="1548"/>
      <c r="L10" s="1549"/>
      <c r="M10" s="1550"/>
      <c r="N10" s="1549"/>
      <c r="O10" s="1551"/>
      <c r="P10" s="1552"/>
      <c r="Q10" s="1548"/>
      <c r="R10" s="1549"/>
      <c r="S10" s="1549"/>
      <c r="T10" s="1552"/>
      <c r="U10" s="1550"/>
      <c r="V10" s="1548"/>
      <c r="W10" s="1553"/>
      <c r="X10" s="1553"/>
      <c r="Y10" s="1553"/>
      <c r="Z10" s="1553"/>
      <c r="AA10" s="1553"/>
      <c r="AB10" s="1553"/>
      <c r="AC10" s="1553"/>
      <c r="AD10" s="1553"/>
      <c r="AE10" s="1553"/>
      <c r="AF10" s="1553"/>
      <c r="AG10" s="1553"/>
      <c r="AH10" s="1553"/>
      <c r="AI10" s="1555"/>
      <c r="AJ10" s="1555"/>
      <c r="AK10" s="1554"/>
    </row>
    <row r="11" spans="1:37" s="153" customFormat="1" ht="15" x14ac:dyDescent="0.2">
      <c r="A11" s="1857"/>
      <c r="B11" s="133"/>
      <c r="C11" s="103"/>
      <c r="D11" s="831"/>
      <c r="E11" s="832"/>
      <c r="F11" s="1556">
        <v>1</v>
      </c>
      <c r="G11" s="2281" t="s">
        <v>1797</v>
      </c>
      <c r="H11" s="2282"/>
      <c r="I11" s="2282"/>
      <c r="J11" s="2282"/>
      <c r="K11" s="2282"/>
      <c r="L11" s="56"/>
      <c r="M11" s="81"/>
      <c r="N11" s="1557"/>
      <c r="O11" s="1558"/>
      <c r="P11" s="1163"/>
      <c r="Q11" s="962"/>
      <c r="R11" s="56"/>
      <c r="S11" s="56"/>
      <c r="T11" s="1559"/>
      <c r="U11" s="1525"/>
      <c r="V11" s="81"/>
      <c r="W11" s="1557"/>
      <c r="X11" s="1560"/>
      <c r="Y11" s="1560"/>
      <c r="Z11" s="1560"/>
      <c r="AA11" s="1560"/>
      <c r="AB11" s="1560"/>
      <c r="AC11" s="1560"/>
      <c r="AD11" s="1561"/>
      <c r="AE11" s="1561"/>
      <c r="AF11" s="1561"/>
      <c r="AG11" s="1561"/>
      <c r="AH11" s="1561"/>
      <c r="AI11" s="1562"/>
      <c r="AJ11" s="1563"/>
      <c r="AK11" s="1564"/>
    </row>
    <row r="12" spans="1:37" ht="71.25" x14ac:dyDescent="0.2">
      <c r="A12" s="1857"/>
      <c r="B12" s="133"/>
      <c r="C12" s="103"/>
      <c r="D12" s="1565"/>
      <c r="E12" s="1566"/>
      <c r="F12" s="577"/>
      <c r="G12" s="577"/>
      <c r="H12" s="89">
        <v>1</v>
      </c>
      <c r="I12" s="1504" t="s">
        <v>1798</v>
      </c>
      <c r="J12" s="1500" t="s">
        <v>287</v>
      </c>
      <c r="K12" s="1500">
        <v>1</v>
      </c>
      <c r="L12" s="1767" t="s">
        <v>1799</v>
      </c>
      <c r="M12" s="1856">
        <v>64</v>
      </c>
      <c r="N12" s="1767" t="s">
        <v>1800</v>
      </c>
      <c r="O12" s="1567">
        <f>T12/P12</f>
        <v>0.203125</v>
      </c>
      <c r="P12" s="2283">
        <v>160000000</v>
      </c>
      <c r="Q12" s="1767" t="s">
        <v>1801</v>
      </c>
      <c r="R12" s="1798" t="s">
        <v>1802</v>
      </c>
      <c r="S12" s="1531" t="s">
        <v>1803</v>
      </c>
      <c r="T12" s="1568">
        <f>22500000+10000000</f>
        <v>32500000</v>
      </c>
      <c r="U12" s="1498">
        <v>20</v>
      </c>
      <c r="V12" s="1534" t="s">
        <v>1804</v>
      </c>
      <c r="W12" s="2275"/>
      <c r="X12" s="2275"/>
      <c r="Y12" s="2275"/>
      <c r="Z12" s="2275"/>
      <c r="AA12" s="2275"/>
      <c r="AB12" s="2275"/>
      <c r="AC12" s="2275"/>
      <c r="AD12" s="2275"/>
      <c r="AE12" s="2275"/>
      <c r="AF12" s="2275"/>
      <c r="AG12" s="2275"/>
      <c r="AH12" s="2275"/>
      <c r="AI12" s="1569">
        <v>42736</v>
      </c>
      <c r="AJ12" s="1511">
        <v>43100</v>
      </c>
      <c r="AK12" s="2286" t="s">
        <v>1805</v>
      </c>
    </row>
    <row r="13" spans="1:37" ht="71.25" x14ac:dyDescent="0.2">
      <c r="A13" s="1857"/>
      <c r="B13" s="133"/>
      <c r="C13" s="103"/>
      <c r="D13" s="1565"/>
      <c r="E13" s="1566"/>
      <c r="F13" s="261"/>
      <c r="G13" s="1566"/>
      <c r="H13" s="89">
        <v>2</v>
      </c>
      <c r="I13" s="1504" t="s">
        <v>1806</v>
      </c>
      <c r="J13" s="1500" t="s">
        <v>287</v>
      </c>
      <c r="K13" s="1500">
        <v>4</v>
      </c>
      <c r="L13" s="1768"/>
      <c r="M13" s="1857"/>
      <c r="N13" s="1768"/>
      <c r="O13" s="1567">
        <f>T13/P12</f>
        <v>0.109375</v>
      </c>
      <c r="P13" s="2284"/>
      <c r="Q13" s="1768"/>
      <c r="R13" s="1800"/>
      <c r="S13" s="1504" t="s">
        <v>1807</v>
      </c>
      <c r="T13" s="1568">
        <f>7500000+10000000</f>
        <v>17500000</v>
      </c>
      <c r="U13" s="1509">
        <v>20</v>
      </c>
      <c r="V13" s="1534" t="s">
        <v>1804</v>
      </c>
      <c r="W13" s="2276"/>
      <c r="X13" s="2276"/>
      <c r="Y13" s="2276"/>
      <c r="Z13" s="2276"/>
      <c r="AA13" s="2276"/>
      <c r="AB13" s="2276"/>
      <c r="AC13" s="2276"/>
      <c r="AD13" s="2276"/>
      <c r="AE13" s="2276"/>
      <c r="AF13" s="2276"/>
      <c r="AG13" s="2276"/>
      <c r="AH13" s="2276"/>
      <c r="AI13" s="1569">
        <v>42736</v>
      </c>
      <c r="AJ13" s="1511">
        <v>43100</v>
      </c>
      <c r="AK13" s="2287"/>
    </row>
    <row r="14" spans="1:37" ht="114" x14ac:dyDescent="0.2">
      <c r="A14" s="1857"/>
      <c r="B14" s="133"/>
      <c r="C14" s="103"/>
      <c r="D14" s="1565"/>
      <c r="E14" s="1566"/>
      <c r="F14" s="261"/>
      <c r="G14" s="1566"/>
      <c r="H14" s="89">
        <v>3</v>
      </c>
      <c r="I14" s="1504" t="s">
        <v>1808</v>
      </c>
      <c r="J14" s="1500" t="s">
        <v>287</v>
      </c>
      <c r="K14" s="1500">
        <v>1</v>
      </c>
      <c r="L14" s="1768"/>
      <c r="M14" s="1857"/>
      <c r="N14" s="1768"/>
      <c r="O14" s="1567">
        <f>T14/P12</f>
        <v>6.8750000000000006E-2</v>
      </c>
      <c r="P14" s="2284"/>
      <c r="Q14" s="1768"/>
      <c r="R14" s="1767" t="s">
        <v>1809</v>
      </c>
      <c r="S14" s="1520" t="s">
        <v>1810</v>
      </c>
      <c r="T14" s="1568">
        <f>11250000-250000</f>
        <v>11000000</v>
      </c>
      <c r="U14" s="1509">
        <v>20</v>
      </c>
      <c r="V14" s="1534" t="s">
        <v>1804</v>
      </c>
      <c r="W14" s="2276"/>
      <c r="X14" s="2276"/>
      <c r="Y14" s="2276"/>
      <c r="Z14" s="2276"/>
      <c r="AA14" s="2276"/>
      <c r="AB14" s="2276"/>
      <c r="AC14" s="2276"/>
      <c r="AD14" s="2276"/>
      <c r="AE14" s="2276"/>
      <c r="AF14" s="2276"/>
      <c r="AG14" s="2276"/>
      <c r="AH14" s="2276"/>
      <c r="AI14" s="1569">
        <v>42736</v>
      </c>
      <c r="AJ14" s="1511">
        <v>43100</v>
      </c>
      <c r="AK14" s="2287"/>
    </row>
    <row r="15" spans="1:37" ht="99.75" x14ac:dyDescent="0.2">
      <c r="A15" s="1857"/>
      <c r="B15" s="133"/>
      <c r="C15" s="103"/>
      <c r="D15" s="1565"/>
      <c r="E15" s="1566"/>
      <c r="F15" s="261"/>
      <c r="G15" s="1566"/>
      <c r="H15" s="89">
        <v>4</v>
      </c>
      <c r="I15" s="1504" t="s">
        <v>1811</v>
      </c>
      <c r="J15" s="1500" t="s">
        <v>287</v>
      </c>
      <c r="K15" s="1500">
        <v>1</v>
      </c>
      <c r="L15" s="1768"/>
      <c r="M15" s="1857"/>
      <c r="N15" s="1768"/>
      <c r="O15" s="1567">
        <f>T15/P12</f>
        <v>0.125</v>
      </c>
      <c r="P15" s="2284"/>
      <c r="Q15" s="1768"/>
      <c r="R15" s="1768"/>
      <c r="S15" s="1520" t="s">
        <v>1812</v>
      </c>
      <c r="T15" s="1568">
        <v>20000000</v>
      </c>
      <c r="U15" s="1509">
        <v>20</v>
      </c>
      <c r="V15" s="1534" t="s">
        <v>1804</v>
      </c>
      <c r="W15" s="2276"/>
      <c r="X15" s="2276"/>
      <c r="Y15" s="2276"/>
      <c r="Z15" s="2276"/>
      <c r="AA15" s="2276"/>
      <c r="AB15" s="2276"/>
      <c r="AC15" s="2276"/>
      <c r="AD15" s="2276"/>
      <c r="AE15" s="2276"/>
      <c r="AF15" s="2276"/>
      <c r="AG15" s="2276"/>
      <c r="AH15" s="2276"/>
      <c r="AI15" s="1569">
        <v>42736</v>
      </c>
      <c r="AJ15" s="1511">
        <v>43100</v>
      </c>
      <c r="AK15" s="2287"/>
    </row>
    <row r="16" spans="1:37" ht="142.5" x14ac:dyDescent="0.2">
      <c r="A16" s="1857"/>
      <c r="B16" s="133"/>
      <c r="C16" s="103"/>
      <c r="D16" s="1565"/>
      <c r="E16" s="1566"/>
      <c r="F16" s="261"/>
      <c r="G16" s="1566"/>
      <c r="H16" s="89">
        <v>5</v>
      </c>
      <c r="I16" s="1504" t="s">
        <v>1813</v>
      </c>
      <c r="J16" s="1500" t="s">
        <v>287</v>
      </c>
      <c r="K16" s="1500">
        <v>2</v>
      </c>
      <c r="L16" s="1768"/>
      <c r="M16" s="1857"/>
      <c r="N16" s="1768"/>
      <c r="O16" s="1567">
        <f>T16/P12</f>
        <v>0.42499999999999999</v>
      </c>
      <c r="P16" s="2284"/>
      <c r="Q16" s="1768"/>
      <c r="R16" s="1768"/>
      <c r="S16" s="1520" t="s">
        <v>1814</v>
      </c>
      <c r="T16" s="1568">
        <f>7500000+10500000+50000000</f>
        <v>68000000</v>
      </c>
      <c r="U16" s="1509">
        <v>20</v>
      </c>
      <c r="V16" s="1534" t="s">
        <v>1804</v>
      </c>
      <c r="W16" s="2276"/>
      <c r="X16" s="2276"/>
      <c r="Y16" s="2276"/>
      <c r="Z16" s="2276"/>
      <c r="AA16" s="2276"/>
      <c r="AB16" s="2276"/>
      <c r="AC16" s="2276"/>
      <c r="AD16" s="2276"/>
      <c r="AE16" s="2276"/>
      <c r="AF16" s="2276"/>
      <c r="AG16" s="2276"/>
      <c r="AH16" s="2276"/>
      <c r="AI16" s="1569">
        <v>42736</v>
      </c>
      <c r="AJ16" s="1511">
        <v>43100</v>
      </c>
      <c r="AK16" s="2287"/>
    </row>
    <row r="17" spans="1:37" ht="128.25" x14ac:dyDescent="0.2">
      <c r="A17" s="1858"/>
      <c r="B17" s="137"/>
      <c r="C17" s="1440"/>
      <c r="D17" s="1565"/>
      <c r="E17" s="1566"/>
      <c r="F17" s="1570"/>
      <c r="G17" s="1571"/>
      <c r="H17" s="1533">
        <v>6</v>
      </c>
      <c r="I17" s="1504" t="s">
        <v>1815</v>
      </c>
      <c r="J17" s="1500" t="s">
        <v>287</v>
      </c>
      <c r="K17" s="1510">
        <v>12</v>
      </c>
      <c r="L17" s="1769"/>
      <c r="M17" s="1858"/>
      <c r="N17" s="1769"/>
      <c r="O17" s="1567">
        <f>T17/P12</f>
        <v>6.8750000000000006E-2</v>
      </c>
      <c r="P17" s="2285"/>
      <c r="Q17" s="1769"/>
      <c r="R17" s="1769"/>
      <c r="S17" s="1520" t="s">
        <v>1816</v>
      </c>
      <c r="T17" s="1572">
        <v>11000000</v>
      </c>
      <c r="U17" s="1508">
        <v>20</v>
      </c>
      <c r="V17" s="1534" t="s">
        <v>1804</v>
      </c>
      <c r="W17" s="2277"/>
      <c r="X17" s="2277"/>
      <c r="Y17" s="2277"/>
      <c r="Z17" s="2277"/>
      <c r="AA17" s="2277"/>
      <c r="AB17" s="2277"/>
      <c r="AC17" s="2277"/>
      <c r="AD17" s="2277"/>
      <c r="AE17" s="2277"/>
      <c r="AF17" s="2277"/>
      <c r="AG17" s="2277"/>
      <c r="AH17" s="2277"/>
      <c r="AI17" s="1569">
        <v>42736</v>
      </c>
      <c r="AJ17" s="1511">
        <v>43100</v>
      </c>
      <c r="AK17" s="2288"/>
    </row>
    <row r="18" spans="1:37" ht="17.25" customHeight="1" x14ac:dyDescent="0.2">
      <c r="A18" s="1573"/>
      <c r="B18" s="1574"/>
      <c r="C18" s="1575"/>
      <c r="D18" s="1576"/>
      <c r="E18" s="1577"/>
      <c r="F18" s="639">
        <v>2</v>
      </c>
      <c r="G18" s="2289" t="s">
        <v>1817</v>
      </c>
      <c r="H18" s="2282"/>
      <c r="I18" s="2282"/>
      <c r="J18" s="81"/>
      <c r="K18" s="56"/>
      <c r="L18" s="56"/>
      <c r="M18" s="81"/>
      <c r="N18" s="1557"/>
      <c r="O18" s="1558"/>
      <c r="P18" s="1163"/>
      <c r="Q18" s="962"/>
      <c r="R18" s="56"/>
      <c r="S18" s="56"/>
      <c r="T18" s="1559"/>
      <c r="U18" s="604"/>
      <c r="V18" s="81"/>
      <c r="W18" s="1557"/>
      <c r="X18" s="1560"/>
      <c r="Y18" s="1560"/>
      <c r="Z18" s="1560"/>
      <c r="AA18" s="1560"/>
      <c r="AB18" s="1560"/>
      <c r="AC18" s="1560"/>
      <c r="AD18" s="1560"/>
      <c r="AE18" s="1579"/>
      <c r="AF18" s="1579"/>
      <c r="AG18" s="1579"/>
      <c r="AH18" s="1579"/>
      <c r="AI18" s="1580"/>
      <c r="AJ18" s="1581"/>
      <c r="AK18" s="595"/>
    </row>
    <row r="19" spans="1:37" ht="156.75" x14ac:dyDescent="0.2">
      <c r="A19" s="1856"/>
      <c r="B19" s="131"/>
      <c r="C19" s="1431"/>
      <c r="D19" s="1565"/>
      <c r="E19" s="1566"/>
      <c r="F19" s="1535"/>
      <c r="G19" s="577"/>
      <c r="H19" s="89">
        <v>8</v>
      </c>
      <c r="I19" s="1504" t="s">
        <v>1818</v>
      </c>
      <c r="J19" s="1500" t="s">
        <v>287</v>
      </c>
      <c r="K19" s="1500">
        <v>2</v>
      </c>
      <c r="L19" s="2290" t="s">
        <v>1819</v>
      </c>
      <c r="M19" s="1856">
        <v>67</v>
      </c>
      <c r="N19" s="1830" t="s">
        <v>1820</v>
      </c>
      <c r="O19" s="1567">
        <f>T19/P19</f>
        <v>0.61213235294117652</v>
      </c>
      <c r="P19" s="2292">
        <v>108800000</v>
      </c>
      <c r="Q19" s="1767" t="s">
        <v>1821</v>
      </c>
      <c r="R19" s="1767" t="s">
        <v>1822</v>
      </c>
      <c r="S19" s="1504" t="s">
        <v>1823</v>
      </c>
      <c r="T19" s="1582">
        <f>46600000+20000000</f>
        <v>66600000</v>
      </c>
      <c r="U19" s="1498">
        <v>20</v>
      </c>
      <c r="V19" s="1534" t="s">
        <v>1824</v>
      </c>
      <c r="W19" s="2275"/>
      <c r="X19" s="2275"/>
      <c r="Y19" s="2275"/>
      <c r="Z19" s="2275"/>
      <c r="AA19" s="2275"/>
      <c r="AB19" s="2275"/>
      <c r="AC19" s="2275"/>
      <c r="AD19" s="2275"/>
      <c r="AE19" s="2275"/>
      <c r="AF19" s="2275"/>
      <c r="AG19" s="2275"/>
      <c r="AH19" s="2275"/>
      <c r="AI19" s="1583">
        <v>42736</v>
      </c>
      <c r="AJ19" s="1511">
        <v>43100</v>
      </c>
      <c r="AK19" s="2286" t="s">
        <v>1825</v>
      </c>
    </row>
    <row r="20" spans="1:37" ht="71.25" x14ac:dyDescent="0.2">
      <c r="A20" s="1858"/>
      <c r="B20" s="137"/>
      <c r="C20" s="1440"/>
      <c r="D20" s="1565"/>
      <c r="E20" s="1566"/>
      <c r="F20" s="1570"/>
      <c r="G20" s="1571"/>
      <c r="H20" s="89">
        <v>7</v>
      </c>
      <c r="I20" s="1504" t="s">
        <v>1826</v>
      </c>
      <c r="J20" s="1500" t="s">
        <v>287</v>
      </c>
      <c r="K20" s="1500">
        <v>1</v>
      </c>
      <c r="L20" s="2291"/>
      <c r="M20" s="1858"/>
      <c r="N20" s="1927"/>
      <c r="O20" s="1567">
        <f>T20/P19</f>
        <v>0.38786764705882354</v>
      </c>
      <c r="P20" s="2293"/>
      <c r="Q20" s="1769"/>
      <c r="R20" s="1769"/>
      <c r="S20" s="1504" t="s">
        <v>1827</v>
      </c>
      <c r="T20" s="1582">
        <f>12200000+30000000</f>
        <v>42200000</v>
      </c>
      <c r="U20" s="1498">
        <v>20</v>
      </c>
      <c r="V20" s="1534" t="s">
        <v>1824</v>
      </c>
      <c r="W20" s="2277"/>
      <c r="X20" s="2277"/>
      <c r="Y20" s="2277"/>
      <c r="Z20" s="2277"/>
      <c r="AA20" s="2277"/>
      <c r="AB20" s="2277"/>
      <c r="AC20" s="2277"/>
      <c r="AD20" s="2277"/>
      <c r="AE20" s="2277"/>
      <c r="AF20" s="2277"/>
      <c r="AG20" s="2277"/>
      <c r="AH20" s="2277"/>
      <c r="AI20" s="1583">
        <v>42736</v>
      </c>
      <c r="AJ20" s="1511">
        <v>43100</v>
      </c>
      <c r="AK20" s="2288"/>
    </row>
    <row r="21" spans="1:37" ht="18.75" customHeight="1" x14ac:dyDescent="0.2">
      <c r="A21" s="1508"/>
      <c r="B21" s="1518"/>
      <c r="C21" s="1575"/>
      <c r="D21" s="48"/>
      <c r="E21" s="1584"/>
      <c r="F21" s="1578">
        <v>3</v>
      </c>
      <c r="G21" s="640" t="s">
        <v>1828</v>
      </c>
      <c r="H21" s="81"/>
      <c r="I21" s="56"/>
      <c r="J21" s="56"/>
      <c r="K21" s="1525"/>
      <c r="L21" s="56"/>
      <c r="M21" s="593"/>
      <c r="N21" s="56"/>
      <c r="O21" s="1558"/>
      <c r="P21" s="1161"/>
      <c r="Q21" s="56"/>
      <c r="R21" s="56"/>
      <c r="S21" s="960"/>
      <c r="T21" s="1163"/>
      <c r="U21" s="608"/>
      <c r="V21" s="1525"/>
      <c r="W21" s="1560"/>
      <c r="X21" s="1557"/>
      <c r="Y21" s="1560"/>
      <c r="Z21" s="1560"/>
      <c r="AA21" s="1560"/>
      <c r="AB21" s="1560"/>
      <c r="AC21" s="1579"/>
      <c r="AD21" s="1560"/>
      <c r="AE21" s="1579"/>
      <c r="AF21" s="1579"/>
      <c r="AG21" s="1579"/>
      <c r="AH21" s="1579"/>
      <c r="AI21" s="1580"/>
      <c r="AJ21" s="1581"/>
      <c r="AK21" s="595"/>
    </row>
    <row r="22" spans="1:37" ht="76.5" customHeight="1" x14ac:dyDescent="0.2">
      <c r="A22" s="1856"/>
      <c r="B22" s="131"/>
      <c r="C22" s="1431"/>
      <c r="D22" s="1565"/>
      <c r="E22" s="1519"/>
      <c r="F22" s="1535"/>
      <c r="G22" s="577"/>
      <c r="H22" s="2308">
        <v>14</v>
      </c>
      <c r="I22" s="1767" t="s">
        <v>1829</v>
      </c>
      <c r="J22" s="1861" t="s">
        <v>287</v>
      </c>
      <c r="K22" s="1861">
        <v>6</v>
      </c>
      <c r="L22" s="2290" t="s">
        <v>1830</v>
      </c>
      <c r="M22" s="1856">
        <v>68</v>
      </c>
      <c r="N22" s="1767" t="s">
        <v>1831</v>
      </c>
      <c r="O22" s="2302">
        <f>(T22+T23+T24)/P22</f>
        <v>1</v>
      </c>
      <c r="P22" s="2305">
        <v>676300058</v>
      </c>
      <c r="Q22" s="1767" t="s">
        <v>1832</v>
      </c>
      <c r="R22" s="1767" t="s">
        <v>1833</v>
      </c>
      <c r="S22" s="1504" t="s">
        <v>1834</v>
      </c>
      <c r="T22" s="1582">
        <v>307600000</v>
      </c>
      <c r="U22" s="1498">
        <v>20</v>
      </c>
      <c r="V22" s="1534" t="s">
        <v>1804</v>
      </c>
      <c r="W22" s="2275"/>
      <c r="X22" s="2275"/>
      <c r="Y22" s="2275"/>
      <c r="Z22" s="2275"/>
      <c r="AA22" s="2275"/>
      <c r="AB22" s="2275"/>
      <c r="AC22" s="2275"/>
      <c r="AD22" s="2275"/>
      <c r="AE22" s="2275"/>
      <c r="AF22" s="2275"/>
      <c r="AG22" s="2275"/>
      <c r="AH22" s="2275"/>
      <c r="AI22" s="1850">
        <v>42736</v>
      </c>
      <c r="AJ22" s="1850">
        <v>43100</v>
      </c>
      <c r="AK22" s="2286" t="s">
        <v>1825</v>
      </c>
    </row>
    <row r="23" spans="1:37" ht="52.5" customHeight="1" x14ac:dyDescent="0.2">
      <c r="A23" s="1857"/>
      <c r="B23" s="133"/>
      <c r="C23" s="103"/>
      <c r="D23" s="1565"/>
      <c r="E23" s="1519"/>
      <c r="F23" s="261"/>
      <c r="G23" s="1566"/>
      <c r="H23" s="1891"/>
      <c r="I23" s="1768"/>
      <c r="J23" s="1865"/>
      <c r="K23" s="1865"/>
      <c r="L23" s="2301"/>
      <c r="M23" s="1857"/>
      <c r="N23" s="1768"/>
      <c r="O23" s="2303"/>
      <c r="P23" s="2306"/>
      <c r="Q23" s="1768"/>
      <c r="R23" s="1768"/>
      <c r="S23" s="1504" t="s">
        <v>1835</v>
      </c>
      <c r="T23" s="1585">
        <f>50000000+219592885</f>
        <v>269592885</v>
      </c>
      <c r="U23" s="1498">
        <v>20</v>
      </c>
      <c r="V23" s="1534" t="s">
        <v>1804</v>
      </c>
      <c r="W23" s="2276"/>
      <c r="X23" s="2276"/>
      <c r="Y23" s="2276"/>
      <c r="Z23" s="2276"/>
      <c r="AA23" s="2276"/>
      <c r="AB23" s="2276"/>
      <c r="AC23" s="2276"/>
      <c r="AD23" s="2276"/>
      <c r="AE23" s="2276"/>
      <c r="AF23" s="2276"/>
      <c r="AG23" s="2276"/>
      <c r="AH23" s="2276"/>
      <c r="AI23" s="1851"/>
      <c r="AJ23" s="1851"/>
      <c r="AK23" s="2287"/>
    </row>
    <row r="24" spans="1:37" ht="58.5" customHeight="1" x14ac:dyDescent="0.2">
      <c r="A24" s="1858"/>
      <c r="B24" s="137"/>
      <c r="C24" s="1440"/>
      <c r="D24" s="1565"/>
      <c r="E24" s="1519"/>
      <c r="F24" s="261"/>
      <c r="G24" s="1566"/>
      <c r="H24" s="2309"/>
      <c r="I24" s="1769"/>
      <c r="J24" s="1862"/>
      <c r="K24" s="1862"/>
      <c r="L24" s="2291"/>
      <c r="M24" s="1858"/>
      <c r="N24" s="1769"/>
      <c r="O24" s="2304"/>
      <c r="P24" s="2307"/>
      <c r="Q24" s="1769"/>
      <c r="R24" s="1769"/>
      <c r="S24" s="1504" t="s">
        <v>1836</v>
      </c>
      <c r="T24" s="1586">
        <v>99107173</v>
      </c>
      <c r="U24" s="1498">
        <v>20</v>
      </c>
      <c r="V24" s="1534" t="s">
        <v>1804</v>
      </c>
      <c r="W24" s="2277"/>
      <c r="X24" s="2277"/>
      <c r="Y24" s="2277"/>
      <c r="Z24" s="2277"/>
      <c r="AA24" s="2277"/>
      <c r="AB24" s="2277"/>
      <c r="AC24" s="2277"/>
      <c r="AD24" s="2276"/>
      <c r="AE24" s="2277"/>
      <c r="AF24" s="2277"/>
      <c r="AG24" s="2277"/>
      <c r="AH24" s="2277"/>
      <c r="AI24" s="1852"/>
      <c r="AJ24" s="1852"/>
      <c r="AK24" s="2288"/>
    </row>
    <row r="25" spans="1:37" ht="102" customHeight="1" x14ac:dyDescent="0.2">
      <c r="A25" s="1982"/>
      <c r="B25" s="1142"/>
      <c r="C25" s="1587"/>
      <c r="D25" s="1565"/>
      <c r="E25" s="1519"/>
      <c r="F25" s="261"/>
      <c r="G25" s="1566"/>
      <c r="H25" s="2299">
        <v>15</v>
      </c>
      <c r="I25" s="1767" t="s">
        <v>1837</v>
      </c>
      <c r="J25" s="1886" t="s">
        <v>287</v>
      </c>
      <c r="K25" s="1886">
        <v>2</v>
      </c>
      <c r="L25" s="1830" t="s">
        <v>1838</v>
      </c>
      <c r="M25" s="1886">
        <v>69</v>
      </c>
      <c r="N25" s="1830" t="s">
        <v>1839</v>
      </c>
      <c r="O25" s="2294">
        <f>(T25+T26)/P25</f>
        <v>0.91743818541371469</v>
      </c>
      <c r="P25" s="2296">
        <v>346407115</v>
      </c>
      <c r="Q25" s="1767" t="s">
        <v>1840</v>
      </c>
      <c r="R25" s="1798" t="s">
        <v>1841</v>
      </c>
      <c r="S25" s="1504" t="s">
        <v>1842</v>
      </c>
      <c r="T25" s="1586">
        <v>90000000</v>
      </c>
      <c r="U25" s="1498">
        <v>20</v>
      </c>
      <c r="V25" s="1534" t="s">
        <v>1804</v>
      </c>
      <c r="W25" s="2275"/>
      <c r="X25" s="2275"/>
      <c r="Y25" s="2275"/>
      <c r="Z25" s="2275"/>
      <c r="AA25" s="2275"/>
      <c r="AB25" s="2275"/>
      <c r="AC25" s="2275"/>
      <c r="AD25" s="2276"/>
      <c r="AE25" s="2275"/>
      <c r="AF25" s="2275"/>
      <c r="AG25" s="2275"/>
      <c r="AH25" s="2275"/>
      <c r="AI25" s="1588">
        <v>42736</v>
      </c>
      <c r="AJ25" s="1511">
        <v>43100</v>
      </c>
      <c r="AK25" s="2308" t="s">
        <v>1825</v>
      </c>
    </row>
    <row r="26" spans="1:37" ht="28.5" x14ac:dyDescent="0.2">
      <c r="A26" s="1978"/>
      <c r="B26" s="1589"/>
      <c r="C26" s="1141"/>
      <c r="D26" s="1565"/>
      <c r="E26" s="1519"/>
      <c r="F26" s="261"/>
      <c r="G26" s="1566"/>
      <c r="H26" s="2300"/>
      <c r="I26" s="1769"/>
      <c r="J26" s="1888"/>
      <c r="K26" s="1888"/>
      <c r="L26" s="1926"/>
      <c r="M26" s="1887"/>
      <c r="N26" s="1926"/>
      <c r="O26" s="2295"/>
      <c r="P26" s="2297"/>
      <c r="Q26" s="1768"/>
      <c r="R26" s="1799"/>
      <c r="S26" s="1504" t="s">
        <v>1843</v>
      </c>
      <c r="T26" s="1149">
        <f>79400000+148407115</f>
        <v>227807115</v>
      </c>
      <c r="U26" s="1521">
        <v>20</v>
      </c>
      <c r="V26" s="1534" t="s">
        <v>1804</v>
      </c>
      <c r="W26" s="2276"/>
      <c r="X26" s="2276"/>
      <c r="Y26" s="2276"/>
      <c r="Z26" s="2276"/>
      <c r="AA26" s="2276"/>
      <c r="AB26" s="2276"/>
      <c r="AC26" s="2276"/>
      <c r="AD26" s="2276"/>
      <c r="AE26" s="2276"/>
      <c r="AF26" s="2276"/>
      <c r="AG26" s="2276"/>
      <c r="AH26" s="2276"/>
      <c r="AI26" s="1588">
        <v>42736</v>
      </c>
      <c r="AJ26" s="1511">
        <v>43100</v>
      </c>
      <c r="AK26" s="1891"/>
    </row>
    <row r="27" spans="1:37" ht="142.5" x14ac:dyDescent="0.2">
      <c r="A27" s="1978"/>
      <c r="B27" s="1589"/>
      <c r="C27" s="1141"/>
      <c r="D27" s="1565"/>
      <c r="E27" s="1519"/>
      <c r="F27" s="261"/>
      <c r="G27" s="1566"/>
      <c r="H27" s="1590">
        <v>16</v>
      </c>
      <c r="I27" s="1504" t="s">
        <v>1844</v>
      </c>
      <c r="J27" s="1514" t="s">
        <v>287</v>
      </c>
      <c r="K27" s="1513">
        <v>3</v>
      </c>
      <c r="L27" s="1926"/>
      <c r="M27" s="1887"/>
      <c r="N27" s="1926"/>
      <c r="O27" s="1591">
        <f>T27/P25</f>
        <v>1.7320660402717191E-2</v>
      </c>
      <c r="P27" s="2297"/>
      <c r="Q27" s="1768"/>
      <c r="R27" s="1799"/>
      <c r="S27" s="1504" t="s">
        <v>1845</v>
      </c>
      <c r="T27" s="1592">
        <v>6000000</v>
      </c>
      <c r="U27" s="1521">
        <v>20</v>
      </c>
      <c r="V27" s="1534" t="s">
        <v>1804</v>
      </c>
      <c r="W27" s="2276"/>
      <c r="X27" s="2276"/>
      <c r="Y27" s="2276"/>
      <c r="Z27" s="1593"/>
      <c r="AA27" s="1593"/>
      <c r="AB27" s="1593"/>
      <c r="AC27" s="2276"/>
      <c r="AD27" s="1718"/>
      <c r="AE27" s="2276"/>
      <c r="AF27" s="2276"/>
      <c r="AG27" s="2276"/>
      <c r="AH27" s="2276"/>
      <c r="AI27" s="1588">
        <v>42736</v>
      </c>
      <c r="AJ27" s="1511">
        <v>43100</v>
      </c>
      <c r="AK27" s="1891"/>
    </row>
    <row r="28" spans="1:37" ht="99.75" x14ac:dyDescent="0.2">
      <c r="A28" s="1978"/>
      <c r="B28" s="1589"/>
      <c r="C28" s="1141"/>
      <c r="D28" s="1565"/>
      <c r="E28" s="1519"/>
      <c r="F28" s="261"/>
      <c r="G28" s="1566"/>
      <c r="H28" s="1590">
        <v>18</v>
      </c>
      <c r="I28" s="1504" t="s">
        <v>1846</v>
      </c>
      <c r="J28" s="1514" t="s">
        <v>287</v>
      </c>
      <c r="K28" s="1513">
        <v>7</v>
      </c>
      <c r="L28" s="1926"/>
      <c r="M28" s="1887"/>
      <c r="N28" s="1926"/>
      <c r="O28" s="1591">
        <f>T28/P25</f>
        <v>2.4826279910561307E-2</v>
      </c>
      <c r="P28" s="2297"/>
      <c r="Q28" s="1768"/>
      <c r="R28" s="1800"/>
      <c r="S28" s="1520" t="s">
        <v>1847</v>
      </c>
      <c r="T28" s="1594">
        <f>10000000-1400000</f>
        <v>8600000</v>
      </c>
      <c r="U28" s="1521">
        <v>20</v>
      </c>
      <c r="V28" s="1534" t="s">
        <v>1804</v>
      </c>
      <c r="W28" s="2276"/>
      <c r="X28" s="2276"/>
      <c r="Y28" s="2276"/>
      <c r="Z28" s="1593"/>
      <c r="AA28" s="1593"/>
      <c r="AB28" s="1593"/>
      <c r="AC28" s="2276"/>
      <c r="AD28" s="1718"/>
      <c r="AE28" s="2276"/>
      <c r="AF28" s="2276"/>
      <c r="AG28" s="2276"/>
      <c r="AH28" s="2276"/>
      <c r="AI28" s="1588">
        <v>42736</v>
      </c>
      <c r="AJ28" s="1511">
        <v>43100</v>
      </c>
      <c r="AK28" s="1891"/>
    </row>
    <row r="29" spans="1:37" ht="142.5" x14ac:dyDescent="0.2">
      <c r="A29" s="1978"/>
      <c r="B29" s="1589"/>
      <c r="C29" s="1141"/>
      <c r="D29" s="1565"/>
      <c r="E29" s="1519"/>
      <c r="F29" s="261"/>
      <c r="G29" s="1566"/>
      <c r="H29" s="1590">
        <v>19</v>
      </c>
      <c r="I29" s="1504" t="s">
        <v>1848</v>
      </c>
      <c r="J29" s="1500" t="s">
        <v>287</v>
      </c>
      <c r="K29" s="1513">
        <v>9</v>
      </c>
      <c r="L29" s="1926"/>
      <c r="M29" s="1887"/>
      <c r="N29" s="1926"/>
      <c r="O29" s="1591">
        <f>T29/P25</f>
        <v>2.020743713650339E-2</v>
      </c>
      <c r="P29" s="2297"/>
      <c r="Q29" s="1768"/>
      <c r="R29" s="1507" t="s">
        <v>1849</v>
      </c>
      <c r="S29" s="1520" t="s">
        <v>1850</v>
      </c>
      <c r="T29" s="1594">
        <v>7000000</v>
      </c>
      <c r="U29" s="1521">
        <v>20</v>
      </c>
      <c r="V29" s="1534" t="s">
        <v>1804</v>
      </c>
      <c r="W29" s="2276"/>
      <c r="X29" s="2276"/>
      <c r="Y29" s="2276"/>
      <c r="Z29" s="1593"/>
      <c r="AA29" s="1593"/>
      <c r="AB29" s="1593"/>
      <c r="AC29" s="2276"/>
      <c r="AD29" s="1718"/>
      <c r="AE29" s="2276"/>
      <c r="AF29" s="2276"/>
      <c r="AG29" s="2276"/>
      <c r="AH29" s="2276"/>
      <c r="AI29" s="1588">
        <v>42736</v>
      </c>
      <c r="AJ29" s="1511">
        <v>43100</v>
      </c>
      <c r="AK29" s="1891"/>
    </row>
    <row r="30" spans="1:37" ht="156.75" x14ac:dyDescent="0.2">
      <c r="A30" s="1979"/>
      <c r="B30" s="1595"/>
      <c r="C30" s="1596"/>
      <c r="D30" s="1597"/>
      <c r="E30" s="1528"/>
      <c r="F30" s="1570"/>
      <c r="G30" s="1571"/>
      <c r="H30" s="1590">
        <v>20</v>
      </c>
      <c r="I30" s="1504" t="s">
        <v>1851</v>
      </c>
      <c r="J30" s="1500" t="s">
        <v>287</v>
      </c>
      <c r="K30" s="1513">
        <v>70</v>
      </c>
      <c r="L30" s="1927"/>
      <c r="M30" s="1888"/>
      <c r="N30" s="1927"/>
      <c r="O30" s="1591">
        <f>T30/P25</f>
        <v>2.020743713650339E-2</v>
      </c>
      <c r="P30" s="2298"/>
      <c r="Q30" s="1769"/>
      <c r="R30" s="1507" t="s">
        <v>1852</v>
      </c>
      <c r="S30" s="1520" t="s">
        <v>1853</v>
      </c>
      <c r="T30" s="1598">
        <v>7000000</v>
      </c>
      <c r="U30" s="1521">
        <v>20</v>
      </c>
      <c r="V30" s="1534" t="s">
        <v>1804</v>
      </c>
      <c r="W30" s="2277"/>
      <c r="X30" s="2277"/>
      <c r="Y30" s="2277"/>
      <c r="Z30" s="1599"/>
      <c r="AA30" s="1599"/>
      <c r="AB30" s="1599"/>
      <c r="AC30" s="2277"/>
      <c r="AD30" s="1718"/>
      <c r="AE30" s="2277"/>
      <c r="AF30" s="2277"/>
      <c r="AG30" s="2277"/>
      <c r="AH30" s="2277"/>
      <c r="AI30" s="1588">
        <v>42736</v>
      </c>
      <c r="AJ30" s="1511">
        <v>43100</v>
      </c>
      <c r="AK30" s="2309"/>
    </row>
    <row r="31" spans="1:37" ht="12.75" customHeight="1" x14ac:dyDescent="0.2">
      <c r="A31" s="1541">
        <v>2</v>
      </c>
      <c r="B31" s="1542" t="s">
        <v>436</v>
      </c>
      <c r="C31" s="1542"/>
      <c r="D31" s="1544"/>
      <c r="E31" s="1544"/>
      <c r="F31" s="1544"/>
      <c r="G31" s="1544"/>
      <c r="H31" s="1542"/>
      <c r="I31" s="1543"/>
      <c r="J31" s="1542"/>
      <c r="K31" s="1542"/>
      <c r="L31" s="1600"/>
      <c r="M31" s="1601"/>
      <c r="N31" s="1600"/>
      <c r="O31" s="1602"/>
      <c r="P31" s="1603"/>
      <c r="Q31" s="1600"/>
      <c r="R31" s="1600"/>
      <c r="S31" s="1600"/>
      <c r="T31" s="1604"/>
      <c r="U31" s="1669"/>
      <c r="V31" s="1601"/>
      <c r="W31" s="1605"/>
      <c r="X31" s="1605"/>
      <c r="Y31" s="1605"/>
      <c r="Z31" s="1605"/>
      <c r="AA31" s="1605"/>
      <c r="AB31" s="1605"/>
      <c r="AC31" s="1545"/>
      <c r="AD31" s="1545"/>
      <c r="AE31" s="1545"/>
      <c r="AF31" s="1545"/>
      <c r="AG31" s="1545"/>
      <c r="AH31" s="1545"/>
      <c r="AI31" s="1606"/>
      <c r="AJ31" s="1607"/>
      <c r="AK31" s="1608"/>
    </row>
    <row r="32" spans="1:37" ht="15" x14ac:dyDescent="0.2">
      <c r="A32" s="1982"/>
      <c r="B32" s="1142"/>
      <c r="C32" s="1609">
        <v>2</v>
      </c>
      <c r="D32" s="2310" t="s">
        <v>438</v>
      </c>
      <c r="E32" s="2311"/>
      <c r="F32" s="2311"/>
      <c r="G32" s="2311"/>
      <c r="H32" s="2311"/>
      <c r="I32" s="2311"/>
      <c r="J32" s="1610"/>
      <c r="K32" s="1611"/>
      <c r="L32" s="1611"/>
      <c r="M32" s="1612"/>
      <c r="N32" s="1611"/>
      <c r="O32" s="1613"/>
      <c r="P32" s="1614"/>
      <c r="Q32" s="1611"/>
      <c r="R32" s="1611"/>
      <c r="S32" s="1611"/>
      <c r="T32" s="1615"/>
      <c r="U32" s="1710"/>
      <c r="V32" s="1616"/>
      <c r="W32" s="1617"/>
      <c r="X32" s="1618"/>
      <c r="Y32" s="1617"/>
      <c r="Z32" s="1617"/>
      <c r="AA32" s="1617"/>
      <c r="AB32" s="1617"/>
      <c r="AC32" s="1619"/>
      <c r="AD32" s="1619"/>
      <c r="AE32" s="1619"/>
      <c r="AF32" s="1619"/>
      <c r="AG32" s="1619"/>
      <c r="AH32" s="1619"/>
      <c r="AI32" s="1620"/>
      <c r="AJ32" s="1621"/>
      <c r="AK32" s="1622"/>
    </row>
    <row r="33" spans="1:37" ht="15.75" customHeight="1" x14ac:dyDescent="0.2">
      <c r="A33" s="1978"/>
      <c r="B33" s="1589"/>
      <c r="C33" s="1623"/>
      <c r="D33" s="1535"/>
      <c r="E33" s="1501"/>
      <c r="F33" s="1624">
        <v>4</v>
      </c>
      <c r="G33" s="2312" t="s">
        <v>1854</v>
      </c>
      <c r="H33" s="2313"/>
      <c r="I33" s="2313"/>
      <c r="J33" s="2313"/>
      <c r="K33" s="2313"/>
      <c r="L33" s="56"/>
      <c r="M33" s="593"/>
      <c r="N33" s="56"/>
      <c r="O33" s="1558"/>
      <c r="P33" s="1161"/>
      <c r="Q33" s="56"/>
      <c r="R33" s="56"/>
      <c r="S33" s="56"/>
      <c r="T33" s="1163"/>
      <c r="U33" s="608"/>
      <c r="V33" s="1525"/>
      <c r="W33" s="1560"/>
      <c r="X33" s="1557"/>
      <c r="Y33" s="1560"/>
      <c r="Z33" s="1560"/>
      <c r="AA33" s="1560"/>
      <c r="AB33" s="1560"/>
      <c r="AC33" s="1579"/>
      <c r="AD33" s="1579"/>
      <c r="AE33" s="1579"/>
      <c r="AF33" s="1579"/>
      <c r="AG33" s="1579"/>
      <c r="AH33" s="1579"/>
      <c r="AI33" s="1580"/>
      <c r="AJ33" s="1581"/>
      <c r="AK33" s="595"/>
    </row>
    <row r="34" spans="1:37" ht="129.75" customHeight="1" x14ac:dyDescent="0.2">
      <c r="A34" s="1978"/>
      <c r="B34" s="1589"/>
      <c r="C34" s="1141"/>
      <c r="D34" s="589"/>
      <c r="E34" s="576"/>
      <c r="F34" s="1535"/>
      <c r="G34" s="577"/>
      <c r="H34" s="89">
        <v>21</v>
      </c>
      <c r="I34" s="1504" t="s">
        <v>1855</v>
      </c>
      <c r="J34" s="1500" t="s">
        <v>287</v>
      </c>
      <c r="K34" s="1513">
        <v>100</v>
      </c>
      <c r="L34" s="1767" t="s">
        <v>1856</v>
      </c>
      <c r="M34" s="1856">
        <v>72</v>
      </c>
      <c r="N34" s="1830" t="s">
        <v>1857</v>
      </c>
      <c r="O34" s="1591">
        <f>T34/P34</f>
        <v>0.14285714285714285</v>
      </c>
      <c r="P34" s="2296">
        <v>350000000</v>
      </c>
      <c r="Q34" s="1767" t="s">
        <v>1858</v>
      </c>
      <c r="R34" s="1767" t="s">
        <v>1859</v>
      </c>
      <c r="S34" s="488" t="s">
        <v>1860</v>
      </c>
      <c r="T34" s="1149">
        <v>50000000</v>
      </c>
      <c r="U34" s="1521">
        <v>20</v>
      </c>
      <c r="V34" s="1534" t="s">
        <v>1804</v>
      </c>
      <c r="W34" s="1886"/>
      <c r="X34" s="1886">
        <v>10</v>
      </c>
      <c r="Y34" s="1886">
        <v>20</v>
      </c>
      <c r="Z34" s="1886"/>
      <c r="AA34" s="1886">
        <v>30</v>
      </c>
      <c r="AB34" s="1886">
        <v>40</v>
      </c>
      <c r="AC34" s="1886"/>
      <c r="AD34" s="1886">
        <v>5</v>
      </c>
      <c r="AE34" s="1886"/>
      <c r="AF34" s="1886"/>
      <c r="AG34" s="1886"/>
      <c r="AH34" s="1886"/>
      <c r="AI34" s="1625">
        <v>42736</v>
      </c>
      <c r="AJ34" s="732">
        <v>43100</v>
      </c>
      <c r="AK34" s="2314" t="s">
        <v>1825</v>
      </c>
    </row>
    <row r="35" spans="1:37" ht="78" customHeight="1" x14ac:dyDescent="0.2">
      <c r="A35" s="1978"/>
      <c r="B35" s="1589"/>
      <c r="C35" s="1141"/>
      <c r="D35" s="601"/>
      <c r="E35" s="163"/>
      <c r="F35" s="1626"/>
      <c r="G35" s="602"/>
      <c r="H35" s="2308">
        <v>22</v>
      </c>
      <c r="I35" s="1767" t="s">
        <v>1861</v>
      </c>
      <c r="J35" s="1774" t="s">
        <v>287</v>
      </c>
      <c r="K35" s="1823">
        <v>1</v>
      </c>
      <c r="L35" s="1768"/>
      <c r="M35" s="1857"/>
      <c r="N35" s="1926"/>
      <c r="O35" s="2294">
        <f>(T35+T36)/P34</f>
        <v>0.14285714285714285</v>
      </c>
      <c r="P35" s="2297"/>
      <c r="Q35" s="1768"/>
      <c r="R35" s="1768"/>
      <c r="S35" s="488" t="s">
        <v>1862</v>
      </c>
      <c r="T35" s="1627">
        <v>20000000</v>
      </c>
      <c r="U35" s="1521">
        <v>20</v>
      </c>
      <c r="V35" s="1534" t="s">
        <v>1804</v>
      </c>
      <c r="W35" s="1887"/>
      <c r="X35" s="1887"/>
      <c r="Y35" s="1887"/>
      <c r="Z35" s="1887"/>
      <c r="AA35" s="1887"/>
      <c r="AB35" s="1887"/>
      <c r="AC35" s="1887"/>
      <c r="AD35" s="1887"/>
      <c r="AE35" s="1887"/>
      <c r="AF35" s="1887"/>
      <c r="AG35" s="1887"/>
      <c r="AH35" s="1887"/>
      <c r="AI35" s="2317">
        <v>42736</v>
      </c>
      <c r="AJ35" s="1850">
        <v>43100</v>
      </c>
      <c r="AK35" s="2315"/>
    </row>
    <row r="36" spans="1:37" ht="113.25" customHeight="1" x14ac:dyDescent="0.2">
      <c r="A36" s="1978"/>
      <c r="B36" s="1589"/>
      <c r="C36" s="1141"/>
      <c r="D36" s="601"/>
      <c r="E36" s="163"/>
      <c r="F36" s="1626"/>
      <c r="G36" s="602"/>
      <c r="H36" s="2309"/>
      <c r="I36" s="1769"/>
      <c r="J36" s="1774"/>
      <c r="K36" s="1823"/>
      <c r="L36" s="1768"/>
      <c r="M36" s="1857"/>
      <c r="N36" s="1926"/>
      <c r="O36" s="2295"/>
      <c r="P36" s="2297"/>
      <c r="Q36" s="1768"/>
      <c r="R36" s="1769"/>
      <c r="S36" s="488" t="s">
        <v>1863</v>
      </c>
      <c r="T36" s="1627">
        <v>30000000</v>
      </c>
      <c r="U36" s="1503">
        <v>20</v>
      </c>
      <c r="V36" s="1526" t="s">
        <v>1804</v>
      </c>
      <c r="W36" s="1887"/>
      <c r="X36" s="1887"/>
      <c r="Y36" s="1887"/>
      <c r="Z36" s="1887"/>
      <c r="AA36" s="1887"/>
      <c r="AB36" s="1887"/>
      <c r="AC36" s="1887"/>
      <c r="AD36" s="1887"/>
      <c r="AE36" s="1887"/>
      <c r="AF36" s="1887"/>
      <c r="AG36" s="1887"/>
      <c r="AH36" s="1887"/>
      <c r="AI36" s="2319"/>
      <c r="AJ36" s="1852"/>
      <c r="AK36" s="2315"/>
    </row>
    <row r="37" spans="1:37" ht="85.5" x14ac:dyDescent="0.2">
      <c r="A37" s="1978"/>
      <c r="B37" s="1589"/>
      <c r="C37" s="1141"/>
      <c r="D37" s="601"/>
      <c r="E37" s="163"/>
      <c r="F37" s="1626"/>
      <c r="G37" s="602"/>
      <c r="H37" s="2308">
        <v>23</v>
      </c>
      <c r="I37" s="1767" t="s">
        <v>1864</v>
      </c>
      <c r="J37" s="1861" t="s">
        <v>287</v>
      </c>
      <c r="K37" s="1982">
        <v>1</v>
      </c>
      <c r="L37" s="1768"/>
      <c r="M37" s="1857"/>
      <c r="N37" s="1926"/>
      <c r="O37" s="2320">
        <f>(T37+T38+T39)/P34</f>
        <v>0.5714285714285714</v>
      </c>
      <c r="P37" s="2297"/>
      <c r="Q37" s="1768"/>
      <c r="R37" s="1522" t="s">
        <v>1865</v>
      </c>
      <c r="S37" s="1517" t="s">
        <v>1866</v>
      </c>
      <c r="T37" s="1627">
        <v>100000000</v>
      </c>
      <c r="U37" s="1503">
        <v>20</v>
      </c>
      <c r="V37" s="1526" t="s">
        <v>1804</v>
      </c>
      <c r="W37" s="1887"/>
      <c r="X37" s="1887"/>
      <c r="Y37" s="1887"/>
      <c r="Z37" s="1887"/>
      <c r="AA37" s="1887"/>
      <c r="AB37" s="1887"/>
      <c r="AC37" s="1887"/>
      <c r="AD37" s="1887"/>
      <c r="AE37" s="1887"/>
      <c r="AF37" s="1887"/>
      <c r="AG37" s="1887"/>
      <c r="AH37" s="1887"/>
      <c r="AI37" s="2317">
        <v>42736</v>
      </c>
      <c r="AJ37" s="1850">
        <v>43100</v>
      </c>
      <c r="AK37" s="2315"/>
    </row>
    <row r="38" spans="1:37" ht="69" customHeight="1" x14ac:dyDescent="0.2">
      <c r="A38" s="1978"/>
      <c r="B38" s="1589"/>
      <c r="C38" s="1141"/>
      <c r="D38" s="601"/>
      <c r="E38" s="163"/>
      <c r="F38" s="1626"/>
      <c r="G38" s="602"/>
      <c r="H38" s="1891"/>
      <c r="I38" s="1768"/>
      <c r="J38" s="1865"/>
      <c r="K38" s="1978"/>
      <c r="L38" s="1768"/>
      <c r="M38" s="1857"/>
      <c r="N38" s="1926"/>
      <c r="O38" s="2321"/>
      <c r="P38" s="2297"/>
      <c r="Q38" s="1768"/>
      <c r="R38" s="1523"/>
      <c r="S38" s="1517" t="s">
        <v>1867</v>
      </c>
      <c r="T38" s="1627">
        <v>80000000</v>
      </c>
      <c r="U38" s="1503">
        <v>20</v>
      </c>
      <c r="V38" s="1526" t="s">
        <v>1804</v>
      </c>
      <c r="W38" s="1887"/>
      <c r="X38" s="1887"/>
      <c r="Y38" s="1887"/>
      <c r="Z38" s="1887"/>
      <c r="AA38" s="1887"/>
      <c r="AB38" s="1887"/>
      <c r="AC38" s="1887"/>
      <c r="AD38" s="1887"/>
      <c r="AE38" s="1887"/>
      <c r="AF38" s="1887"/>
      <c r="AG38" s="1887"/>
      <c r="AH38" s="1887"/>
      <c r="AI38" s="2318"/>
      <c r="AJ38" s="1851"/>
      <c r="AK38" s="2315"/>
    </row>
    <row r="39" spans="1:37" ht="48.75" customHeight="1" x14ac:dyDescent="0.2">
      <c r="A39" s="1978"/>
      <c r="B39" s="1589"/>
      <c r="C39" s="1141"/>
      <c r="D39" s="601"/>
      <c r="E39" s="163"/>
      <c r="F39" s="1626"/>
      <c r="G39" s="602"/>
      <c r="H39" s="2309"/>
      <c r="I39" s="1769"/>
      <c r="J39" s="1862"/>
      <c r="K39" s="1979"/>
      <c r="L39" s="1768"/>
      <c r="M39" s="1857"/>
      <c r="N39" s="1926"/>
      <c r="O39" s="2322"/>
      <c r="P39" s="2297"/>
      <c r="Q39" s="1768"/>
      <c r="R39" s="1523"/>
      <c r="S39" s="1517" t="s">
        <v>1868</v>
      </c>
      <c r="T39" s="1627">
        <v>20000000</v>
      </c>
      <c r="U39" s="1503">
        <v>20</v>
      </c>
      <c r="V39" s="1526" t="s">
        <v>1804</v>
      </c>
      <c r="W39" s="1887"/>
      <c r="X39" s="1887"/>
      <c r="Y39" s="1887"/>
      <c r="Z39" s="1887"/>
      <c r="AA39" s="1887"/>
      <c r="AB39" s="1887"/>
      <c r="AC39" s="1887"/>
      <c r="AD39" s="1887"/>
      <c r="AE39" s="1887"/>
      <c r="AF39" s="1887"/>
      <c r="AG39" s="1887"/>
      <c r="AH39" s="1887"/>
      <c r="AI39" s="2319"/>
      <c r="AJ39" s="1852"/>
      <c r="AK39" s="2315"/>
    </row>
    <row r="40" spans="1:37" ht="107.25" customHeight="1" x14ac:dyDescent="0.2">
      <c r="A40" s="1979"/>
      <c r="B40" s="1595"/>
      <c r="C40" s="1596"/>
      <c r="D40" s="612"/>
      <c r="E40" s="613"/>
      <c r="F40" s="1628"/>
      <c r="G40" s="614"/>
      <c r="H40" s="89">
        <v>24</v>
      </c>
      <c r="I40" s="1504" t="s">
        <v>1869</v>
      </c>
      <c r="J40" s="1500" t="s">
        <v>287</v>
      </c>
      <c r="K40" s="1513">
        <v>1</v>
      </c>
      <c r="L40" s="1769"/>
      <c r="M40" s="1858"/>
      <c r="N40" s="1927"/>
      <c r="O40" s="1591">
        <f>T40/P34</f>
        <v>0.14285714285714285</v>
      </c>
      <c r="P40" s="2298"/>
      <c r="Q40" s="1769"/>
      <c r="R40" s="1506"/>
      <c r="S40" s="1520" t="s">
        <v>1870</v>
      </c>
      <c r="T40" s="1627">
        <v>50000000</v>
      </c>
      <c r="U40" s="1521">
        <v>20</v>
      </c>
      <c r="V40" s="1534" t="s">
        <v>1804</v>
      </c>
      <c r="W40" s="1888"/>
      <c r="X40" s="1888"/>
      <c r="Y40" s="1888"/>
      <c r="Z40" s="1888"/>
      <c r="AA40" s="1888"/>
      <c r="AB40" s="1888"/>
      <c r="AC40" s="1888"/>
      <c r="AD40" s="1888"/>
      <c r="AE40" s="1888"/>
      <c r="AF40" s="1888"/>
      <c r="AG40" s="1888"/>
      <c r="AH40" s="1888"/>
      <c r="AI40" s="1625">
        <v>42736</v>
      </c>
      <c r="AJ40" s="1511">
        <v>43100</v>
      </c>
      <c r="AK40" s="2316"/>
    </row>
    <row r="41" spans="1:37" ht="15" x14ac:dyDescent="0.2">
      <c r="A41" s="1629"/>
      <c r="B41" s="1630"/>
      <c r="C41" s="1631"/>
      <c r="D41" s="1632"/>
      <c r="E41" s="1633"/>
      <c r="F41" s="1634">
        <v>5</v>
      </c>
      <c r="G41" s="640" t="s">
        <v>1871</v>
      </c>
      <c r="H41" s="81"/>
      <c r="I41" s="1174"/>
      <c r="J41" s="56"/>
      <c r="K41" s="1525"/>
      <c r="L41" s="56"/>
      <c r="M41" s="593"/>
      <c r="N41" s="56"/>
      <c r="O41" s="1558"/>
      <c r="P41" s="1161"/>
      <c r="Q41" s="56"/>
      <c r="R41" s="56"/>
      <c r="S41" s="56"/>
      <c r="T41" s="1163"/>
      <c r="U41" s="608"/>
      <c r="V41" s="1525"/>
      <c r="W41" s="1560"/>
      <c r="X41" s="1557"/>
      <c r="Y41" s="1560"/>
      <c r="Z41" s="1560"/>
      <c r="AA41" s="1560"/>
      <c r="AB41" s="1560"/>
      <c r="AC41" s="1635"/>
      <c r="AD41" s="1560"/>
      <c r="AE41" s="1635"/>
      <c r="AF41" s="1635"/>
      <c r="AG41" s="1635"/>
      <c r="AH41" s="1635"/>
      <c r="AI41" s="1580"/>
      <c r="AJ41" s="1581"/>
      <c r="AK41" s="595"/>
    </row>
    <row r="42" spans="1:37" ht="114" x14ac:dyDescent="0.2">
      <c r="A42" s="1982"/>
      <c r="B42" s="1142"/>
      <c r="C42" s="1587"/>
      <c r="D42" s="511"/>
      <c r="E42" s="512"/>
      <c r="F42" s="745"/>
      <c r="G42" s="718"/>
      <c r="H42" s="89">
        <v>25</v>
      </c>
      <c r="I42" s="488" t="s">
        <v>1872</v>
      </c>
      <c r="J42" s="1500" t="s">
        <v>287</v>
      </c>
      <c r="K42" s="1513">
        <v>2</v>
      </c>
      <c r="L42" s="1767" t="s">
        <v>1873</v>
      </c>
      <c r="M42" s="1886">
        <v>176</v>
      </c>
      <c r="N42" s="1830" t="s">
        <v>1874</v>
      </c>
      <c r="O42" s="1591">
        <f>T42/P42</f>
        <v>0.87804878048780488</v>
      </c>
      <c r="P42" s="2296">
        <v>410000000</v>
      </c>
      <c r="Q42" s="1767" t="s">
        <v>1875</v>
      </c>
      <c r="R42" s="1520" t="s">
        <v>1876</v>
      </c>
      <c r="S42" s="1504" t="s">
        <v>1877</v>
      </c>
      <c r="T42" s="1598">
        <f>300000000+60000000</f>
        <v>360000000</v>
      </c>
      <c r="U42" s="1521">
        <v>20</v>
      </c>
      <c r="V42" s="1534" t="s">
        <v>1804</v>
      </c>
      <c r="W42" s="1514"/>
      <c r="X42" s="1886"/>
      <c r="Y42" s="1886"/>
      <c r="Z42" s="1886"/>
      <c r="AA42" s="1886"/>
      <c r="AB42" s="1886"/>
      <c r="AC42" s="1886"/>
      <c r="AD42" s="1886"/>
      <c r="AE42" s="1886"/>
      <c r="AF42" s="1886"/>
      <c r="AG42" s="1886"/>
      <c r="AH42" s="1886"/>
      <c r="AI42" s="1637">
        <v>42736</v>
      </c>
      <c r="AJ42" s="732">
        <v>43100</v>
      </c>
      <c r="AK42" s="2314" t="s">
        <v>1825</v>
      </c>
    </row>
    <row r="43" spans="1:37" ht="185.25" x14ac:dyDescent="0.2">
      <c r="A43" s="1978"/>
      <c r="B43" s="1589"/>
      <c r="C43" s="1141"/>
      <c r="D43" s="37"/>
      <c r="E43" s="513"/>
      <c r="F43" s="1638"/>
      <c r="G43" s="514"/>
      <c r="H43" s="89">
        <v>26</v>
      </c>
      <c r="I43" s="488" t="s">
        <v>1878</v>
      </c>
      <c r="J43" s="1500" t="s">
        <v>287</v>
      </c>
      <c r="K43" s="1639">
        <v>1</v>
      </c>
      <c r="L43" s="2328"/>
      <c r="M43" s="1887"/>
      <c r="N43" s="1926"/>
      <c r="O43" s="1591">
        <f>T43/P42</f>
        <v>0.12195121951219512</v>
      </c>
      <c r="P43" s="2297"/>
      <c r="Q43" s="1768"/>
      <c r="R43" s="1520" t="s">
        <v>1879</v>
      </c>
      <c r="S43" s="1504" t="s">
        <v>1880</v>
      </c>
      <c r="T43" s="1598">
        <v>50000000</v>
      </c>
      <c r="U43" s="1521">
        <v>20</v>
      </c>
      <c r="V43" s="1534" t="s">
        <v>1804</v>
      </c>
      <c r="W43" s="1515"/>
      <c r="X43" s="1887"/>
      <c r="Y43" s="1887"/>
      <c r="Z43" s="1887"/>
      <c r="AA43" s="1887"/>
      <c r="AB43" s="1887"/>
      <c r="AC43" s="1887"/>
      <c r="AD43" s="1887"/>
      <c r="AE43" s="1887"/>
      <c r="AF43" s="1887"/>
      <c r="AG43" s="1887"/>
      <c r="AH43" s="1887"/>
      <c r="AI43" s="1637">
        <v>42736</v>
      </c>
      <c r="AJ43" s="1511">
        <v>43100</v>
      </c>
      <c r="AK43" s="2315"/>
    </row>
    <row r="44" spans="1:37" ht="85.5" x14ac:dyDescent="0.2">
      <c r="A44" s="1978"/>
      <c r="B44" s="1589"/>
      <c r="C44" s="1141"/>
      <c r="D44" s="37"/>
      <c r="E44" s="513"/>
      <c r="F44" s="1638"/>
      <c r="G44" s="514"/>
      <c r="H44" s="89">
        <v>27</v>
      </c>
      <c r="I44" s="488" t="s">
        <v>1881</v>
      </c>
      <c r="J44" s="1500" t="s">
        <v>287</v>
      </c>
      <c r="K44" s="1639">
        <v>2</v>
      </c>
      <c r="L44" s="2328"/>
      <c r="M44" s="1887"/>
      <c r="N44" s="1926"/>
      <c r="O44" s="1591">
        <f>T44/P42</f>
        <v>0</v>
      </c>
      <c r="P44" s="2297"/>
      <c r="Q44" s="1768"/>
      <c r="R44" s="1505" t="s">
        <v>1882</v>
      </c>
      <c r="S44" s="1520" t="s">
        <v>1883</v>
      </c>
      <c r="T44" s="1598">
        <v>0</v>
      </c>
      <c r="U44" s="1521">
        <v>20</v>
      </c>
      <c r="V44" s="1534" t="s">
        <v>1804</v>
      </c>
      <c r="W44" s="1515"/>
      <c r="X44" s="1887"/>
      <c r="Y44" s="1887"/>
      <c r="Z44" s="1887"/>
      <c r="AA44" s="1887"/>
      <c r="AB44" s="1887"/>
      <c r="AC44" s="1887"/>
      <c r="AD44" s="1887"/>
      <c r="AE44" s="1887"/>
      <c r="AF44" s="1887"/>
      <c r="AG44" s="1887"/>
      <c r="AH44" s="1887"/>
      <c r="AI44" s="1637">
        <v>42736</v>
      </c>
      <c r="AJ44" s="1511">
        <v>43100</v>
      </c>
      <c r="AK44" s="2315"/>
    </row>
    <row r="45" spans="1:37" ht="71.25" x14ac:dyDescent="0.2">
      <c r="A45" s="1979"/>
      <c r="B45" s="1595"/>
      <c r="C45" s="1596"/>
      <c r="D45" s="37"/>
      <c r="E45" s="513"/>
      <c r="F45" s="1638"/>
      <c r="G45" s="514"/>
      <c r="H45" s="89">
        <v>28</v>
      </c>
      <c r="I45" s="488" t="s">
        <v>1884</v>
      </c>
      <c r="J45" s="1500" t="s">
        <v>287</v>
      </c>
      <c r="K45" s="1639">
        <v>2</v>
      </c>
      <c r="L45" s="2329"/>
      <c r="M45" s="1888"/>
      <c r="N45" s="1927"/>
      <c r="O45" s="1591">
        <f>T45/P42</f>
        <v>0</v>
      </c>
      <c r="P45" s="2298"/>
      <c r="Q45" s="1769"/>
      <c r="R45" s="1506"/>
      <c r="S45" s="1520" t="s">
        <v>1885</v>
      </c>
      <c r="T45" s="1598">
        <v>0</v>
      </c>
      <c r="U45" s="1521">
        <v>20</v>
      </c>
      <c r="V45" s="1534" t="s">
        <v>1804</v>
      </c>
      <c r="W45" s="1516"/>
      <c r="X45" s="1888"/>
      <c r="Y45" s="1888"/>
      <c r="Z45" s="1888"/>
      <c r="AA45" s="1888"/>
      <c r="AB45" s="1888"/>
      <c r="AC45" s="1888"/>
      <c r="AD45" s="1888"/>
      <c r="AE45" s="1888"/>
      <c r="AF45" s="1888"/>
      <c r="AG45" s="1888"/>
      <c r="AH45" s="1888"/>
      <c r="AI45" s="1637">
        <v>42736</v>
      </c>
      <c r="AJ45" s="1511">
        <v>43100</v>
      </c>
      <c r="AK45" s="2316"/>
    </row>
    <row r="46" spans="1:37" ht="128.25" x14ac:dyDescent="0.2">
      <c r="A46" s="1520"/>
      <c r="B46" s="2323"/>
      <c r="C46" s="2324"/>
      <c r="D46" s="37"/>
      <c r="E46" s="513"/>
      <c r="F46" s="1638"/>
      <c r="G46" s="514"/>
      <c r="H46" s="89">
        <v>29</v>
      </c>
      <c r="I46" s="488" t="s">
        <v>1886</v>
      </c>
      <c r="J46" s="1500" t="s">
        <v>287</v>
      </c>
      <c r="K46" s="1639">
        <v>1</v>
      </c>
      <c r="L46" s="1640" t="s">
        <v>1887</v>
      </c>
      <c r="M46" s="1521">
        <v>177</v>
      </c>
      <c r="N46" s="1524" t="s">
        <v>1888</v>
      </c>
      <c r="O46" s="1591">
        <f>T46/P46</f>
        <v>1</v>
      </c>
      <c r="P46" s="1641">
        <v>25000000</v>
      </c>
      <c r="Q46" s="1505" t="s">
        <v>1889</v>
      </c>
      <c r="R46" s="1504" t="s">
        <v>1890</v>
      </c>
      <c r="S46" s="1520" t="s">
        <v>1891</v>
      </c>
      <c r="T46" s="1598">
        <v>25000000</v>
      </c>
      <c r="U46" s="1521">
        <v>20</v>
      </c>
      <c r="V46" s="1534" t="s">
        <v>1804</v>
      </c>
      <c r="W46" s="1521"/>
      <c r="X46" s="1642"/>
      <c r="Y46" s="1514">
        <v>70</v>
      </c>
      <c r="Z46" s="1514">
        <v>100</v>
      </c>
      <c r="AA46" s="1514">
        <v>150</v>
      </c>
      <c r="AB46" s="1514">
        <v>30</v>
      </c>
      <c r="AC46" s="1643"/>
      <c r="AD46" s="1521"/>
      <c r="AE46" s="1643"/>
      <c r="AF46" s="1643"/>
      <c r="AG46" s="1643"/>
      <c r="AH46" s="1643"/>
      <c r="AI46" s="1637">
        <v>42736</v>
      </c>
      <c r="AJ46" s="1511">
        <v>43100</v>
      </c>
      <c r="AK46" s="1644" t="s">
        <v>1825</v>
      </c>
    </row>
    <row r="47" spans="1:37" ht="99.75" x14ac:dyDescent="0.2">
      <c r="A47" s="1645"/>
      <c r="B47" s="2325"/>
      <c r="C47" s="2326"/>
      <c r="D47" s="546"/>
      <c r="E47" s="547"/>
      <c r="F47" s="1646"/>
      <c r="G47" s="548"/>
      <c r="H47" s="1502">
        <v>30</v>
      </c>
      <c r="I47" s="1647" t="s">
        <v>1892</v>
      </c>
      <c r="J47" s="1500" t="s">
        <v>287</v>
      </c>
      <c r="K47" s="1639">
        <v>1</v>
      </c>
      <c r="L47" s="1640" t="s">
        <v>1893</v>
      </c>
      <c r="M47" s="1521">
        <v>175</v>
      </c>
      <c r="N47" s="1499" t="s">
        <v>1894</v>
      </c>
      <c r="O47" s="1591">
        <f>T47/P47</f>
        <v>1</v>
      </c>
      <c r="P47" s="1641">
        <v>45000000</v>
      </c>
      <c r="Q47" s="1504" t="s">
        <v>1895</v>
      </c>
      <c r="R47" s="1506" t="s">
        <v>1896</v>
      </c>
      <c r="S47" s="1520" t="s">
        <v>1897</v>
      </c>
      <c r="T47" s="1598">
        <f>25000000+20000000</f>
        <v>45000000</v>
      </c>
      <c r="U47" s="1521">
        <v>20</v>
      </c>
      <c r="V47" s="1534" t="s">
        <v>1804</v>
      </c>
      <c r="W47" s="1521"/>
      <c r="X47" s="1648"/>
      <c r="Y47" s="1521"/>
      <c r="Z47" s="1521"/>
      <c r="AA47" s="1521"/>
      <c r="AB47" s="1521"/>
      <c r="AC47" s="1643"/>
      <c r="AD47" s="1649"/>
      <c r="AE47" s="1643"/>
      <c r="AF47" s="1643"/>
      <c r="AG47" s="1643"/>
      <c r="AH47" s="1643"/>
      <c r="AI47" s="1637">
        <v>42736</v>
      </c>
      <c r="AJ47" s="732">
        <v>43100</v>
      </c>
      <c r="AK47" s="1644" t="s">
        <v>1825</v>
      </c>
    </row>
    <row r="48" spans="1:37" ht="12.75" customHeight="1" thickBot="1" x14ac:dyDescent="0.25">
      <c r="A48" s="1636"/>
      <c r="B48" s="1636"/>
      <c r="C48" s="1636"/>
      <c r="D48" s="1632"/>
      <c r="E48" s="1563"/>
      <c r="F48" s="1634">
        <v>6</v>
      </c>
      <c r="G48" s="640" t="s">
        <v>1898</v>
      </c>
      <c r="H48" s="81"/>
      <c r="I48" s="1174"/>
      <c r="J48" s="56"/>
      <c r="K48" s="1525"/>
      <c r="L48" s="56"/>
      <c r="M48" s="593"/>
      <c r="N48" s="56"/>
      <c r="O48" s="1558"/>
      <c r="P48" s="1161"/>
      <c r="Q48" s="56"/>
      <c r="R48" s="56"/>
      <c r="S48" s="56"/>
      <c r="T48" s="1163"/>
      <c r="U48" s="608"/>
      <c r="V48" s="1525"/>
      <c r="W48" s="1560"/>
      <c r="X48" s="1650"/>
      <c r="Y48" s="1651"/>
      <c r="Z48" s="1651"/>
      <c r="AA48" s="1651"/>
      <c r="AB48" s="1651"/>
      <c r="AC48" s="1561"/>
      <c r="AD48" s="1560"/>
      <c r="AE48" s="1560"/>
      <c r="AF48" s="1560"/>
      <c r="AG48" s="1560"/>
      <c r="AH48" s="1560"/>
      <c r="AI48" s="593"/>
      <c r="AJ48" s="641"/>
      <c r="AK48" s="641"/>
    </row>
    <row r="49" spans="1:37" ht="185.25" x14ac:dyDescent="0.2">
      <c r="A49" s="1978"/>
      <c r="B49" s="1589"/>
      <c r="C49" s="1623"/>
      <c r="D49" s="511"/>
      <c r="E49" s="512"/>
      <c r="F49" s="745"/>
      <c r="G49" s="718"/>
      <c r="H49" s="1639">
        <v>31</v>
      </c>
      <c r="I49" s="488" t="s">
        <v>1899</v>
      </c>
      <c r="J49" s="89" t="s">
        <v>287</v>
      </c>
      <c r="K49" s="1652">
        <v>4</v>
      </c>
      <c r="L49" s="2327" t="s">
        <v>1900</v>
      </c>
      <c r="M49" s="1886">
        <v>75</v>
      </c>
      <c r="N49" s="1830" t="s">
        <v>1901</v>
      </c>
      <c r="O49" s="1591">
        <f>T49/P49</f>
        <v>0.30257142857142855</v>
      </c>
      <c r="P49" s="2296">
        <v>350000000</v>
      </c>
      <c r="Q49" s="1767" t="s">
        <v>1902</v>
      </c>
      <c r="R49" s="1520" t="s">
        <v>1903</v>
      </c>
      <c r="S49" s="1520" t="s">
        <v>1904</v>
      </c>
      <c r="T49" s="1653">
        <f>95900000+10000000</f>
        <v>105900000</v>
      </c>
      <c r="U49" s="1521">
        <v>20</v>
      </c>
      <c r="V49" s="1534" t="s">
        <v>1804</v>
      </c>
      <c r="W49" s="1886"/>
      <c r="X49" s="1886"/>
      <c r="Y49" s="1886"/>
      <c r="Z49" s="1886"/>
      <c r="AA49" s="1886">
        <v>300</v>
      </c>
      <c r="AB49" s="1886">
        <v>10</v>
      </c>
      <c r="AC49" s="1886"/>
      <c r="AD49" s="1886"/>
      <c r="AE49" s="1886"/>
      <c r="AF49" s="1886"/>
      <c r="AG49" s="1886"/>
      <c r="AH49" s="1886"/>
      <c r="AI49" s="1637">
        <v>42736</v>
      </c>
      <c r="AJ49" s="1511">
        <v>43100</v>
      </c>
      <c r="AK49" s="2314" t="s">
        <v>1825</v>
      </c>
    </row>
    <row r="50" spans="1:37" ht="242.25" x14ac:dyDescent="0.2">
      <c r="A50" s="1978"/>
      <c r="B50" s="1589"/>
      <c r="C50" s="1623"/>
      <c r="D50" s="37"/>
      <c r="E50" s="513"/>
      <c r="F50" s="1638"/>
      <c r="G50" s="514"/>
      <c r="H50" s="1639">
        <v>32</v>
      </c>
      <c r="I50" s="488" t="s">
        <v>1905</v>
      </c>
      <c r="J50" s="89" t="s">
        <v>287</v>
      </c>
      <c r="K50" s="1654">
        <v>30</v>
      </c>
      <c r="L50" s="2328"/>
      <c r="M50" s="1887"/>
      <c r="N50" s="1926"/>
      <c r="O50" s="1591">
        <f>T50/P49</f>
        <v>0.53400000000000003</v>
      </c>
      <c r="P50" s="2297"/>
      <c r="Q50" s="1768"/>
      <c r="R50" s="1520" t="s">
        <v>1906</v>
      </c>
      <c r="S50" s="1520" t="s">
        <v>1907</v>
      </c>
      <c r="T50" s="1653">
        <f>86900000+100000000</f>
        <v>186900000</v>
      </c>
      <c r="U50" s="1521">
        <v>20</v>
      </c>
      <c r="V50" s="1534" t="s">
        <v>1804</v>
      </c>
      <c r="W50" s="1887"/>
      <c r="X50" s="1887"/>
      <c r="Y50" s="1887"/>
      <c r="Z50" s="1887"/>
      <c r="AA50" s="1887"/>
      <c r="AB50" s="1887"/>
      <c r="AC50" s="1887"/>
      <c r="AD50" s="1887"/>
      <c r="AE50" s="1887"/>
      <c r="AF50" s="1887"/>
      <c r="AG50" s="1887"/>
      <c r="AH50" s="1887"/>
      <c r="AI50" s="1637">
        <v>42736</v>
      </c>
      <c r="AJ50" s="1511">
        <v>43100</v>
      </c>
      <c r="AK50" s="2315"/>
    </row>
    <row r="51" spans="1:37" ht="185.25" x14ac:dyDescent="0.2">
      <c r="A51" s="1978"/>
      <c r="B51" s="1589"/>
      <c r="C51" s="1623"/>
      <c r="D51" s="37"/>
      <c r="E51" s="513"/>
      <c r="F51" s="1638"/>
      <c r="G51" s="514"/>
      <c r="H51" s="1639">
        <v>33</v>
      </c>
      <c r="I51" s="488" t="s">
        <v>1908</v>
      </c>
      <c r="J51" s="89" t="s">
        <v>287</v>
      </c>
      <c r="K51" s="1654">
        <v>400</v>
      </c>
      <c r="L51" s="2328"/>
      <c r="M51" s="1887"/>
      <c r="N51" s="1926"/>
      <c r="O51" s="1591">
        <f>T51/P49</f>
        <v>8.1714285714285712E-2</v>
      </c>
      <c r="P51" s="2297"/>
      <c r="Q51" s="1768"/>
      <c r="R51" s="1520" t="s">
        <v>1909</v>
      </c>
      <c r="S51" s="1520" t="s">
        <v>1910</v>
      </c>
      <c r="T51" s="1653">
        <f>8600000+20000000</f>
        <v>28600000</v>
      </c>
      <c r="U51" s="1521">
        <v>20</v>
      </c>
      <c r="V51" s="1534" t="s">
        <v>1804</v>
      </c>
      <c r="W51" s="1887"/>
      <c r="X51" s="1887"/>
      <c r="Y51" s="1887"/>
      <c r="Z51" s="1887"/>
      <c r="AA51" s="1887"/>
      <c r="AB51" s="1887"/>
      <c r="AC51" s="1887"/>
      <c r="AD51" s="1887"/>
      <c r="AE51" s="1887"/>
      <c r="AF51" s="1887"/>
      <c r="AG51" s="1887"/>
      <c r="AH51" s="1887"/>
      <c r="AI51" s="1637">
        <v>42736</v>
      </c>
      <c r="AJ51" s="1511">
        <v>43100</v>
      </c>
      <c r="AK51" s="2315"/>
    </row>
    <row r="52" spans="1:37" ht="185.25" x14ac:dyDescent="0.2">
      <c r="A52" s="1979"/>
      <c r="B52" s="1595"/>
      <c r="C52" s="1655"/>
      <c r="D52" s="546"/>
      <c r="E52" s="547"/>
      <c r="F52" s="1646"/>
      <c r="G52" s="548"/>
      <c r="H52" s="1656">
        <v>34</v>
      </c>
      <c r="I52" s="488" t="s">
        <v>1911</v>
      </c>
      <c r="J52" s="1533" t="s">
        <v>287</v>
      </c>
      <c r="K52" s="1532">
        <v>800</v>
      </c>
      <c r="L52" s="2329"/>
      <c r="M52" s="1888"/>
      <c r="N52" s="1927"/>
      <c r="O52" s="1591">
        <f>T52/P49</f>
        <v>8.1714285714285712E-2</v>
      </c>
      <c r="P52" s="2298"/>
      <c r="Q52" s="1769"/>
      <c r="R52" s="1645" t="s">
        <v>1912</v>
      </c>
      <c r="S52" s="1645" t="s">
        <v>1913</v>
      </c>
      <c r="T52" s="1657">
        <f>8600000+20000000</f>
        <v>28600000</v>
      </c>
      <c r="U52" s="1514">
        <v>20</v>
      </c>
      <c r="V52" s="1512" t="s">
        <v>1804</v>
      </c>
      <c r="W52" s="1888"/>
      <c r="X52" s="1888"/>
      <c r="Y52" s="1888"/>
      <c r="Z52" s="1888"/>
      <c r="AA52" s="1888"/>
      <c r="AB52" s="1888"/>
      <c r="AC52" s="1888"/>
      <c r="AD52" s="1888"/>
      <c r="AE52" s="1888"/>
      <c r="AF52" s="1888"/>
      <c r="AG52" s="1888"/>
      <c r="AH52" s="1888"/>
      <c r="AI52" s="1637">
        <v>42736</v>
      </c>
      <c r="AJ52" s="1511">
        <v>43100</v>
      </c>
      <c r="AK52" s="2316"/>
    </row>
    <row r="53" spans="1:37" ht="15" x14ac:dyDescent="0.2">
      <c r="A53" s="1629"/>
      <c r="B53" s="1630"/>
      <c r="C53" s="1631"/>
      <c r="D53" s="1563"/>
      <c r="E53" s="1563"/>
      <c r="F53" s="1634">
        <v>7</v>
      </c>
      <c r="G53" s="640" t="s">
        <v>1914</v>
      </c>
      <c r="H53" s="81"/>
      <c r="I53" s="1658"/>
      <c r="J53" s="56"/>
      <c r="K53" s="1525"/>
      <c r="L53" s="56"/>
      <c r="M53" s="593"/>
      <c r="N53" s="56"/>
      <c r="O53" s="1558"/>
      <c r="P53" s="1161"/>
      <c r="Q53" s="56"/>
      <c r="R53" s="56"/>
      <c r="S53" s="56"/>
      <c r="T53" s="1163"/>
      <c r="U53" s="608"/>
      <c r="V53" s="1525"/>
      <c r="W53" s="1560"/>
      <c r="X53" s="1659"/>
      <c r="Y53" s="641"/>
      <c r="Z53" s="641"/>
      <c r="AA53" s="641"/>
      <c r="AB53" s="641"/>
      <c r="AC53" s="1635"/>
      <c r="AD53" s="1560"/>
      <c r="AE53" s="1561"/>
      <c r="AF53" s="1561"/>
      <c r="AG53" s="1561"/>
      <c r="AH53" s="1561"/>
      <c r="AI53" s="1580"/>
      <c r="AJ53" s="1581"/>
      <c r="AK53" s="595"/>
    </row>
    <row r="54" spans="1:37" ht="71.25" x14ac:dyDescent="0.2">
      <c r="A54" s="1982"/>
      <c r="B54" s="1142"/>
      <c r="C54" s="1143"/>
      <c r="D54" s="511"/>
      <c r="E54" s="512"/>
      <c r="F54" s="745"/>
      <c r="G54" s="718"/>
      <c r="H54" s="1654">
        <v>35</v>
      </c>
      <c r="I54" s="488" t="s">
        <v>1915</v>
      </c>
      <c r="J54" s="89" t="s">
        <v>287</v>
      </c>
      <c r="K54" s="1639">
        <v>5</v>
      </c>
      <c r="L54" s="2327" t="s">
        <v>1916</v>
      </c>
      <c r="M54" s="1886">
        <v>78</v>
      </c>
      <c r="N54" s="1830" t="s">
        <v>1917</v>
      </c>
      <c r="O54" s="1591">
        <f>T54/P54</f>
        <v>0.4</v>
      </c>
      <c r="P54" s="2296">
        <v>150000000</v>
      </c>
      <c r="Q54" s="1767" t="s">
        <v>1918</v>
      </c>
      <c r="R54" s="1520" t="s">
        <v>1919</v>
      </c>
      <c r="S54" s="1520" t="s">
        <v>1920</v>
      </c>
      <c r="T54" s="1594">
        <f>90000000-30000000</f>
        <v>60000000</v>
      </c>
      <c r="U54" s="1521">
        <v>20</v>
      </c>
      <c r="V54" s="89" t="s">
        <v>1804</v>
      </c>
      <c r="W54" s="1886"/>
      <c r="X54" s="1886"/>
      <c r="Y54" s="1886">
        <v>20</v>
      </c>
      <c r="Z54" s="1886">
        <v>40</v>
      </c>
      <c r="AA54" s="1886">
        <v>50</v>
      </c>
      <c r="AB54" s="1886">
        <v>50</v>
      </c>
      <c r="AC54" s="1886"/>
      <c r="AD54" s="1886"/>
      <c r="AE54" s="1886"/>
      <c r="AF54" s="1886"/>
      <c r="AG54" s="1886"/>
      <c r="AH54" s="1886"/>
      <c r="AI54" s="1637">
        <v>42736</v>
      </c>
      <c r="AJ54" s="732">
        <v>43100</v>
      </c>
      <c r="AK54" s="2314" t="s">
        <v>1825</v>
      </c>
    </row>
    <row r="55" spans="1:37" ht="85.5" x14ac:dyDescent="0.2">
      <c r="A55" s="1978"/>
      <c r="B55" s="1589"/>
      <c r="C55" s="1623"/>
      <c r="D55" s="37"/>
      <c r="E55" s="513"/>
      <c r="F55" s="1638"/>
      <c r="G55" s="514"/>
      <c r="H55" s="1654">
        <v>36</v>
      </c>
      <c r="I55" s="488" t="s">
        <v>1921</v>
      </c>
      <c r="J55" s="89" t="s">
        <v>287</v>
      </c>
      <c r="K55" s="1639">
        <v>1</v>
      </c>
      <c r="L55" s="2328"/>
      <c r="M55" s="1887"/>
      <c r="N55" s="1926"/>
      <c r="O55" s="1591">
        <f>T55/P54</f>
        <v>0.22333333333333333</v>
      </c>
      <c r="P55" s="2297"/>
      <c r="Q55" s="1768"/>
      <c r="R55" s="1767" t="s">
        <v>1922</v>
      </c>
      <c r="S55" s="1520" t="s">
        <v>1923</v>
      </c>
      <c r="T55" s="1594">
        <f>3500000+30000000</f>
        <v>33500000</v>
      </c>
      <c r="U55" s="1521">
        <v>20</v>
      </c>
      <c r="V55" s="89" t="s">
        <v>1804</v>
      </c>
      <c r="W55" s="1887"/>
      <c r="X55" s="1887"/>
      <c r="Y55" s="1887"/>
      <c r="Z55" s="1887"/>
      <c r="AA55" s="1887"/>
      <c r="AB55" s="1887"/>
      <c r="AC55" s="1887"/>
      <c r="AD55" s="1887"/>
      <c r="AE55" s="1887"/>
      <c r="AF55" s="1887"/>
      <c r="AG55" s="1887"/>
      <c r="AH55" s="1887"/>
      <c r="AI55" s="1637">
        <v>42736</v>
      </c>
      <c r="AJ55" s="1511">
        <v>43100</v>
      </c>
      <c r="AK55" s="2315"/>
    </row>
    <row r="56" spans="1:37" ht="128.25" x14ac:dyDescent="0.2">
      <c r="A56" s="1978"/>
      <c r="B56" s="1589"/>
      <c r="C56" s="1623"/>
      <c r="D56" s="546"/>
      <c r="E56" s="547"/>
      <c r="F56" s="1646"/>
      <c r="G56" s="548"/>
      <c r="H56" s="1532">
        <v>37</v>
      </c>
      <c r="I56" s="1529" t="s">
        <v>1924</v>
      </c>
      <c r="J56" s="1533" t="s">
        <v>287</v>
      </c>
      <c r="K56" s="1656">
        <v>1</v>
      </c>
      <c r="L56" s="2328"/>
      <c r="M56" s="1887"/>
      <c r="N56" s="1926"/>
      <c r="O56" s="1660">
        <f>T56/P54</f>
        <v>0.37666666666666665</v>
      </c>
      <c r="P56" s="2297"/>
      <c r="Q56" s="1768"/>
      <c r="R56" s="1768"/>
      <c r="S56" s="1645" t="s">
        <v>1925</v>
      </c>
      <c r="T56" s="1657">
        <f>6500000+20000000+30000000</f>
        <v>56500000</v>
      </c>
      <c r="U56" s="1515">
        <v>20</v>
      </c>
      <c r="V56" s="1512" t="s">
        <v>1804</v>
      </c>
      <c r="W56" s="1888"/>
      <c r="X56" s="1888"/>
      <c r="Y56" s="1888"/>
      <c r="Z56" s="1888"/>
      <c r="AA56" s="1888"/>
      <c r="AB56" s="1888"/>
      <c r="AC56" s="1888"/>
      <c r="AD56" s="1888"/>
      <c r="AE56" s="1888"/>
      <c r="AF56" s="1888"/>
      <c r="AG56" s="1888"/>
      <c r="AH56" s="1888"/>
      <c r="AI56" s="1637">
        <v>42736</v>
      </c>
      <c r="AJ56" s="1511">
        <v>43100</v>
      </c>
      <c r="AK56" s="2315"/>
    </row>
    <row r="57" spans="1:37" ht="15" x14ac:dyDescent="0.2">
      <c r="A57" s="1661">
        <v>3</v>
      </c>
      <c r="B57" s="1662" t="s">
        <v>730</v>
      </c>
      <c r="C57" s="1662"/>
      <c r="D57" s="1663"/>
      <c r="E57" s="1663"/>
      <c r="F57" s="1663"/>
      <c r="G57" s="1663"/>
      <c r="H57" s="1662"/>
      <c r="I57" s="1664"/>
      <c r="J57" s="1662"/>
      <c r="K57" s="1662"/>
      <c r="L57" s="1665"/>
      <c r="M57" s="1666"/>
      <c r="N57" s="1665"/>
      <c r="O57" s="1667"/>
      <c r="P57" s="1668"/>
      <c r="Q57" s="1665"/>
      <c r="R57" s="1665"/>
      <c r="S57" s="1665"/>
      <c r="T57" s="1704"/>
      <c r="U57" s="1669"/>
      <c r="V57" s="1707"/>
      <c r="W57" s="1670"/>
      <c r="X57" s="1672"/>
      <c r="Y57" s="1672"/>
      <c r="Z57" s="1672"/>
      <c r="AA57" s="1672"/>
      <c r="AB57" s="1672"/>
      <c r="AC57" s="1671"/>
      <c r="AD57" s="1673"/>
      <c r="AE57" s="1671"/>
      <c r="AF57" s="1671"/>
      <c r="AG57" s="1671"/>
      <c r="AH57" s="1671"/>
      <c r="AI57" s="1606"/>
      <c r="AJ57" s="1607"/>
      <c r="AK57" s="1608"/>
    </row>
    <row r="58" spans="1:37" ht="15" x14ac:dyDescent="0.2">
      <c r="A58" s="1674"/>
      <c r="B58" s="1674"/>
      <c r="C58" s="1675">
        <v>11</v>
      </c>
      <c r="D58" s="1676" t="s">
        <v>731</v>
      </c>
      <c r="E58" s="1676"/>
      <c r="F58" s="1676"/>
      <c r="G58" s="1676"/>
      <c r="H58" s="1676"/>
      <c r="I58" s="1677"/>
      <c r="J58" s="1676"/>
      <c r="K58" s="1678"/>
      <c r="L58" s="1678"/>
      <c r="M58" s="1675"/>
      <c r="N58" s="1678"/>
      <c r="O58" s="1679"/>
      <c r="P58" s="1680"/>
      <c r="Q58" s="1678"/>
      <c r="R58" s="1678"/>
      <c r="S58" s="1678"/>
      <c r="T58" s="1705"/>
      <c r="U58" s="1675"/>
      <c r="V58" s="1708"/>
      <c r="W58" s="1681"/>
      <c r="X58" s="1683"/>
      <c r="Y58" s="1684"/>
      <c r="Z58" s="1684"/>
      <c r="AA58" s="1684"/>
      <c r="AB58" s="1684"/>
      <c r="AC58" s="1682"/>
      <c r="AD58" s="1685"/>
      <c r="AE58" s="1682"/>
      <c r="AF58" s="1682"/>
      <c r="AG58" s="1682"/>
      <c r="AH58" s="1682"/>
      <c r="AI58" s="1686"/>
      <c r="AJ58" s="1621"/>
      <c r="AK58" s="1687"/>
    </row>
    <row r="59" spans="1:37" ht="15" x14ac:dyDescent="0.2">
      <c r="A59" s="1636"/>
      <c r="B59" s="1636"/>
      <c r="C59" s="1636"/>
      <c r="D59" s="1688"/>
      <c r="E59" s="1688"/>
      <c r="F59" s="1689">
        <v>34</v>
      </c>
      <c r="G59" s="1690" t="s">
        <v>1926</v>
      </c>
      <c r="H59" s="80"/>
      <c r="I59" s="1658"/>
      <c r="J59" s="603"/>
      <c r="K59" s="604"/>
      <c r="L59" s="603"/>
      <c r="M59" s="608"/>
      <c r="N59" s="603"/>
      <c r="O59" s="1691"/>
      <c r="P59" s="1692"/>
      <c r="Q59" s="603"/>
      <c r="R59" s="603"/>
      <c r="S59" s="603"/>
      <c r="T59" s="1706"/>
      <c r="U59" s="608"/>
      <c r="V59" s="1709"/>
      <c r="W59" s="1693"/>
      <c r="X59" s="1659"/>
      <c r="Y59" s="641"/>
      <c r="Z59" s="641"/>
      <c r="AA59" s="641"/>
      <c r="AB59" s="641"/>
      <c r="AC59" s="1635"/>
      <c r="AD59" s="1694"/>
      <c r="AE59" s="1635"/>
      <c r="AF59" s="1635"/>
      <c r="AG59" s="1635"/>
      <c r="AH59" s="1635"/>
      <c r="AI59" s="1580"/>
      <c r="AJ59" s="1581"/>
      <c r="AK59" s="595"/>
    </row>
    <row r="60" spans="1:37" ht="71.25" x14ac:dyDescent="0.2">
      <c r="A60" s="1978"/>
      <c r="B60" s="1589"/>
      <c r="C60" s="1141"/>
      <c r="D60" s="511"/>
      <c r="E60" s="512"/>
      <c r="F60" s="745"/>
      <c r="G60" s="718"/>
      <c r="H60" s="1695">
        <v>122</v>
      </c>
      <c r="I60" s="1530" t="s">
        <v>1927</v>
      </c>
      <c r="J60" s="1534" t="s">
        <v>287</v>
      </c>
      <c r="K60" s="1527">
        <v>1</v>
      </c>
      <c r="L60" s="1768" t="s">
        <v>1928</v>
      </c>
      <c r="M60" s="1857">
        <v>79</v>
      </c>
      <c r="N60" s="1926" t="s">
        <v>1929</v>
      </c>
      <c r="O60" s="1696">
        <f>T60/P60</f>
        <v>5.128205128205128E-2</v>
      </c>
      <c r="P60" s="2297">
        <v>195000000</v>
      </c>
      <c r="Q60" s="1768" t="s">
        <v>1930</v>
      </c>
      <c r="R60" s="1524" t="s">
        <v>1927</v>
      </c>
      <c r="S60" s="1697" t="s">
        <v>1931</v>
      </c>
      <c r="T60" s="1698">
        <v>10000000</v>
      </c>
      <c r="U60" s="1516">
        <v>20</v>
      </c>
      <c r="V60" s="1534" t="s">
        <v>1804</v>
      </c>
      <c r="W60" s="1886"/>
      <c r="X60" s="1886"/>
      <c r="Y60" s="1886"/>
      <c r="Z60" s="1886"/>
      <c r="AA60" s="1886"/>
      <c r="AB60" s="1886"/>
      <c r="AC60" s="1886"/>
      <c r="AD60" s="1886"/>
      <c r="AE60" s="1886"/>
      <c r="AF60" s="1886"/>
      <c r="AG60" s="1886"/>
      <c r="AH60" s="1886"/>
      <c r="AI60" s="1637">
        <v>42736</v>
      </c>
      <c r="AJ60" s="732">
        <v>43100</v>
      </c>
      <c r="AK60" s="2315" t="s">
        <v>1825</v>
      </c>
    </row>
    <row r="61" spans="1:37" ht="142.5" x14ac:dyDescent="0.2">
      <c r="A61" s="1978"/>
      <c r="B61" s="1589"/>
      <c r="C61" s="1141"/>
      <c r="D61" s="37"/>
      <c r="E61" s="513"/>
      <c r="F61" s="1638"/>
      <c r="G61" s="514"/>
      <c r="H61" s="1699">
        <v>123</v>
      </c>
      <c r="I61" s="488" t="s">
        <v>1932</v>
      </c>
      <c r="J61" s="89" t="s">
        <v>287</v>
      </c>
      <c r="K61" s="1513">
        <v>4</v>
      </c>
      <c r="L61" s="1768"/>
      <c r="M61" s="1857"/>
      <c r="N61" s="1926"/>
      <c r="O61" s="1591">
        <f>T61/P60</f>
        <v>0.41025641025641024</v>
      </c>
      <c r="P61" s="2297"/>
      <c r="Q61" s="1768"/>
      <c r="R61" s="1504" t="s">
        <v>1933</v>
      </c>
      <c r="S61" s="1520" t="s">
        <v>1934</v>
      </c>
      <c r="T61" s="1653">
        <f>20000000+60000000</f>
        <v>80000000</v>
      </c>
      <c r="U61" s="1521">
        <v>20</v>
      </c>
      <c r="V61" s="1534" t="s">
        <v>1804</v>
      </c>
      <c r="W61" s="1887"/>
      <c r="X61" s="1887"/>
      <c r="Y61" s="1887"/>
      <c r="Z61" s="1887"/>
      <c r="AA61" s="1887"/>
      <c r="AB61" s="1887"/>
      <c r="AC61" s="1887"/>
      <c r="AD61" s="1887"/>
      <c r="AE61" s="1887"/>
      <c r="AF61" s="1887"/>
      <c r="AG61" s="1887"/>
      <c r="AH61" s="1887"/>
      <c r="AI61" s="1637">
        <v>42736</v>
      </c>
      <c r="AJ61" s="1511">
        <v>43100</v>
      </c>
      <c r="AK61" s="2315"/>
    </row>
    <row r="62" spans="1:37" ht="114" x14ac:dyDescent="0.2">
      <c r="A62" s="1978"/>
      <c r="B62" s="1589"/>
      <c r="C62" s="1141"/>
      <c r="D62" s="37"/>
      <c r="E62" s="513"/>
      <c r="F62" s="1638"/>
      <c r="G62" s="514"/>
      <c r="H62" s="1699">
        <v>124</v>
      </c>
      <c r="I62" s="488" t="s">
        <v>1935</v>
      </c>
      <c r="J62" s="89" t="s">
        <v>287</v>
      </c>
      <c r="K62" s="1513">
        <v>150</v>
      </c>
      <c r="L62" s="1768"/>
      <c r="M62" s="1857"/>
      <c r="N62" s="1926"/>
      <c r="O62" s="1591">
        <f>T62/P60</f>
        <v>0.28205128205128205</v>
      </c>
      <c r="P62" s="2297"/>
      <c r="Q62" s="1768"/>
      <c r="R62" s="1504" t="s">
        <v>1933</v>
      </c>
      <c r="S62" s="1520" t="s">
        <v>1936</v>
      </c>
      <c r="T62" s="1653">
        <f>20000000+35000000</f>
        <v>55000000</v>
      </c>
      <c r="U62" s="1521">
        <v>20</v>
      </c>
      <c r="V62" s="1534" t="s">
        <v>1804</v>
      </c>
      <c r="W62" s="1887"/>
      <c r="X62" s="1887"/>
      <c r="Y62" s="1887"/>
      <c r="Z62" s="1887"/>
      <c r="AA62" s="1887"/>
      <c r="AB62" s="1887"/>
      <c r="AC62" s="1887"/>
      <c r="AD62" s="1887"/>
      <c r="AE62" s="1887"/>
      <c r="AF62" s="1887"/>
      <c r="AG62" s="1887"/>
      <c r="AH62" s="1887"/>
      <c r="AI62" s="1637">
        <v>42736</v>
      </c>
      <c r="AJ62" s="1511">
        <v>43100</v>
      </c>
      <c r="AK62" s="2315"/>
    </row>
    <row r="63" spans="1:37" ht="114" x14ac:dyDescent="0.2">
      <c r="A63" s="1978"/>
      <c r="B63" s="1589"/>
      <c r="C63" s="1141"/>
      <c r="D63" s="37"/>
      <c r="E63" s="513"/>
      <c r="F63" s="1638"/>
      <c r="G63" s="514"/>
      <c r="H63" s="89">
        <v>126</v>
      </c>
      <c r="I63" s="1647" t="s">
        <v>1937</v>
      </c>
      <c r="J63" s="1500" t="s">
        <v>287</v>
      </c>
      <c r="K63" s="1536" t="s">
        <v>1938</v>
      </c>
      <c r="L63" s="1768"/>
      <c r="M63" s="1857"/>
      <c r="N63" s="1926"/>
      <c r="O63" s="1591">
        <f>T63/P60</f>
        <v>5.128205128205128E-2</v>
      </c>
      <c r="P63" s="2297"/>
      <c r="Q63" s="1768"/>
      <c r="R63" s="1504" t="s">
        <v>1939</v>
      </c>
      <c r="S63" s="1700" t="s">
        <v>1940</v>
      </c>
      <c r="T63" s="1653">
        <v>10000000</v>
      </c>
      <c r="U63" s="1521">
        <v>20</v>
      </c>
      <c r="V63" s="1534" t="s">
        <v>1804</v>
      </c>
      <c r="W63" s="1887"/>
      <c r="X63" s="1887"/>
      <c r="Y63" s="1887"/>
      <c r="Z63" s="1887"/>
      <c r="AA63" s="1887"/>
      <c r="AB63" s="1887"/>
      <c r="AC63" s="1887"/>
      <c r="AD63" s="1887"/>
      <c r="AE63" s="1887"/>
      <c r="AF63" s="1887"/>
      <c r="AG63" s="1887"/>
      <c r="AH63" s="1887"/>
      <c r="AI63" s="1637">
        <v>42736</v>
      </c>
      <c r="AJ63" s="1511">
        <v>43100</v>
      </c>
      <c r="AK63" s="2315"/>
    </row>
    <row r="64" spans="1:37" ht="128.25" x14ac:dyDescent="0.2">
      <c r="A64" s="1979"/>
      <c r="B64" s="1595"/>
      <c r="C64" s="1596"/>
      <c r="D64" s="546"/>
      <c r="E64" s="547"/>
      <c r="F64" s="1646"/>
      <c r="G64" s="548"/>
      <c r="H64" s="1502">
        <v>125</v>
      </c>
      <c r="I64" s="488" t="s">
        <v>1941</v>
      </c>
      <c r="J64" s="1500" t="s">
        <v>287</v>
      </c>
      <c r="K64" s="1701">
        <v>400</v>
      </c>
      <c r="L64" s="1769"/>
      <c r="M64" s="1858"/>
      <c r="N64" s="1927"/>
      <c r="O64" s="1591">
        <f>T64/P60</f>
        <v>0.20512820512820512</v>
      </c>
      <c r="P64" s="2298"/>
      <c r="Q64" s="1769"/>
      <c r="R64" s="488" t="s">
        <v>1941</v>
      </c>
      <c r="S64" s="1520" t="s">
        <v>1942</v>
      </c>
      <c r="T64" s="1582">
        <f>20000000+20000000</f>
        <v>40000000</v>
      </c>
      <c r="U64" s="1521">
        <v>20</v>
      </c>
      <c r="V64" s="1534" t="s">
        <v>1804</v>
      </c>
      <c r="W64" s="1888"/>
      <c r="X64" s="1888"/>
      <c r="Y64" s="1888"/>
      <c r="Z64" s="1888"/>
      <c r="AA64" s="1888"/>
      <c r="AB64" s="1888"/>
      <c r="AC64" s="1888"/>
      <c r="AD64" s="1888"/>
      <c r="AE64" s="1888"/>
      <c r="AF64" s="1888"/>
      <c r="AG64" s="1888"/>
      <c r="AH64" s="1888"/>
      <c r="AI64" s="1637">
        <v>42736</v>
      </c>
      <c r="AJ64" s="1511">
        <v>43100</v>
      </c>
      <c r="AK64" s="2316"/>
    </row>
    <row r="66" spans="1:37" s="78" customFormat="1" ht="15" x14ac:dyDescent="0.25">
      <c r="A66" s="507"/>
      <c r="B66" s="1169"/>
      <c r="C66" s="1169"/>
      <c r="D66" s="1169"/>
      <c r="E66" s="1169"/>
      <c r="F66" s="1169"/>
      <c r="G66" s="1169"/>
      <c r="H66" s="1169"/>
      <c r="I66" s="1733"/>
      <c r="J66" s="1169"/>
      <c r="K66" s="1169"/>
      <c r="L66" s="1733"/>
      <c r="M66" s="1169"/>
      <c r="N66" s="1734"/>
      <c r="O66" s="1735"/>
      <c r="P66" s="1736">
        <f>SUM(P12:P64)</f>
        <v>2816507173</v>
      </c>
      <c r="Q66" s="507"/>
      <c r="R66" s="1734"/>
      <c r="S66" s="674"/>
      <c r="T66" s="1737">
        <f>SUM(T12:T64)</f>
        <v>2816507173</v>
      </c>
      <c r="U66" s="507"/>
      <c r="V66" s="1169"/>
      <c r="W66" s="1738"/>
      <c r="X66" s="1738"/>
      <c r="Y66" s="1738"/>
      <c r="Z66" s="1738"/>
      <c r="AA66" s="1738"/>
      <c r="AB66" s="1738"/>
      <c r="AC66" s="1738"/>
      <c r="AD66" s="1738"/>
      <c r="AE66" s="1738"/>
      <c r="AF66" s="1738"/>
      <c r="AG66" s="1738"/>
      <c r="AH66" s="1738"/>
      <c r="AI66" s="1540"/>
      <c r="AJ66" s="1540"/>
      <c r="AK66" s="1739"/>
    </row>
    <row r="73" spans="1:37" ht="15" x14ac:dyDescent="0.25">
      <c r="D73" s="1729" t="s">
        <v>1948</v>
      </c>
      <c r="E73" s="1729"/>
      <c r="F73" s="1729"/>
      <c r="G73" s="1729"/>
      <c r="H73" s="1729"/>
      <c r="I73" s="1732"/>
    </row>
    <row r="74" spans="1:37" x14ac:dyDescent="0.2">
      <c r="D74" s="34" t="s">
        <v>1949</v>
      </c>
    </row>
  </sheetData>
  <mergeCells count="243">
    <mergeCell ref="AK60:AK64"/>
    <mergeCell ref="A1:AI2"/>
    <mergeCell ref="A3:AI3"/>
    <mergeCell ref="A4:AI4"/>
    <mergeCell ref="AF60:AF64"/>
    <mergeCell ref="AG60:AG64"/>
    <mergeCell ref="AH60:AH64"/>
    <mergeCell ref="AC60:AC64"/>
    <mergeCell ref="AD60:AD64"/>
    <mergeCell ref="AE60:AE64"/>
    <mergeCell ref="Z60:Z64"/>
    <mergeCell ref="AA60:AA64"/>
    <mergeCell ref="AB60:AB64"/>
    <mergeCell ref="W60:W64"/>
    <mergeCell ref="X60:X64"/>
    <mergeCell ref="Y60:Y64"/>
    <mergeCell ref="R55:R56"/>
    <mergeCell ref="A60:A64"/>
    <mergeCell ref="L60:L64"/>
    <mergeCell ref="M60:M64"/>
    <mergeCell ref="N60:N64"/>
    <mergeCell ref="P60:P64"/>
    <mergeCell ref="Q60:Q64"/>
    <mergeCell ref="AG54:AG56"/>
    <mergeCell ref="AH54:AH56"/>
    <mergeCell ref="AK54:AK56"/>
    <mergeCell ref="AD54:AD56"/>
    <mergeCell ref="AE54:AE56"/>
    <mergeCell ref="AF54:AF56"/>
    <mergeCell ref="AA54:AA56"/>
    <mergeCell ref="AB54:AB56"/>
    <mergeCell ref="AC54:AC56"/>
    <mergeCell ref="X54:X56"/>
    <mergeCell ref="Y54:Y56"/>
    <mergeCell ref="Z54:Z56"/>
    <mergeCell ref="A54:A56"/>
    <mergeCell ref="L54:L56"/>
    <mergeCell ref="M54:M56"/>
    <mergeCell ref="N54:N56"/>
    <mergeCell ref="P54:P56"/>
    <mergeCell ref="Q54:Q56"/>
    <mergeCell ref="W54:W56"/>
    <mergeCell ref="AE49:AE52"/>
    <mergeCell ref="AF49:AF52"/>
    <mergeCell ref="AB49:AB52"/>
    <mergeCell ref="AC49:AC52"/>
    <mergeCell ref="AD49:AD52"/>
    <mergeCell ref="Y49:Y52"/>
    <mergeCell ref="Z49:Z52"/>
    <mergeCell ref="AA49:AA52"/>
    <mergeCell ref="P49:P52"/>
    <mergeCell ref="Q49:Q52"/>
    <mergeCell ref="W49:W52"/>
    <mergeCell ref="X49:X52"/>
    <mergeCell ref="B46:C46"/>
    <mergeCell ref="B47:C47"/>
    <mergeCell ref="A49:A52"/>
    <mergeCell ref="L49:L52"/>
    <mergeCell ref="M49:M52"/>
    <mergeCell ref="N49:N52"/>
    <mergeCell ref="AG42:AG45"/>
    <mergeCell ref="AH42:AH45"/>
    <mergeCell ref="AK42:AK45"/>
    <mergeCell ref="AD42:AD45"/>
    <mergeCell ref="AE42:AE45"/>
    <mergeCell ref="AF42:AF45"/>
    <mergeCell ref="AA42:AA45"/>
    <mergeCell ref="AB42:AB45"/>
    <mergeCell ref="AC42:AC45"/>
    <mergeCell ref="X42:X45"/>
    <mergeCell ref="Y42:Y45"/>
    <mergeCell ref="Z42:Z45"/>
    <mergeCell ref="AH49:AH52"/>
    <mergeCell ref="AK49:AK52"/>
    <mergeCell ref="AG49:AG52"/>
    <mergeCell ref="A42:A45"/>
    <mergeCell ref="L42:L45"/>
    <mergeCell ref="M42:M45"/>
    <mergeCell ref="N42:N45"/>
    <mergeCell ref="P42:P45"/>
    <mergeCell ref="Q42:Q45"/>
    <mergeCell ref="AJ35:AJ36"/>
    <mergeCell ref="H37:H39"/>
    <mergeCell ref="I37:I39"/>
    <mergeCell ref="J37:J39"/>
    <mergeCell ref="K37:K39"/>
    <mergeCell ref="O37:O39"/>
    <mergeCell ref="AI35:AI36"/>
    <mergeCell ref="AH34:AH40"/>
    <mergeCell ref="AK34:AK40"/>
    <mergeCell ref="H35:H36"/>
    <mergeCell ref="I35:I36"/>
    <mergeCell ref="J35:J36"/>
    <mergeCell ref="K35:K36"/>
    <mergeCell ref="O35:O36"/>
    <mergeCell ref="AE34:AE40"/>
    <mergeCell ref="AF34:AF40"/>
    <mergeCell ref="AG34:AG40"/>
    <mergeCell ref="AB34:AB40"/>
    <mergeCell ref="AC34:AC40"/>
    <mergeCell ref="AD34:AD40"/>
    <mergeCell ref="Y34:Y40"/>
    <mergeCell ref="Z34:Z40"/>
    <mergeCell ref="AA34:AA40"/>
    <mergeCell ref="Q34:Q40"/>
    <mergeCell ref="R34:R36"/>
    <mergeCell ref="W34:W40"/>
    <mergeCell ref="X34:X40"/>
    <mergeCell ref="AI37:AI39"/>
    <mergeCell ref="AJ37:AJ39"/>
    <mergeCell ref="AK25:AK30"/>
    <mergeCell ref="A32:A40"/>
    <mergeCell ref="D32:I32"/>
    <mergeCell ref="G33:K33"/>
    <mergeCell ref="L34:L40"/>
    <mergeCell ref="M34:M40"/>
    <mergeCell ref="N34:N40"/>
    <mergeCell ref="P34:P40"/>
    <mergeCell ref="AF25:AF30"/>
    <mergeCell ref="AG25:AG30"/>
    <mergeCell ref="AH25:AH30"/>
    <mergeCell ref="AC25:AC30"/>
    <mergeCell ref="AD25:AD26"/>
    <mergeCell ref="AE25:AE30"/>
    <mergeCell ref="Z25:Z26"/>
    <mergeCell ref="AA25:AA26"/>
    <mergeCell ref="AB25:AB26"/>
    <mergeCell ref="R25:R28"/>
    <mergeCell ref="W25:W30"/>
    <mergeCell ref="X25:X30"/>
    <mergeCell ref="Y25:Y30"/>
    <mergeCell ref="L25:L30"/>
    <mergeCell ref="M25:M30"/>
    <mergeCell ref="N25:N30"/>
    <mergeCell ref="O25:O26"/>
    <mergeCell ref="P25:P30"/>
    <mergeCell ref="Q25:Q30"/>
    <mergeCell ref="A25:A30"/>
    <mergeCell ref="H25:H26"/>
    <mergeCell ref="I25:I26"/>
    <mergeCell ref="J25:J26"/>
    <mergeCell ref="K25:K26"/>
    <mergeCell ref="AI22:AI24"/>
    <mergeCell ref="R22:R24"/>
    <mergeCell ref="W22:W24"/>
    <mergeCell ref="X22:X24"/>
    <mergeCell ref="Y22:Y24"/>
    <mergeCell ref="L22:L24"/>
    <mergeCell ref="M22:M24"/>
    <mergeCell ref="N22:N24"/>
    <mergeCell ref="O22:O24"/>
    <mergeCell ref="P22:P24"/>
    <mergeCell ref="Q22:Q24"/>
    <mergeCell ref="A22:A24"/>
    <mergeCell ref="H22:H24"/>
    <mergeCell ref="I22:I24"/>
    <mergeCell ref="J22:J24"/>
    <mergeCell ref="K22:K24"/>
    <mergeCell ref="AJ22:AJ24"/>
    <mergeCell ref="AK22:AK24"/>
    <mergeCell ref="AF22:AF24"/>
    <mergeCell ref="AG22:AG24"/>
    <mergeCell ref="AH22:AH24"/>
    <mergeCell ref="AC22:AC24"/>
    <mergeCell ref="AD22:AD24"/>
    <mergeCell ref="AE22:AE24"/>
    <mergeCell ref="Z22:Z24"/>
    <mergeCell ref="AA22:AA24"/>
    <mergeCell ref="AB22:AB24"/>
    <mergeCell ref="AG19:AG20"/>
    <mergeCell ref="AH19:AH20"/>
    <mergeCell ref="AK19:AK20"/>
    <mergeCell ref="AD19:AD20"/>
    <mergeCell ref="AE19:AE20"/>
    <mergeCell ref="AF19:AF20"/>
    <mergeCell ref="AA19:AA20"/>
    <mergeCell ref="AB19:AB20"/>
    <mergeCell ref="AC19:AC20"/>
    <mergeCell ref="W19:W20"/>
    <mergeCell ref="X19:X20"/>
    <mergeCell ref="Y19:Y20"/>
    <mergeCell ref="Z19:Z20"/>
    <mergeCell ref="AK12:AK17"/>
    <mergeCell ref="R14:R17"/>
    <mergeCell ref="G18:I18"/>
    <mergeCell ref="A19:A20"/>
    <mergeCell ref="L19:L20"/>
    <mergeCell ref="M19:M20"/>
    <mergeCell ref="N19:N20"/>
    <mergeCell ref="P19:P20"/>
    <mergeCell ref="Q19:Q20"/>
    <mergeCell ref="R19:R20"/>
    <mergeCell ref="AF12:AF17"/>
    <mergeCell ref="AG12:AG17"/>
    <mergeCell ref="AH12:AH17"/>
    <mergeCell ref="AC12:AC17"/>
    <mergeCell ref="AD12:AD17"/>
    <mergeCell ref="AE12:AE17"/>
    <mergeCell ref="Z12:Z17"/>
    <mergeCell ref="AA12:AA17"/>
    <mergeCell ref="AB12:AB17"/>
    <mergeCell ref="W12:W17"/>
    <mergeCell ref="N7:N8"/>
    <mergeCell ref="O7:O8"/>
    <mergeCell ref="P7:P8"/>
    <mergeCell ref="Q7:Q8"/>
    <mergeCell ref="R7:R8"/>
    <mergeCell ref="S7:S8"/>
    <mergeCell ref="X12:X17"/>
    <mergeCell ref="Y12:Y17"/>
    <mergeCell ref="A10:A17"/>
    <mergeCell ref="D10:F10"/>
    <mergeCell ref="G11:K11"/>
    <mergeCell ref="L12:L17"/>
    <mergeCell ref="M12:M17"/>
    <mergeCell ref="N12:N17"/>
    <mergeCell ref="P12:P17"/>
    <mergeCell ref="Q12:Q17"/>
    <mergeCell ref="R12:R13"/>
    <mergeCell ref="A5:K6"/>
    <mergeCell ref="L5:V6"/>
    <mergeCell ref="W5:AH6"/>
    <mergeCell ref="AI5:AK6"/>
    <mergeCell ref="H7:H8"/>
    <mergeCell ref="I7:I8"/>
    <mergeCell ref="J7:J8"/>
    <mergeCell ref="K7:K8"/>
    <mergeCell ref="L7:L8"/>
    <mergeCell ref="M7:M8"/>
    <mergeCell ref="A7:A8"/>
    <mergeCell ref="B7:B8"/>
    <mergeCell ref="C7:C8"/>
    <mergeCell ref="D7:E8"/>
    <mergeCell ref="F7:F8"/>
    <mergeCell ref="G7:G8"/>
    <mergeCell ref="AI7:AI8"/>
    <mergeCell ref="AJ7:AJ8"/>
    <mergeCell ref="AK7:AK8"/>
    <mergeCell ref="T7:T8"/>
    <mergeCell ref="U7:U8"/>
    <mergeCell ref="V7:V8"/>
    <mergeCell ref="W7:AB7"/>
    <mergeCell ref="AC7:AH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4"/>
  <sheetViews>
    <sheetView showGridLines="0" topLeftCell="A151" zoomScale="55" zoomScaleNormal="55" workbookViewId="0">
      <selection activeCell="D164" sqref="D164:H167"/>
    </sheetView>
  </sheetViews>
  <sheetFormatPr baseColWidth="10" defaultColWidth="29" defaultRowHeight="14.25" x14ac:dyDescent="0.2"/>
  <cols>
    <col min="1" max="1" width="11.28515625" style="943" customWidth="1"/>
    <col min="2" max="2" width="17.85546875" style="943" customWidth="1"/>
    <col min="3" max="3" width="3.85546875" style="943" customWidth="1"/>
    <col min="4" max="4" width="16.42578125" style="943" customWidth="1"/>
    <col min="5" max="5" width="11.85546875" style="943" customWidth="1"/>
    <col min="6" max="6" width="8" style="943" customWidth="1"/>
    <col min="7" max="7" width="11.140625" style="943" bestFit="1" customWidth="1"/>
    <col min="8" max="8" width="8.5703125" style="943" customWidth="1"/>
    <col min="9" max="9" width="14" style="943" customWidth="1"/>
    <col min="10" max="10" width="29" style="943"/>
    <col min="11" max="11" width="35" style="1123" customWidth="1"/>
    <col min="12" max="12" width="29" style="970"/>
    <col min="13" max="13" width="15.7109375" style="970" customWidth="1"/>
    <col min="14" max="14" width="30.28515625" style="970" customWidth="1"/>
    <col min="15" max="15" width="23" style="966" customWidth="1"/>
    <col min="16" max="16" width="29" style="1124"/>
    <col min="17" max="17" width="29" style="1125"/>
    <col min="18" max="19" width="29" style="970"/>
    <col min="20" max="20" width="29" style="1123"/>
    <col min="21" max="21" width="39.42578125" style="1123" customWidth="1"/>
    <col min="22" max="22" width="29" style="1126"/>
    <col min="23" max="23" width="29" style="1132"/>
    <col min="24" max="24" width="25.85546875" style="1128" customWidth="1"/>
    <col min="25" max="25" width="12.28515625" style="943" customWidth="1"/>
    <col min="26" max="26" width="14.7109375" style="943" customWidth="1"/>
    <col min="27" max="27" width="13" style="943" customWidth="1"/>
    <col min="28" max="28" width="10.85546875" style="943" customWidth="1"/>
    <col min="29" max="29" width="13.5703125" style="943" customWidth="1"/>
    <col min="30" max="30" width="13.85546875" style="943" customWidth="1"/>
    <col min="31" max="31" width="12.28515625" style="943" customWidth="1"/>
    <col min="32" max="32" width="11.42578125" style="943" customWidth="1"/>
    <col min="33" max="33" width="12.28515625" style="966" customWidth="1"/>
    <col min="34" max="34" width="11.5703125" style="943" customWidth="1"/>
    <col min="35" max="35" width="15.42578125" style="966" customWidth="1"/>
    <col min="36" max="36" width="13" style="1133" customWidth="1"/>
    <col min="37" max="37" width="19" style="1129" customWidth="1"/>
    <col min="38" max="38" width="20.140625" style="1130" customWidth="1"/>
    <col min="39" max="39" width="29" style="1131"/>
    <col min="40" max="16384" width="29" style="943"/>
  </cols>
  <sheetData>
    <row r="1" spans="1:39" s="34" customFormat="1" ht="20.100000000000001" customHeight="1" x14ac:dyDescent="0.25">
      <c r="A1" s="1747" t="s">
        <v>1790</v>
      </c>
      <c r="B1" s="1747"/>
      <c r="C1" s="1747"/>
      <c r="D1" s="1747"/>
      <c r="E1" s="1747"/>
      <c r="F1" s="1747"/>
      <c r="G1" s="1747"/>
      <c r="H1" s="1747"/>
      <c r="I1" s="1747"/>
      <c r="J1" s="1747"/>
      <c r="K1" s="1747"/>
      <c r="L1" s="1747"/>
      <c r="M1" s="1747"/>
      <c r="N1" s="1747"/>
      <c r="O1" s="1747"/>
      <c r="P1" s="1747"/>
      <c r="Q1" s="1747"/>
      <c r="R1" s="1747"/>
      <c r="S1" s="1747"/>
      <c r="T1" s="1747"/>
      <c r="U1" s="1747"/>
      <c r="V1" s="1747"/>
      <c r="W1" s="1747"/>
      <c r="X1" s="1747"/>
      <c r="Y1" s="1747"/>
      <c r="Z1" s="1747"/>
      <c r="AA1" s="1747"/>
      <c r="AB1" s="1747"/>
      <c r="AC1" s="1747"/>
      <c r="AD1" s="1747"/>
      <c r="AE1" s="1747"/>
      <c r="AF1" s="1747"/>
      <c r="AG1" s="1747"/>
      <c r="AH1" s="1747"/>
      <c r="AI1" s="1747"/>
      <c r="AJ1" s="1747"/>
      <c r="AK1" s="1748"/>
      <c r="AL1" s="769" t="s">
        <v>0</v>
      </c>
      <c r="AM1" s="245" t="s">
        <v>1784</v>
      </c>
    </row>
    <row r="2" spans="1:39" s="34" customFormat="1" ht="20.100000000000001" customHeight="1" x14ac:dyDescent="0.25">
      <c r="A2" s="1747"/>
      <c r="B2" s="1747"/>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7"/>
      <c r="AJ2" s="1747"/>
      <c r="AK2" s="1748"/>
      <c r="AL2" s="770" t="s">
        <v>1</v>
      </c>
      <c r="AM2" s="246">
        <v>5</v>
      </c>
    </row>
    <row r="3" spans="1:39" s="34" customFormat="1" ht="20.100000000000001" customHeight="1" x14ac:dyDescent="0.25">
      <c r="A3" s="1747"/>
      <c r="B3" s="1747"/>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1747"/>
      <c r="AB3" s="1747"/>
      <c r="AC3" s="1747"/>
      <c r="AD3" s="1747"/>
      <c r="AE3" s="1747"/>
      <c r="AF3" s="1747"/>
      <c r="AG3" s="1747"/>
      <c r="AH3" s="1747"/>
      <c r="AI3" s="1747"/>
      <c r="AJ3" s="1747"/>
      <c r="AK3" s="1748"/>
      <c r="AL3" s="769" t="s">
        <v>2</v>
      </c>
      <c r="AM3" s="247" t="s">
        <v>1785</v>
      </c>
    </row>
    <row r="4" spans="1:39" s="34" customFormat="1" ht="20.100000000000001" customHeight="1" x14ac:dyDescent="0.2">
      <c r="A4" s="1750"/>
      <c r="B4" s="1750"/>
      <c r="C4" s="1750"/>
      <c r="D4" s="1750"/>
      <c r="E4" s="1750"/>
      <c r="F4" s="1750"/>
      <c r="G4" s="1750"/>
      <c r="H4" s="1750"/>
      <c r="I4" s="1750"/>
      <c r="J4" s="1750"/>
      <c r="K4" s="1750"/>
      <c r="L4" s="1750"/>
      <c r="M4" s="1750"/>
      <c r="N4" s="1750"/>
      <c r="O4" s="1750"/>
      <c r="P4" s="1750"/>
      <c r="Q4" s="1750"/>
      <c r="R4" s="1750"/>
      <c r="S4" s="1750"/>
      <c r="T4" s="1750"/>
      <c r="U4" s="1750"/>
      <c r="V4" s="1750"/>
      <c r="W4" s="1750"/>
      <c r="X4" s="1750"/>
      <c r="Y4" s="1750"/>
      <c r="Z4" s="1750"/>
      <c r="AA4" s="1750"/>
      <c r="AB4" s="1750"/>
      <c r="AC4" s="1750"/>
      <c r="AD4" s="1750"/>
      <c r="AE4" s="1750"/>
      <c r="AF4" s="1750"/>
      <c r="AG4" s="1750"/>
      <c r="AH4" s="1750"/>
      <c r="AI4" s="1750"/>
      <c r="AJ4" s="1750"/>
      <c r="AK4" s="1751"/>
      <c r="AL4" s="772" t="s">
        <v>3</v>
      </c>
      <c r="AM4" s="248" t="s">
        <v>4</v>
      </c>
    </row>
    <row r="5" spans="1:39" s="34" customFormat="1" ht="19.5" customHeight="1" x14ac:dyDescent="0.2">
      <c r="A5" s="1758" t="s">
        <v>5</v>
      </c>
      <c r="B5" s="1758"/>
      <c r="C5" s="1758"/>
      <c r="D5" s="1758"/>
      <c r="E5" s="1758"/>
      <c r="F5" s="1758"/>
      <c r="G5" s="1758"/>
      <c r="H5" s="1758"/>
      <c r="I5" s="1758"/>
      <c r="J5" s="1758"/>
      <c r="K5" s="1758"/>
      <c r="L5" s="1758"/>
      <c r="M5" s="1758"/>
      <c r="N5" s="2330"/>
      <c r="O5" s="1920"/>
      <c r="P5" s="1920"/>
      <c r="Q5" s="1920"/>
      <c r="R5" s="1920"/>
      <c r="S5" s="1920"/>
      <c r="T5" s="1920"/>
      <c r="U5" s="1920"/>
      <c r="V5" s="1920"/>
      <c r="W5" s="1920"/>
      <c r="X5" s="1920"/>
      <c r="Y5" s="1920"/>
      <c r="Z5" s="1920"/>
      <c r="AA5" s="1920"/>
      <c r="AB5" s="1920"/>
      <c r="AC5" s="1920"/>
      <c r="AD5" s="1920"/>
      <c r="AE5" s="1920"/>
      <c r="AF5" s="1920"/>
      <c r="AG5" s="1920"/>
      <c r="AH5" s="1920"/>
      <c r="AI5" s="1920"/>
      <c r="AJ5" s="1920"/>
      <c r="AK5" s="1920"/>
      <c r="AL5" s="1920"/>
      <c r="AM5" s="1921"/>
    </row>
    <row r="6" spans="1:39" s="34" customFormat="1" ht="23.25" customHeight="1" x14ac:dyDescent="0.2">
      <c r="A6" s="1806"/>
      <c r="B6" s="1806"/>
      <c r="C6" s="1806"/>
      <c r="D6" s="1806"/>
      <c r="E6" s="1806"/>
      <c r="F6" s="1806"/>
      <c r="G6" s="1806"/>
      <c r="H6" s="1806"/>
      <c r="I6" s="1806"/>
      <c r="J6" s="1806"/>
      <c r="K6" s="1806"/>
      <c r="L6" s="1806"/>
      <c r="M6" s="1806"/>
      <c r="N6" s="939"/>
      <c r="O6" s="940"/>
      <c r="P6" s="941"/>
      <c r="Q6" s="696"/>
      <c r="R6" s="941"/>
      <c r="S6" s="941"/>
      <c r="T6" s="942"/>
      <c r="U6" s="942"/>
      <c r="V6" s="941"/>
      <c r="W6" s="940"/>
      <c r="X6" s="466"/>
      <c r="Y6" s="1758" t="s">
        <v>7</v>
      </c>
      <c r="Z6" s="1758"/>
      <c r="AA6" s="1758"/>
      <c r="AB6" s="1758"/>
      <c r="AC6" s="1758"/>
      <c r="AD6" s="1758"/>
      <c r="AE6" s="1758"/>
      <c r="AF6" s="1758"/>
      <c r="AG6" s="1758"/>
      <c r="AH6" s="1758"/>
      <c r="AI6" s="1758"/>
      <c r="AJ6" s="1758"/>
      <c r="AK6" s="1758"/>
      <c r="AL6" s="1758"/>
      <c r="AM6" s="1762"/>
    </row>
    <row r="7" spans="1:39" ht="13.5" customHeight="1" x14ac:dyDescent="0.2">
      <c r="A7" s="2331" t="s">
        <v>8</v>
      </c>
      <c r="B7" s="2333" t="s">
        <v>9</v>
      </c>
      <c r="C7" s="2334"/>
      <c r="D7" s="2334" t="s">
        <v>8</v>
      </c>
      <c r="E7" s="2333" t="s">
        <v>10</v>
      </c>
      <c r="F7" s="2334"/>
      <c r="G7" s="2334" t="s">
        <v>8</v>
      </c>
      <c r="H7" s="2333" t="s">
        <v>11</v>
      </c>
      <c r="I7" s="2334"/>
      <c r="J7" s="2334" t="s">
        <v>8</v>
      </c>
      <c r="K7" s="2333" t="s">
        <v>12</v>
      </c>
      <c r="L7" s="2331" t="s">
        <v>13</v>
      </c>
      <c r="M7" s="2331" t="s">
        <v>14</v>
      </c>
      <c r="N7" s="2331" t="s">
        <v>15</v>
      </c>
      <c r="O7" s="2331" t="s">
        <v>287</v>
      </c>
      <c r="P7" s="2331" t="s">
        <v>6</v>
      </c>
      <c r="Q7" s="2333" t="s">
        <v>17</v>
      </c>
      <c r="R7" s="2333" t="s">
        <v>18</v>
      </c>
      <c r="S7" s="2333" t="s">
        <v>19</v>
      </c>
      <c r="T7" s="2333" t="s">
        <v>20</v>
      </c>
      <c r="U7" s="2331" t="s">
        <v>21</v>
      </c>
      <c r="V7" s="2331" t="s">
        <v>18</v>
      </c>
      <c r="W7" s="2331" t="s">
        <v>8</v>
      </c>
      <c r="X7" s="2331" t="s">
        <v>22</v>
      </c>
      <c r="Y7" s="2343" t="s">
        <v>23</v>
      </c>
      <c r="Z7" s="2344"/>
      <c r="AA7" s="2344"/>
      <c r="AB7" s="2344"/>
      <c r="AC7" s="2344"/>
      <c r="AD7" s="2344"/>
      <c r="AE7" s="2343" t="s">
        <v>24</v>
      </c>
      <c r="AF7" s="2344"/>
      <c r="AG7" s="2344"/>
      <c r="AH7" s="2344"/>
      <c r="AI7" s="2344"/>
      <c r="AJ7" s="2344"/>
      <c r="AK7" s="2340" t="s">
        <v>25</v>
      </c>
      <c r="AL7" s="2340" t="s">
        <v>26</v>
      </c>
      <c r="AM7" s="2337" t="s">
        <v>27</v>
      </c>
    </row>
    <row r="8" spans="1:39" ht="31.5" customHeight="1" x14ac:dyDescent="0.2">
      <c r="A8" s="2332"/>
      <c r="B8" s="2335"/>
      <c r="C8" s="2336"/>
      <c r="D8" s="2336"/>
      <c r="E8" s="2335"/>
      <c r="F8" s="2336"/>
      <c r="G8" s="2336"/>
      <c r="H8" s="2335"/>
      <c r="I8" s="2336"/>
      <c r="J8" s="2336"/>
      <c r="K8" s="2335"/>
      <c r="L8" s="2332"/>
      <c r="M8" s="2332"/>
      <c r="N8" s="2332"/>
      <c r="O8" s="2332"/>
      <c r="P8" s="2332"/>
      <c r="Q8" s="2335"/>
      <c r="R8" s="2335"/>
      <c r="S8" s="2335"/>
      <c r="T8" s="2335"/>
      <c r="U8" s="2332"/>
      <c r="V8" s="2332"/>
      <c r="W8" s="2332"/>
      <c r="X8" s="2332"/>
      <c r="Y8" s="2339" t="s">
        <v>28</v>
      </c>
      <c r="Z8" s="2339" t="s">
        <v>29</v>
      </c>
      <c r="AA8" s="2339" t="s">
        <v>30</v>
      </c>
      <c r="AB8" s="2339" t="s">
        <v>31</v>
      </c>
      <c r="AC8" s="2339" t="s">
        <v>32</v>
      </c>
      <c r="AD8" s="2339" t="s">
        <v>33</v>
      </c>
      <c r="AE8" s="2339" t="s">
        <v>34</v>
      </c>
      <c r="AF8" s="2339" t="s">
        <v>35</v>
      </c>
      <c r="AG8" s="2339" t="s">
        <v>1118</v>
      </c>
      <c r="AH8" s="2339" t="s">
        <v>37</v>
      </c>
      <c r="AI8" s="2339" t="s">
        <v>38</v>
      </c>
      <c r="AJ8" s="2339" t="s">
        <v>39</v>
      </c>
      <c r="AK8" s="2341"/>
      <c r="AL8" s="2341"/>
      <c r="AM8" s="2338"/>
    </row>
    <row r="9" spans="1:39" ht="36" customHeight="1" x14ac:dyDescent="0.2">
      <c r="A9" s="2332"/>
      <c r="B9" s="2335"/>
      <c r="C9" s="2336"/>
      <c r="D9" s="2336"/>
      <c r="E9" s="2335"/>
      <c r="F9" s="2336"/>
      <c r="G9" s="2336"/>
      <c r="H9" s="2335"/>
      <c r="I9" s="2336"/>
      <c r="J9" s="2336"/>
      <c r="K9" s="2335"/>
      <c r="L9" s="2332"/>
      <c r="M9" s="2332"/>
      <c r="N9" s="2332"/>
      <c r="O9" s="2332"/>
      <c r="P9" s="2332"/>
      <c r="Q9" s="2335"/>
      <c r="R9" s="2335"/>
      <c r="S9" s="2335"/>
      <c r="T9" s="2335"/>
      <c r="U9" s="2332"/>
      <c r="V9" s="2332"/>
      <c r="W9" s="2332"/>
      <c r="X9" s="2332"/>
      <c r="Y9" s="2339"/>
      <c r="Z9" s="2339"/>
      <c r="AA9" s="2339"/>
      <c r="AB9" s="2339"/>
      <c r="AC9" s="2339"/>
      <c r="AD9" s="2339"/>
      <c r="AE9" s="2339"/>
      <c r="AF9" s="2339"/>
      <c r="AG9" s="2339"/>
      <c r="AH9" s="2339"/>
      <c r="AI9" s="2339"/>
      <c r="AJ9" s="2339"/>
      <c r="AK9" s="2341"/>
      <c r="AL9" s="2341"/>
      <c r="AM9" s="2338"/>
    </row>
    <row r="10" spans="1:39" ht="31.5" customHeight="1" x14ac:dyDescent="0.2">
      <c r="A10" s="2332"/>
      <c r="B10" s="2335"/>
      <c r="C10" s="2336"/>
      <c r="D10" s="2336"/>
      <c r="E10" s="2335"/>
      <c r="F10" s="2336"/>
      <c r="G10" s="2336"/>
      <c r="H10" s="2335"/>
      <c r="I10" s="2336"/>
      <c r="J10" s="2336"/>
      <c r="K10" s="2335"/>
      <c r="L10" s="2332"/>
      <c r="M10" s="2369"/>
      <c r="N10" s="2332"/>
      <c r="O10" s="2332"/>
      <c r="P10" s="2332"/>
      <c r="Q10" s="2335"/>
      <c r="R10" s="2335"/>
      <c r="S10" s="2335"/>
      <c r="T10" s="2335"/>
      <c r="U10" s="2332"/>
      <c r="V10" s="2369"/>
      <c r="W10" s="2332"/>
      <c r="X10" s="2332"/>
      <c r="Y10" s="2339"/>
      <c r="Z10" s="2339"/>
      <c r="AA10" s="2339"/>
      <c r="AB10" s="2339"/>
      <c r="AC10" s="2339"/>
      <c r="AD10" s="2339"/>
      <c r="AE10" s="2339"/>
      <c r="AF10" s="2339"/>
      <c r="AG10" s="2339"/>
      <c r="AH10" s="2339"/>
      <c r="AI10" s="2339"/>
      <c r="AJ10" s="2339"/>
      <c r="AK10" s="2342"/>
      <c r="AL10" s="2342"/>
      <c r="AM10" s="2338"/>
    </row>
    <row r="11" spans="1:39" s="513" customFormat="1" ht="29.25" customHeight="1" x14ac:dyDescent="0.2">
      <c r="A11" s="944">
        <v>4</v>
      </c>
      <c r="B11" s="567" t="s">
        <v>711</v>
      </c>
      <c r="C11" s="567"/>
      <c r="D11" s="567"/>
      <c r="E11" s="567"/>
      <c r="F11" s="567"/>
      <c r="G11" s="567"/>
      <c r="H11" s="567"/>
      <c r="I11" s="567"/>
      <c r="J11" s="567"/>
      <c r="K11" s="945"/>
      <c r="L11" s="567"/>
      <c r="M11" s="567"/>
      <c r="N11" s="567"/>
      <c r="O11" s="567"/>
      <c r="P11" s="568"/>
      <c r="Q11" s="946"/>
      <c r="R11" s="947"/>
      <c r="S11" s="568"/>
      <c r="T11" s="945"/>
      <c r="U11" s="945"/>
      <c r="V11" s="948"/>
      <c r="W11" s="948"/>
      <c r="X11" s="821"/>
      <c r="Y11" s="567"/>
      <c r="Z11" s="567"/>
      <c r="AA11" s="567"/>
      <c r="AB11" s="567"/>
      <c r="AC11" s="567"/>
      <c r="AD11" s="567"/>
      <c r="AE11" s="567"/>
      <c r="AF11" s="567"/>
      <c r="AG11" s="567"/>
      <c r="AH11" s="567"/>
      <c r="AI11" s="567"/>
      <c r="AJ11" s="567"/>
      <c r="AK11" s="573"/>
      <c r="AL11" s="573"/>
      <c r="AM11" s="574"/>
    </row>
    <row r="12" spans="1:39" s="153" customFormat="1" ht="26.25" customHeight="1" x14ac:dyDescent="0.2">
      <c r="A12" s="949"/>
      <c r="B12" s="949"/>
      <c r="C12" s="950"/>
      <c r="D12" s="951">
        <v>23</v>
      </c>
      <c r="E12" s="579" t="s">
        <v>1119</v>
      </c>
      <c r="F12" s="579"/>
      <c r="G12" s="579"/>
      <c r="H12" s="579"/>
      <c r="I12" s="579"/>
      <c r="J12" s="579"/>
      <c r="K12" s="952"/>
      <c r="L12" s="579"/>
      <c r="M12" s="579"/>
      <c r="N12" s="579"/>
      <c r="O12" s="579"/>
      <c r="P12" s="580"/>
      <c r="Q12" s="953"/>
      <c r="R12" s="954"/>
      <c r="S12" s="580"/>
      <c r="T12" s="952"/>
      <c r="U12" s="952"/>
      <c r="V12" s="955"/>
      <c r="W12" s="955"/>
      <c r="X12" s="956"/>
      <c r="Y12" s="579"/>
      <c r="Z12" s="579"/>
      <c r="AA12" s="579"/>
      <c r="AB12" s="579"/>
      <c r="AC12" s="579"/>
      <c r="AD12" s="579"/>
      <c r="AE12" s="579"/>
      <c r="AF12" s="579"/>
      <c r="AG12" s="579"/>
      <c r="AH12" s="579"/>
      <c r="AI12" s="579"/>
      <c r="AJ12" s="579"/>
      <c r="AK12" s="585"/>
      <c r="AL12" s="585"/>
      <c r="AM12" s="586"/>
    </row>
    <row r="13" spans="1:39" s="153" customFormat="1" ht="30.75" customHeight="1" x14ac:dyDescent="0.2">
      <c r="A13" s="957"/>
      <c r="B13" s="957"/>
      <c r="C13" s="958"/>
      <c r="D13" s="2345"/>
      <c r="E13" s="2346"/>
      <c r="F13" s="2347"/>
      <c r="G13" s="959">
        <v>75</v>
      </c>
      <c r="H13" s="81" t="s">
        <v>1120</v>
      </c>
      <c r="I13" s="81"/>
      <c r="J13" s="81"/>
      <c r="K13" s="960"/>
      <c r="L13" s="81"/>
      <c r="M13" s="81"/>
      <c r="N13" s="81"/>
      <c r="O13" s="81"/>
      <c r="P13" s="81"/>
      <c r="Q13" s="961"/>
      <c r="R13" s="962"/>
      <c r="S13" s="56"/>
      <c r="T13" s="960"/>
      <c r="U13" s="960"/>
      <c r="V13" s="963"/>
      <c r="W13" s="963"/>
      <c r="X13" s="834"/>
      <c r="Y13" s="81"/>
      <c r="Z13" s="81"/>
      <c r="AA13" s="81"/>
      <c r="AB13" s="81"/>
      <c r="AC13" s="81"/>
      <c r="AD13" s="81"/>
      <c r="AE13" s="81"/>
      <c r="AF13" s="81"/>
      <c r="AG13" s="81"/>
      <c r="AH13" s="81"/>
      <c r="AI13" s="81"/>
      <c r="AJ13" s="81"/>
      <c r="AK13" s="594"/>
      <c r="AL13" s="594"/>
      <c r="AM13" s="595"/>
    </row>
    <row r="14" spans="1:39" s="966" customFormat="1" ht="77.25" customHeight="1" x14ac:dyDescent="0.2">
      <c r="A14" s="957"/>
      <c r="B14" s="957"/>
      <c r="C14" s="958"/>
      <c r="D14" s="2348"/>
      <c r="E14" s="2349"/>
      <c r="F14" s="2350"/>
      <c r="G14" s="2345"/>
      <c r="H14" s="2346"/>
      <c r="I14" s="2347"/>
      <c r="J14" s="2354">
        <v>214</v>
      </c>
      <c r="K14" s="2356" t="s">
        <v>1121</v>
      </c>
      <c r="L14" s="2358" t="s">
        <v>16</v>
      </c>
      <c r="M14" s="2360">
        <v>2</v>
      </c>
      <c r="N14" s="2390" t="s">
        <v>1122</v>
      </c>
      <c r="O14" s="2393" t="s">
        <v>1123</v>
      </c>
      <c r="P14" s="2356" t="s">
        <v>1124</v>
      </c>
      <c r="Q14" s="2396">
        <f>+R14/9051631612</f>
        <v>8.7608514574178849E-3</v>
      </c>
      <c r="R14" s="2376">
        <v>79300000</v>
      </c>
      <c r="S14" s="2356" t="s">
        <v>1125</v>
      </c>
      <c r="T14" s="2363" t="s">
        <v>1126</v>
      </c>
      <c r="U14" s="2366" t="s">
        <v>1127</v>
      </c>
      <c r="V14" s="2367">
        <v>79300000</v>
      </c>
      <c r="W14" s="964"/>
      <c r="X14" s="965"/>
      <c r="Y14" s="2412">
        <v>64149</v>
      </c>
      <c r="Z14" s="2412">
        <v>72224</v>
      </c>
      <c r="AA14" s="2412">
        <v>27477</v>
      </c>
      <c r="AB14" s="2412">
        <v>86843</v>
      </c>
      <c r="AC14" s="2412">
        <v>236429</v>
      </c>
      <c r="AD14" s="2412">
        <v>81384</v>
      </c>
      <c r="AE14" s="2384">
        <v>12718</v>
      </c>
      <c r="AF14" s="2384">
        <v>2145</v>
      </c>
      <c r="AG14" s="2387"/>
      <c r="AH14" s="2384">
        <v>491</v>
      </c>
      <c r="AI14" s="2384">
        <v>16892</v>
      </c>
      <c r="AJ14" s="2384">
        <v>81384</v>
      </c>
      <c r="AK14" s="2414">
        <v>42809</v>
      </c>
      <c r="AL14" s="2414">
        <v>42998</v>
      </c>
      <c r="AM14" s="2412" t="s">
        <v>1128</v>
      </c>
    </row>
    <row r="15" spans="1:39" s="970" customFormat="1" ht="12.75" customHeight="1" x14ac:dyDescent="0.2">
      <c r="A15" s="957"/>
      <c r="B15" s="957"/>
      <c r="C15" s="958"/>
      <c r="D15" s="2348"/>
      <c r="E15" s="2349"/>
      <c r="F15" s="2350"/>
      <c r="G15" s="2348"/>
      <c r="H15" s="2349"/>
      <c r="I15" s="2350"/>
      <c r="J15" s="2355"/>
      <c r="K15" s="2357"/>
      <c r="L15" s="2359"/>
      <c r="M15" s="2361"/>
      <c r="N15" s="2391"/>
      <c r="O15" s="2394"/>
      <c r="P15" s="2357"/>
      <c r="Q15" s="2396">
        <f>R15/SUM(R12:R38)*100</f>
        <v>0</v>
      </c>
      <c r="R15" s="2378"/>
      <c r="S15" s="2357"/>
      <c r="T15" s="2364"/>
      <c r="U15" s="2366"/>
      <c r="V15" s="2368"/>
      <c r="W15" s="967"/>
      <c r="X15" s="968"/>
      <c r="Y15" s="2413"/>
      <c r="Z15" s="2413"/>
      <c r="AA15" s="2413"/>
      <c r="AB15" s="2413"/>
      <c r="AC15" s="2413"/>
      <c r="AD15" s="2413"/>
      <c r="AE15" s="2385"/>
      <c r="AF15" s="2385"/>
      <c r="AG15" s="2388"/>
      <c r="AH15" s="2385"/>
      <c r="AI15" s="2385"/>
      <c r="AJ15" s="2385"/>
      <c r="AK15" s="2415"/>
      <c r="AL15" s="2415"/>
      <c r="AM15" s="2413"/>
    </row>
    <row r="16" spans="1:39" s="970" customFormat="1" ht="57" x14ac:dyDescent="0.2">
      <c r="A16" s="957"/>
      <c r="B16" s="957"/>
      <c r="C16" s="958"/>
      <c r="D16" s="2348"/>
      <c r="E16" s="2349"/>
      <c r="F16" s="2350"/>
      <c r="G16" s="2348"/>
      <c r="H16" s="2349"/>
      <c r="I16" s="2350"/>
      <c r="J16" s="971">
        <v>215</v>
      </c>
      <c r="K16" s="972" t="s">
        <v>1129</v>
      </c>
      <c r="L16" s="973" t="s">
        <v>16</v>
      </c>
      <c r="M16" s="974">
        <v>3</v>
      </c>
      <c r="N16" s="2391"/>
      <c r="O16" s="2394"/>
      <c r="P16" s="2357"/>
      <c r="Q16" s="975">
        <f>+R16/9051631612</f>
        <v>1.1611166307372254E-2</v>
      </c>
      <c r="R16" s="976">
        <v>105100000</v>
      </c>
      <c r="S16" s="2357"/>
      <c r="T16" s="2364"/>
      <c r="U16" s="977" t="s">
        <v>1130</v>
      </c>
      <c r="V16" s="978">
        <v>105100000</v>
      </c>
      <c r="W16" s="967"/>
      <c r="X16" s="968"/>
      <c r="Y16" s="2413"/>
      <c r="Z16" s="2413"/>
      <c r="AA16" s="2413"/>
      <c r="AB16" s="2413"/>
      <c r="AC16" s="2413"/>
      <c r="AD16" s="2413"/>
      <c r="AE16" s="2385"/>
      <c r="AF16" s="2385"/>
      <c r="AG16" s="2388"/>
      <c r="AH16" s="2385"/>
      <c r="AI16" s="2385"/>
      <c r="AJ16" s="2385"/>
      <c r="AK16" s="980">
        <v>42809</v>
      </c>
      <c r="AL16" s="980">
        <v>42941</v>
      </c>
      <c r="AM16" s="2413"/>
    </row>
    <row r="17" spans="1:39" s="970" customFormat="1" ht="55.5" customHeight="1" x14ac:dyDescent="0.2">
      <c r="A17" s="957"/>
      <c r="B17" s="957"/>
      <c r="C17" s="958"/>
      <c r="D17" s="2348"/>
      <c r="E17" s="2349"/>
      <c r="F17" s="2350"/>
      <c r="G17" s="2348"/>
      <c r="H17" s="2349"/>
      <c r="I17" s="2350"/>
      <c r="J17" s="2354">
        <v>216</v>
      </c>
      <c r="K17" s="2356" t="s">
        <v>1131</v>
      </c>
      <c r="L17" s="2358" t="s">
        <v>16</v>
      </c>
      <c r="M17" s="2380">
        <v>2</v>
      </c>
      <c r="N17" s="2391"/>
      <c r="O17" s="2394"/>
      <c r="P17" s="2357"/>
      <c r="Q17" s="2373">
        <f>+R17/9051631612</f>
        <v>0.3112808961717608</v>
      </c>
      <c r="R17" s="2376">
        <v>2817600000</v>
      </c>
      <c r="S17" s="2357"/>
      <c r="T17" s="2364"/>
      <c r="U17" s="981" t="s">
        <v>1132</v>
      </c>
      <c r="V17" s="978">
        <v>100000000</v>
      </c>
      <c r="W17" s="967"/>
      <c r="X17" s="968"/>
      <c r="Y17" s="2413"/>
      <c r="Z17" s="2413"/>
      <c r="AA17" s="2413"/>
      <c r="AB17" s="2413"/>
      <c r="AC17" s="2413"/>
      <c r="AD17" s="2413"/>
      <c r="AE17" s="2385"/>
      <c r="AF17" s="2385"/>
      <c r="AG17" s="2388"/>
      <c r="AH17" s="2385"/>
      <c r="AI17" s="2385"/>
      <c r="AJ17" s="2385"/>
      <c r="AK17" s="980">
        <v>42814</v>
      </c>
      <c r="AL17" s="980">
        <v>42931</v>
      </c>
      <c r="AM17" s="2413"/>
    </row>
    <row r="18" spans="1:39" s="970" customFormat="1" ht="38.25" customHeight="1" x14ac:dyDescent="0.2">
      <c r="A18" s="957"/>
      <c r="B18" s="957"/>
      <c r="C18" s="958"/>
      <c r="D18" s="2348"/>
      <c r="E18" s="2349"/>
      <c r="F18" s="2350"/>
      <c r="G18" s="2348"/>
      <c r="H18" s="2349"/>
      <c r="I18" s="2350"/>
      <c r="J18" s="2379"/>
      <c r="K18" s="2357"/>
      <c r="L18" s="2359"/>
      <c r="M18" s="2381"/>
      <c r="N18" s="2391"/>
      <c r="O18" s="2394"/>
      <c r="P18" s="2357"/>
      <c r="Q18" s="2374"/>
      <c r="R18" s="2377"/>
      <c r="S18" s="2357"/>
      <c r="T18" s="2364"/>
      <c r="U18" s="981" t="s">
        <v>1133</v>
      </c>
      <c r="V18" s="978">
        <v>1960000000</v>
      </c>
      <c r="W18" s="967"/>
      <c r="X18" s="968"/>
      <c r="Y18" s="2413"/>
      <c r="Z18" s="2413"/>
      <c r="AA18" s="2413"/>
      <c r="AB18" s="2413"/>
      <c r="AC18" s="2413"/>
      <c r="AD18" s="2413"/>
      <c r="AE18" s="2385"/>
      <c r="AF18" s="2385"/>
      <c r="AG18" s="2388"/>
      <c r="AH18" s="2385"/>
      <c r="AI18" s="2385"/>
      <c r="AJ18" s="2385"/>
      <c r="AK18" s="980">
        <v>42870</v>
      </c>
      <c r="AL18" s="980">
        <v>43100</v>
      </c>
      <c r="AM18" s="2413"/>
    </row>
    <row r="19" spans="1:39" s="970" customFormat="1" ht="41.25" customHeight="1" x14ac:dyDescent="0.2">
      <c r="A19" s="957"/>
      <c r="B19" s="957"/>
      <c r="C19" s="958"/>
      <c r="D19" s="2348"/>
      <c r="E19" s="2349"/>
      <c r="F19" s="2350"/>
      <c r="G19" s="2348"/>
      <c r="H19" s="2349"/>
      <c r="I19" s="2350"/>
      <c r="J19" s="2379"/>
      <c r="K19" s="2357"/>
      <c r="L19" s="2359"/>
      <c r="M19" s="2381"/>
      <c r="N19" s="2391"/>
      <c r="O19" s="2394"/>
      <c r="P19" s="2357"/>
      <c r="Q19" s="2374"/>
      <c r="R19" s="2377"/>
      <c r="S19" s="2357"/>
      <c r="T19" s="2364"/>
      <c r="U19" s="981" t="s">
        <v>1134</v>
      </c>
      <c r="V19" s="978">
        <v>707600000</v>
      </c>
      <c r="W19" s="967"/>
      <c r="X19" s="968"/>
      <c r="Y19" s="2413"/>
      <c r="Z19" s="2413"/>
      <c r="AA19" s="2413"/>
      <c r="AB19" s="2413"/>
      <c r="AC19" s="2413"/>
      <c r="AD19" s="2413"/>
      <c r="AE19" s="2385"/>
      <c r="AF19" s="2385"/>
      <c r="AG19" s="2388"/>
      <c r="AH19" s="2385"/>
      <c r="AI19" s="2385"/>
      <c r="AJ19" s="2385"/>
      <c r="AK19" s="980">
        <v>42898</v>
      </c>
      <c r="AL19" s="980">
        <v>43089</v>
      </c>
      <c r="AM19" s="2413"/>
    </row>
    <row r="20" spans="1:39" s="970" customFormat="1" ht="71.25" x14ac:dyDescent="0.2">
      <c r="A20" s="957"/>
      <c r="B20" s="957"/>
      <c r="C20" s="958"/>
      <c r="D20" s="2348"/>
      <c r="E20" s="2349"/>
      <c r="F20" s="2350"/>
      <c r="G20" s="2348"/>
      <c r="H20" s="2349"/>
      <c r="I20" s="2350"/>
      <c r="J20" s="2355"/>
      <c r="K20" s="2362"/>
      <c r="L20" s="2371"/>
      <c r="M20" s="2382"/>
      <c r="N20" s="2391"/>
      <c r="O20" s="2394"/>
      <c r="P20" s="2357"/>
      <c r="Q20" s="2375"/>
      <c r="R20" s="2378"/>
      <c r="S20" s="2357"/>
      <c r="T20" s="2364"/>
      <c r="U20" s="982" t="s">
        <v>1135</v>
      </c>
      <c r="V20" s="983">
        <v>50000000</v>
      </c>
      <c r="W20" s="967"/>
      <c r="X20" s="968"/>
      <c r="Y20" s="2413"/>
      <c r="Z20" s="2413"/>
      <c r="AA20" s="2413"/>
      <c r="AB20" s="2413"/>
      <c r="AC20" s="2413"/>
      <c r="AD20" s="2413"/>
      <c r="AE20" s="2385"/>
      <c r="AF20" s="2385"/>
      <c r="AG20" s="2388"/>
      <c r="AH20" s="2385"/>
      <c r="AI20" s="2385"/>
      <c r="AJ20" s="2385"/>
      <c r="AK20" s="980">
        <v>42835</v>
      </c>
      <c r="AL20" s="980">
        <v>43060</v>
      </c>
      <c r="AM20" s="2413"/>
    </row>
    <row r="21" spans="1:39" s="970" customFormat="1" ht="28.5" x14ac:dyDescent="0.2">
      <c r="A21" s="957"/>
      <c r="B21" s="957"/>
      <c r="C21" s="958"/>
      <c r="D21" s="2348"/>
      <c r="E21" s="2349"/>
      <c r="F21" s="2350"/>
      <c r="G21" s="2348"/>
      <c r="H21" s="2349"/>
      <c r="I21" s="2350"/>
      <c r="J21" s="2370">
        <v>217</v>
      </c>
      <c r="K21" s="2366" t="s">
        <v>1136</v>
      </c>
      <c r="L21" s="2358" t="s">
        <v>16</v>
      </c>
      <c r="M21" s="2372">
        <v>5</v>
      </c>
      <c r="N21" s="2391"/>
      <c r="O21" s="2394"/>
      <c r="P21" s="2357"/>
      <c r="Q21" s="2373">
        <f>+R21/9051631612</f>
        <v>0.64012013086331954</v>
      </c>
      <c r="R21" s="2376">
        <v>5794131612</v>
      </c>
      <c r="S21" s="2357"/>
      <c r="T21" s="2364"/>
      <c r="U21" s="981" t="s">
        <v>1137</v>
      </c>
      <c r="V21" s="985">
        <v>3685000000</v>
      </c>
      <c r="W21" s="967"/>
      <c r="X21" s="968"/>
      <c r="Y21" s="2413"/>
      <c r="Z21" s="2413"/>
      <c r="AA21" s="2413"/>
      <c r="AB21" s="2413"/>
      <c r="AC21" s="2413"/>
      <c r="AD21" s="2413"/>
      <c r="AE21" s="2385"/>
      <c r="AF21" s="2385"/>
      <c r="AG21" s="2388"/>
      <c r="AH21" s="2385"/>
      <c r="AI21" s="2385"/>
      <c r="AJ21" s="2385"/>
      <c r="AK21" s="980">
        <v>42776</v>
      </c>
      <c r="AL21" s="980">
        <v>43084</v>
      </c>
      <c r="AM21" s="2413"/>
    </row>
    <row r="22" spans="1:39" s="970" customFormat="1" ht="21" customHeight="1" x14ac:dyDescent="0.2">
      <c r="A22" s="957"/>
      <c r="B22" s="957"/>
      <c r="C22" s="958"/>
      <c r="D22" s="2348"/>
      <c r="E22" s="2349"/>
      <c r="F22" s="2350"/>
      <c r="G22" s="2348"/>
      <c r="H22" s="2349"/>
      <c r="I22" s="2350"/>
      <c r="J22" s="2370"/>
      <c r="K22" s="2366"/>
      <c r="L22" s="2359"/>
      <c r="M22" s="2372"/>
      <c r="N22" s="2391"/>
      <c r="O22" s="2394"/>
      <c r="P22" s="2357"/>
      <c r="Q22" s="2374"/>
      <c r="R22" s="2377"/>
      <c r="S22" s="2357"/>
      <c r="T22" s="2364"/>
      <c r="U22" s="981" t="s">
        <v>1138</v>
      </c>
      <c r="V22" s="985">
        <v>237231612</v>
      </c>
      <c r="W22" s="967"/>
      <c r="X22" s="968"/>
      <c r="Y22" s="2413"/>
      <c r="Z22" s="2413"/>
      <c r="AA22" s="2413"/>
      <c r="AB22" s="2413"/>
      <c r="AC22" s="2413"/>
      <c r="AD22" s="2413"/>
      <c r="AE22" s="2385"/>
      <c r="AF22" s="2385"/>
      <c r="AG22" s="2388"/>
      <c r="AH22" s="2385"/>
      <c r="AI22" s="2385"/>
      <c r="AJ22" s="2385"/>
      <c r="AK22" s="980">
        <v>42804</v>
      </c>
      <c r="AL22" s="980">
        <v>43085</v>
      </c>
      <c r="AM22" s="2413"/>
    </row>
    <row r="23" spans="1:39" s="970" customFormat="1" ht="28.5" x14ac:dyDescent="0.2">
      <c r="A23" s="957"/>
      <c r="B23" s="957"/>
      <c r="C23" s="958"/>
      <c r="D23" s="2348"/>
      <c r="E23" s="2349"/>
      <c r="F23" s="2350"/>
      <c r="G23" s="2348"/>
      <c r="H23" s="2349"/>
      <c r="I23" s="2350"/>
      <c r="J23" s="2370"/>
      <c r="K23" s="2366"/>
      <c r="L23" s="2359"/>
      <c r="M23" s="2372"/>
      <c r="N23" s="2391"/>
      <c r="O23" s="2394"/>
      <c r="P23" s="2357"/>
      <c r="Q23" s="2374"/>
      <c r="R23" s="2377"/>
      <c r="S23" s="2357"/>
      <c r="T23" s="2364"/>
      <c r="U23" s="981" t="s">
        <v>1139</v>
      </c>
      <c r="V23" s="985">
        <v>15000000</v>
      </c>
      <c r="W23" s="967"/>
      <c r="X23" s="968"/>
      <c r="Y23" s="2413"/>
      <c r="Z23" s="2413"/>
      <c r="AA23" s="2413"/>
      <c r="AB23" s="2413"/>
      <c r="AC23" s="2413"/>
      <c r="AD23" s="2413"/>
      <c r="AE23" s="2385"/>
      <c r="AF23" s="2385"/>
      <c r="AG23" s="2388"/>
      <c r="AH23" s="2385"/>
      <c r="AI23" s="2385"/>
      <c r="AJ23" s="2385"/>
      <c r="AK23" s="980">
        <v>42767</v>
      </c>
      <c r="AL23" s="980">
        <v>42536</v>
      </c>
      <c r="AM23" s="2413"/>
    </row>
    <row r="24" spans="1:39" s="970" customFormat="1" ht="28.5" x14ac:dyDescent="0.2">
      <c r="A24" s="957"/>
      <c r="B24" s="957"/>
      <c r="C24" s="958"/>
      <c r="D24" s="2348"/>
      <c r="E24" s="2349"/>
      <c r="F24" s="2350"/>
      <c r="G24" s="2348"/>
      <c r="H24" s="2349"/>
      <c r="I24" s="2350"/>
      <c r="J24" s="2370"/>
      <c r="K24" s="2366"/>
      <c r="L24" s="2359"/>
      <c r="M24" s="2372"/>
      <c r="N24" s="2391"/>
      <c r="O24" s="2394"/>
      <c r="P24" s="2357"/>
      <c r="Q24" s="2374"/>
      <c r="R24" s="2377"/>
      <c r="S24" s="2357"/>
      <c r="T24" s="2364"/>
      <c r="U24" s="981" t="s">
        <v>1140</v>
      </c>
      <c r="V24" s="985">
        <v>308000000</v>
      </c>
      <c r="W24" s="967"/>
      <c r="X24" s="968"/>
      <c r="Y24" s="2413"/>
      <c r="Z24" s="2413"/>
      <c r="AA24" s="2413"/>
      <c r="AB24" s="2413"/>
      <c r="AC24" s="2413"/>
      <c r="AD24" s="2413"/>
      <c r="AE24" s="2385"/>
      <c r="AF24" s="2385"/>
      <c r="AG24" s="2388"/>
      <c r="AH24" s="2385"/>
      <c r="AI24" s="2385"/>
      <c r="AJ24" s="2385"/>
      <c r="AK24" s="980">
        <v>42786</v>
      </c>
      <c r="AL24" s="980">
        <v>42537</v>
      </c>
      <c r="AM24" s="2413"/>
    </row>
    <row r="25" spans="1:39" s="970" customFormat="1" ht="21" customHeight="1" x14ac:dyDescent="0.2">
      <c r="A25" s="957"/>
      <c r="B25" s="957"/>
      <c r="C25" s="958"/>
      <c r="D25" s="2348"/>
      <c r="E25" s="2349"/>
      <c r="F25" s="2350"/>
      <c r="G25" s="2348"/>
      <c r="H25" s="2349"/>
      <c r="I25" s="2350"/>
      <c r="J25" s="2370"/>
      <c r="K25" s="2366"/>
      <c r="L25" s="2359"/>
      <c r="M25" s="2372"/>
      <c r="N25" s="2391"/>
      <c r="O25" s="2394"/>
      <c r="P25" s="2357"/>
      <c r="Q25" s="2374"/>
      <c r="R25" s="2377"/>
      <c r="S25" s="2357"/>
      <c r="T25" s="2364"/>
      <c r="U25" s="981" t="s">
        <v>1141</v>
      </c>
      <c r="V25" s="985">
        <v>125000000</v>
      </c>
      <c r="W25" s="967"/>
      <c r="X25" s="968"/>
      <c r="Y25" s="2413"/>
      <c r="Z25" s="2413"/>
      <c r="AA25" s="2413"/>
      <c r="AB25" s="2413"/>
      <c r="AC25" s="2413"/>
      <c r="AD25" s="2413"/>
      <c r="AE25" s="2385"/>
      <c r="AF25" s="2385"/>
      <c r="AG25" s="2388"/>
      <c r="AH25" s="2385"/>
      <c r="AI25" s="2385"/>
      <c r="AJ25" s="2385"/>
      <c r="AK25" s="980">
        <v>42804</v>
      </c>
      <c r="AL25" s="980">
        <v>43085</v>
      </c>
      <c r="AM25" s="2413"/>
    </row>
    <row r="26" spans="1:39" s="970" customFormat="1" ht="42.75" x14ac:dyDescent="0.2">
      <c r="A26" s="957"/>
      <c r="B26" s="957"/>
      <c r="C26" s="958"/>
      <c r="D26" s="2348"/>
      <c r="E26" s="2349"/>
      <c r="F26" s="2350"/>
      <c r="G26" s="2348"/>
      <c r="H26" s="2349"/>
      <c r="I26" s="2350"/>
      <c r="J26" s="2370"/>
      <c r="K26" s="2366"/>
      <c r="L26" s="2359"/>
      <c r="M26" s="2372"/>
      <c r="N26" s="2391"/>
      <c r="O26" s="2394"/>
      <c r="P26" s="2357"/>
      <c r="Q26" s="2374"/>
      <c r="R26" s="2377"/>
      <c r="S26" s="2357"/>
      <c r="T26" s="2364"/>
      <c r="U26" s="981" t="s">
        <v>1142</v>
      </c>
      <c r="V26" s="985">
        <v>15000000</v>
      </c>
      <c r="W26" s="986">
        <v>20</v>
      </c>
      <c r="X26" s="987" t="s">
        <v>185</v>
      </c>
      <c r="Y26" s="2413"/>
      <c r="Z26" s="2413"/>
      <c r="AA26" s="2413"/>
      <c r="AB26" s="2413"/>
      <c r="AC26" s="2413"/>
      <c r="AD26" s="2413"/>
      <c r="AE26" s="2385"/>
      <c r="AF26" s="2385"/>
      <c r="AG26" s="2388"/>
      <c r="AH26" s="2385"/>
      <c r="AI26" s="2385"/>
      <c r="AJ26" s="2385"/>
      <c r="AK26" s="980">
        <v>42750</v>
      </c>
      <c r="AL26" s="980">
        <v>42916</v>
      </c>
      <c r="AM26" s="2413"/>
    </row>
    <row r="27" spans="1:39" s="970" customFormat="1" ht="28.5" x14ac:dyDescent="0.2">
      <c r="A27" s="957"/>
      <c r="B27" s="957"/>
      <c r="C27" s="958"/>
      <c r="D27" s="2348"/>
      <c r="E27" s="2349"/>
      <c r="F27" s="2350"/>
      <c r="G27" s="2348"/>
      <c r="H27" s="2349"/>
      <c r="I27" s="2350"/>
      <c r="J27" s="2370"/>
      <c r="K27" s="2366"/>
      <c r="L27" s="2359"/>
      <c r="M27" s="2372"/>
      <c r="N27" s="2391"/>
      <c r="O27" s="2394"/>
      <c r="P27" s="2357"/>
      <c r="Q27" s="2374"/>
      <c r="R27" s="2377"/>
      <c r="S27" s="2357"/>
      <c r="T27" s="2364"/>
      <c r="U27" s="981" t="s">
        <v>1143</v>
      </c>
      <c r="V27" s="985">
        <v>300000000</v>
      </c>
      <c r="W27" s="986">
        <v>88</v>
      </c>
      <c r="X27" s="987" t="s">
        <v>313</v>
      </c>
      <c r="Y27" s="2413"/>
      <c r="Z27" s="2413"/>
      <c r="AA27" s="2413"/>
      <c r="AB27" s="2413"/>
      <c r="AC27" s="2413"/>
      <c r="AD27" s="2413"/>
      <c r="AE27" s="2385"/>
      <c r="AF27" s="2385"/>
      <c r="AG27" s="2388"/>
      <c r="AH27" s="2385"/>
      <c r="AI27" s="2385"/>
      <c r="AJ27" s="2385"/>
      <c r="AK27" s="980">
        <v>42804</v>
      </c>
      <c r="AL27" s="980">
        <v>43085</v>
      </c>
      <c r="AM27" s="2413"/>
    </row>
    <row r="28" spans="1:39" s="970" customFormat="1" ht="84" customHeight="1" x14ac:dyDescent="0.2">
      <c r="A28" s="957"/>
      <c r="B28" s="957"/>
      <c r="C28" s="958"/>
      <c r="D28" s="2348"/>
      <c r="E28" s="2349"/>
      <c r="F28" s="2350"/>
      <c r="G28" s="2348"/>
      <c r="H28" s="2349"/>
      <c r="I28" s="2350"/>
      <c r="J28" s="2370"/>
      <c r="K28" s="2366"/>
      <c r="L28" s="2359"/>
      <c r="M28" s="2372"/>
      <c r="N28" s="2391"/>
      <c r="O28" s="2394"/>
      <c r="P28" s="2357"/>
      <c r="Q28" s="2374"/>
      <c r="R28" s="2377"/>
      <c r="S28" s="2357"/>
      <c r="T28" s="2364"/>
      <c r="U28" s="981" t="s">
        <v>1144</v>
      </c>
      <c r="V28" s="985">
        <v>290000000</v>
      </c>
      <c r="W28" s="988">
        <v>42</v>
      </c>
      <c r="X28" s="968" t="s">
        <v>1145</v>
      </c>
      <c r="Y28" s="2413"/>
      <c r="Z28" s="2413"/>
      <c r="AA28" s="2413"/>
      <c r="AB28" s="2413"/>
      <c r="AC28" s="2413"/>
      <c r="AD28" s="2413"/>
      <c r="AE28" s="2385"/>
      <c r="AF28" s="2385"/>
      <c r="AG28" s="2388"/>
      <c r="AH28" s="2385"/>
      <c r="AI28" s="2385"/>
      <c r="AJ28" s="2385"/>
      <c r="AK28" s="980">
        <v>42804</v>
      </c>
      <c r="AL28" s="980">
        <v>43085</v>
      </c>
      <c r="AM28" s="2413"/>
    </row>
    <row r="29" spans="1:39" s="970" customFormat="1" ht="84" customHeight="1" x14ac:dyDescent="0.2">
      <c r="A29" s="957"/>
      <c r="B29" s="957"/>
      <c r="C29" s="958"/>
      <c r="D29" s="2348"/>
      <c r="E29" s="2349"/>
      <c r="F29" s="2350"/>
      <c r="G29" s="2348"/>
      <c r="H29" s="2349"/>
      <c r="I29" s="2350"/>
      <c r="J29" s="2370"/>
      <c r="K29" s="2366"/>
      <c r="L29" s="2359"/>
      <c r="M29" s="2372"/>
      <c r="N29" s="2391"/>
      <c r="O29" s="2394"/>
      <c r="P29" s="2357"/>
      <c r="Q29" s="2374"/>
      <c r="R29" s="2377"/>
      <c r="S29" s="2357"/>
      <c r="T29" s="2364"/>
      <c r="U29" s="981" t="s">
        <v>1146</v>
      </c>
      <c r="V29" s="985">
        <v>260000000</v>
      </c>
      <c r="W29" s="988">
        <v>92</v>
      </c>
      <c r="X29" s="968" t="s">
        <v>1147</v>
      </c>
      <c r="Y29" s="2413"/>
      <c r="Z29" s="2413"/>
      <c r="AA29" s="2413"/>
      <c r="AB29" s="2413"/>
      <c r="AC29" s="2413"/>
      <c r="AD29" s="2413"/>
      <c r="AE29" s="2385"/>
      <c r="AF29" s="2385"/>
      <c r="AG29" s="2388"/>
      <c r="AH29" s="2385"/>
      <c r="AI29" s="2385"/>
      <c r="AJ29" s="2385"/>
      <c r="AK29" s="980">
        <v>42901</v>
      </c>
      <c r="AL29" s="980">
        <v>43054</v>
      </c>
      <c r="AM29" s="2413"/>
    </row>
    <row r="30" spans="1:39" s="970" customFormat="1" ht="68.25" customHeight="1" x14ac:dyDescent="0.2">
      <c r="A30" s="957"/>
      <c r="B30" s="957"/>
      <c r="C30" s="958"/>
      <c r="D30" s="2348"/>
      <c r="E30" s="2349"/>
      <c r="F30" s="2350"/>
      <c r="G30" s="2348"/>
      <c r="H30" s="2349"/>
      <c r="I30" s="2350"/>
      <c r="J30" s="2370"/>
      <c r="K30" s="2366"/>
      <c r="L30" s="2359"/>
      <c r="M30" s="2372"/>
      <c r="N30" s="2391"/>
      <c r="O30" s="2394"/>
      <c r="P30" s="2357"/>
      <c r="Q30" s="2374"/>
      <c r="R30" s="2377"/>
      <c r="S30" s="2357"/>
      <c r="T30" s="2364"/>
      <c r="U30" s="981" t="s">
        <v>1148</v>
      </c>
      <c r="V30" s="985">
        <v>15000000</v>
      </c>
      <c r="W30" s="967"/>
      <c r="X30" s="968"/>
      <c r="Y30" s="2413"/>
      <c r="Z30" s="2413"/>
      <c r="AA30" s="2413"/>
      <c r="AB30" s="2413"/>
      <c r="AC30" s="2413"/>
      <c r="AD30" s="2413"/>
      <c r="AE30" s="2385"/>
      <c r="AF30" s="2385"/>
      <c r="AG30" s="2388"/>
      <c r="AH30" s="2385"/>
      <c r="AI30" s="2385"/>
      <c r="AJ30" s="2385"/>
      <c r="AK30" s="980">
        <v>42781</v>
      </c>
      <c r="AL30" s="980">
        <v>42845</v>
      </c>
      <c r="AM30" s="2413"/>
    </row>
    <row r="31" spans="1:39" s="970" customFormat="1" ht="57" x14ac:dyDescent="0.2">
      <c r="A31" s="957"/>
      <c r="B31" s="957"/>
      <c r="C31" s="958"/>
      <c r="D31" s="2348"/>
      <c r="E31" s="2349"/>
      <c r="F31" s="2350"/>
      <c r="G31" s="2348"/>
      <c r="H31" s="2349"/>
      <c r="I31" s="2350"/>
      <c r="J31" s="2370"/>
      <c r="K31" s="2366"/>
      <c r="L31" s="2359"/>
      <c r="M31" s="2372"/>
      <c r="N31" s="2391"/>
      <c r="O31" s="2394"/>
      <c r="P31" s="2357"/>
      <c r="Q31" s="2374"/>
      <c r="R31" s="2377"/>
      <c r="S31" s="2357"/>
      <c r="T31" s="2364"/>
      <c r="U31" s="989" t="s">
        <v>1149</v>
      </c>
      <c r="V31" s="985">
        <v>300000000</v>
      </c>
      <c r="W31" s="967"/>
      <c r="X31" s="968"/>
      <c r="Y31" s="2413"/>
      <c r="Z31" s="2413"/>
      <c r="AA31" s="2413"/>
      <c r="AB31" s="2413"/>
      <c r="AC31" s="2413"/>
      <c r="AD31" s="2413"/>
      <c r="AE31" s="2385"/>
      <c r="AF31" s="2385"/>
      <c r="AG31" s="2388"/>
      <c r="AH31" s="2385"/>
      <c r="AI31" s="2385"/>
      <c r="AJ31" s="2385"/>
      <c r="AK31" s="980">
        <v>42830</v>
      </c>
      <c r="AL31" s="980">
        <v>43100</v>
      </c>
      <c r="AM31" s="2413"/>
    </row>
    <row r="32" spans="1:39" s="970" customFormat="1" ht="42.75" x14ac:dyDescent="0.2">
      <c r="A32" s="957"/>
      <c r="B32" s="957"/>
      <c r="C32" s="958"/>
      <c r="D32" s="2348"/>
      <c r="E32" s="2349"/>
      <c r="F32" s="2350"/>
      <c r="G32" s="2348"/>
      <c r="H32" s="2349"/>
      <c r="I32" s="2350"/>
      <c r="J32" s="2370"/>
      <c r="K32" s="2366"/>
      <c r="L32" s="2359"/>
      <c r="M32" s="2372"/>
      <c r="N32" s="2391"/>
      <c r="O32" s="2394"/>
      <c r="P32" s="2357"/>
      <c r="Q32" s="2374"/>
      <c r="R32" s="2377"/>
      <c r="S32" s="2357"/>
      <c r="T32" s="2364"/>
      <c r="U32" s="433" t="s">
        <v>1150</v>
      </c>
      <c r="V32" s="985">
        <v>87100000</v>
      </c>
      <c r="W32" s="967"/>
      <c r="X32" s="968"/>
      <c r="Y32" s="2413"/>
      <c r="Z32" s="2413"/>
      <c r="AA32" s="2413"/>
      <c r="AB32" s="2413"/>
      <c r="AC32" s="2413"/>
      <c r="AD32" s="2413"/>
      <c r="AE32" s="2385"/>
      <c r="AF32" s="2385"/>
      <c r="AG32" s="2388"/>
      <c r="AH32" s="2385"/>
      <c r="AI32" s="2385"/>
      <c r="AJ32" s="2385"/>
      <c r="AK32" s="980">
        <v>42750</v>
      </c>
      <c r="AL32" s="980">
        <v>42916</v>
      </c>
      <c r="AM32" s="2413"/>
    </row>
    <row r="33" spans="1:39" s="970" customFormat="1" ht="42.75" x14ac:dyDescent="0.2">
      <c r="A33" s="957"/>
      <c r="B33" s="957"/>
      <c r="C33" s="958"/>
      <c r="D33" s="2348"/>
      <c r="E33" s="2349"/>
      <c r="F33" s="2350"/>
      <c r="G33" s="2348"/>
      <c r="H33" s="2349"/>
      <c r="I33" s="2350"/>
      <c r="J33" s="2370"/>
      <c r="K33" s="2366"/>
      <c r="L33" s="2359"/>
      <c r="M33" s="2372"/>
      <c r="N33" s="2391"/>
      <c r="O33" s="2394"/>
      <c r="P33" s="2357"/>
      <c r="Q33" s="2374"/>
      <c r="R33" s="2377"/>
      <c r="S33" s="2357"/>
      <c r="T33" s="2364"/>
      <c r="U33" s="433" t="s">
        <v>1151</v>
      </c>
      <c r="V33" s="985">
        <v>57500000</v>
      </c>
      <c r="W33" s="967"/>
      <c r="X33" s="968"/>
      <c r="Y33" s="2413"/>
      <c r="Z33" s="2413"/>
      <c r="AA33" s="2413"/>
      <c r="AB33" s="2413"/>
      <c r="AC33" s="2413"/>
      <c r="AD33" s="2413"/>
      <c r="AE33" s="2385"/>
      <c r="AF33" s="2385"/>
      <c r="AG33" s="2388"/>
      <c r="AH33" s="2385"/>
      <c r="AI33" s="2385"/>
      <c r="AJ33" s="2385"/>
      <c r="AK33" s="980">
        <v>42750</v>
      </c>
      <c r="AL33" s="980">
        <v>42916</v>
      </c>
      <c r="AM33" s="2413"/>
    </row>
    <row r="34" spans="1:39" s="970" customFormat="1" ht="57" x14ac:dyDescent="0.2">
      <c r="A34" s="957"/>
      <c r="B34" s="957"/>
      <c r="C34" s="958"/>
      <c r="D34" s="2348"/>
      <c r="E34" s="2349"/>
      <c r="F34" s="2350"/>
      <c r="G34" s="2348"/>
      <c r="H34" s="2349"/>
      <c r="I34" s="2350"/>
      <c r="J34" s="2370"/>
      <c r="K34" s="2366"/>
      <c r="L34" s="2359"/>
      <c r="M34" s="2372"/>
      <c r="N34" s="2391"/>
      <c r="O34" s="2394"/>
      <c r="P34" s="2357"/>
      <c r="Q34" s="2374"/>
      <c r="R34" s="2377"/>
      <c r="S34" s="2357"/>
      <c r="T34" s="2364"/>
      <c r="U34" s="50" t="s">
        <v>1152</v>
      </c>
      <c r="V34" s="985">
        <v>57500000</v>
      </c>
      <c r="W34" s="967"/>
      <c r="X34" s="968"/>
      <c r="Y34" s="2413"/>
      <c r="Z34" s="2413"/>
      <c r="AA34" s="2413"/>
      <c r="AB34" s="2413"/>
      <c r="AC34" s="2413"/>
      <c r="AD34" s="2413"/>
      <c r="AE34" s="2385"/>
      <c r="AF34" s="2385"/>
      <c r="AG34" s="2388"/>
      <c r="AH34" s="2385"/>
      <c r="AI34" s="2385"/>
      <c r="AJ34" s="2385"/>
      <c r="AK34" s="980">
        <v>42750</v>
      </c>
      <c r="AL34" s="980">
        <v>42916</v>
      </c>
      <c r="AM34" s="2413"/>
    </row>
    <row r="35" spans="1:39" s="970" customFormat="1" ht="42.75" x14ac:dyDescent="0.2">
      <c r="A35" s="957"/>
      <c r="B35" s="957"/>
      <c r="C35" s="958"/>
      <c r="D35" s="2348"/>
      <c r="E35" s="2349"/>
      <c r="F35" s="2350"/>
      <c r="G35" s="2348"/>
      <c r="H35" s="2349"/>
      <c r="I35" s="2350"/>
      <c r="J35" s="2370"/>
      <c r="K35" s="2366"/>
      <c r="L35" s="2371"/>
      <c r="M35" s="2372"/>
      <c r="N35" s="2391"/>
      <c r="O35" s="2394"/>
      <c r="P35" s="2357"/>
      <c r="Q35" s="2375"/>
      <c r="R35" s="2378"/>
      <c r="S35" s="2357"/>
      <c r="T35" s="2364"/>
      <c r="U35" s="981" t="s">
        <v>1153</v>
      </c>
      <c r="V35" s="985">
        <v>41800000</v>
      </c>
      <c r="W35" s="967"/>
      <c r="X35" s="968"/>
      <c r="Y35" s="2413"/>
      <c r="Z35" s="2413"/>
      <c r="AA35" s="2413"/>
      <c r="AB35" s="2413"/>
      <c r="AC35" s="2413"/>
      <c r="AD35" s="2413"/>
      <c r="AE35" s="2385"/>
      <c r="AF35" s="2385"/>
      <c r="AG35" s="2388"/>
      <c r="AH35" s="2385"/>
      <c r="AI35" s="2385"/>
      <c r="AJ35" s="2385"/>
      <c r="AK35" s="980">
        <v>42750</v>
      </c>
      <c r="AL35" s="980">
        <v>42916</v>
      </c>
      <c r="AM35" s="2413"/>
    </row>
    <row r="36" spans="1:39" s="970" customFormat="1" ht="51" customHeight="1" x14ac:dyDescent="0.2">
      <c r="A36" s="957"/>
      <c r="B36" s="957"/>
      <c r="C36" s="958"/>
      <c r="D36" s="2348"/>
      <c r="E36" s="2349"/>
      <c r="F36" s="2350"/>
      <c r="G36" s="2348"/>
      <c r="H36" s="2349"/>
      <c r="I36" s="2350"/>
      <c r="J36" s="2370">
        <v>218</v>
      </c>
      <c r="K36" s="2366" t="s">
        <v>1154</v>
      </c>
      <c r="L36" s="2383" t="s">
        <v>16</v>
      </c>
      <c r="M36" s="2372">
        <v>3</v>
      </c>
      <c r="N36" s="2391"/>
      <c r="O36" s="2394"/>
      <c r="P36" s="2357"/>
      <c r="Q36" s="2373">
        <f>+R36/9051631612</f>
        <v>2.8226955200129505E-2</v>
      </c>
      <c r="R36" s="2376">
        <v>255500000</v>
      </c>
      <c r="S36" s="2357"/>
      <c r="T36" s="2364"/>
      <c r="U36" s="981" t="s">
        <v>1155</v>
      </c>
      <c r="V36" s="985">
        <v>50000000</v>
      </c>
      <c r="W36" s="967"/>
      <c r="X36" s="968"/>
      <c r="Y36" s="2413"/>
      <c r="Z36" s="2413"/>
      <c r="AA36" s="2413"/>
      <c r="AB36" s="2413"/>
      <c r="AC36" s="2413"/>
      <c r="AD36" s="2413"/>
      <c r="AE36" s="2385"/>
      <c r="AF36" s="2385"/>
      <c r="AG36" s="2388"/>
      <c r="AH36" s="2385"/>
      <c r="AI36" s="2385"/>
      <c r="AJ36" s="2385"/>
      <c r="AK36" s="980">
        <v>42750</v>
      </c>
      <c r="AL36" s="980">
        <v>42916</v>
      </c>
      <c r="AM36" s="2413"/>
    </row>
    <row r="37" spans="1:39" s="970" customFormat="1" ht="35.25" customHeight="1" x14ac:dyDescent="0.2">
      <c r="A37" s="957"/>
      <c r="B37" s="957"/>
      <c r="C37" s="958"/>
      <c r="D37" s="2348"/>
      <c r="E37" s="2349"/>
      <c r="F37" s="2350"/>
      <c r="G37" s="2348"/>
      <c r="H37" s="2349"/>
      <c r="I37" s="2350"/>
      <c r="J37" s="2370"/>
      <c r="K37" s="2366"/>
      <c r="L37" s="2383"/>
      <c r="M37" s="2372"/>
      <c r="N37" s="2391"/>
      <c r="O37" s="2394"/>
      <c r="P37" s="2357"/>
      <c r="Q37" s="2374"/>
      <c r="R37" s="2377"/>
      <c r="S37" s="2357"/>
      <c r="T37" s="2364"/>
      <c r="U37" s="990" t="s">
        <v>1156</v>
      </c>
      <c r="V37" s="991">
        <v>100000000</v>
      </c>
      <c r="W37" s="967"/>
      <c r="X37" s="968"/>
      <c r="Y37" s="2413"/>
      <c r="Z37" s="2413"/>
      <c r="AA37" s="2413"/>
      <c r="AB37" s="2413"/>
      <c r="AC37" s="2413"/>
      <c r="AD37" s="2413"/>
      <c r="AE37" s="2385"/>
      <c r="AF37" s="2385"/>
      <c r="AG37" s="2388"/>
      <c r="AH37" s="2385"/>
      <c r="AI37" s="2385"/>
      <c r="AJ37" s="2385"/>
      <c r="AK37" s="980">
        <v>42809</v>
      </c>
      <c r="AL37" s="980">
        <v>43089</v>
      </c>
      <c r="AM37" s="2413"/>
    </row>
    <row r="38" spans="1:39" s="970" customFormat="1" ht="26.25" customHeight="1" x14ac:dyDescent="0.2">
      <c r="A38" s="957"/>
      <c r="B38" s="957"/>
      <c r="C38" s="958"/>
      <c r="D38" s="2348"/>
      <c r="E38" s="2349"/>
      <c r="F38" s="2350"/>
      <c r="G38" s="2348"/>
      <c r="H38" s="2349"/>
      <c r="I38" s="2350"/>
      <c r="J38" s="2370"/>
      <c r="K38" s="2366"/>
      <c r="L38" s="2383"/>
      <c r="M38" s="2372"/>
      <c r="N38" s="2391"/>
      <c r="O38" s="2394"/>
      <c r="P38" s="2357"/>
      <c r="Q38" s="2374"/>
      <c r="R38" s="2377"/>
      <c r="S38" s="2357"/>
      <c r="T38" s="2364"/>
      <c r="U38" s="972" t="s">
        <v>1157</v>
      </c>
      <c r="V38" s="991">
        <v>30000000</v>
      </c>
      <c r="W38" s="967"/>
      <c r="X38" s="968"/>
      <c r="Y38" s="2413"/>
      <c r="Z38" s="2413"/>
      <c r="AA38" s="2413"/>
      <c r="AB38" s="2413"/>
      <c r="AC38" s="2413"/>
      <c r="AD38" s="2413"/>
      <c r="AE38" s="2385"/>
      <c r="AF38" s="2385"/>
      <c r="AG38" s="2388"/>
      <c r="AH38" s="2385"/>
      <c r="AI38" s="2385"/>
      <c r="AJ38" s="2385"/>
      <c r="AK38" s="980">
        <v>42809</v>
      </c>
      <c r="AL38" s="980">
        <v>43089</v>
      </c>
      <c r="AM38" s="2413"/>
    </row>
    <row r="39" spans="1:39" s="970" customFormat="1" ht="34.5" customHeight="1" x14ac:dyDescent="0.2">
      <c r="A39" s="957"/>
      <c r="B39" s="957"/>
      <c r="C39" s="958"/>
      <c r="D39" s="2348"/>
      <c r="E39" s="2349"/>
      <c r="F39" s="2350"/>
      <c r="G39" s="2348"/>
      <c r="H39" s="2349"/>
      <c r="I39" s="2350"/>
      <c r="J39" s="2370"/>
      <c r="K39" s="2366"/>
      <c r="L39" s="2383"/>
      <c r="M39" s="2372"/>
      <c r="N39" s="2391"/>
      <c r="O39" s="2394"/>
      <c r="P39" s="2357"/>
      <c r="Q39" s="2374"/>
      <c r="R39" s="2377"/>
      <c r="S39" s="2357"/>
      <c r="T39" s="2364"/>
      <c r="U39" s="972" t="s">
        <v>1158</v>
      </c>
      <c r="V39" s="991">
        <v>30000000</v>
      </c>
      <c r="W39" s="967"/>
      <c r="X39" s="968"/>
      <c r="Y39" s="2413"/>
      <c r="Z39" s="2413"/>
      <c r="AA39" s="2413"/>
      <c r="AB39" s="2413"/>
      <c r="AC39" s="2413"/>
      <c r="AD39" s="2413"/>
      <c r="AE39" s="2385"/>
      <c r="AF39" s="2385"/>
      <c r="AG39" s="2388"/>
      <c r="AH39" s="2385"/>
      <c r="AI39" s="2385"/>
      <c r="AJ39" s="2385"/>
      <c r="AK39" s="980">
        <v>42906</v>
      </c>
      <c r="AL39" s="980">
        <v>43023</v>
      </c>
      <c r="AM39" s="2413"/>
    </row>
    <row r="40" spans="1:39" s="970" customFormat="1" ht="40.5" customHeight="1" x14ac:dyDescent="0.2">
      <c r="A40" s="957"/>
      <c r="B40" s="957"/>
      <c r="C40" s="958"/>
      <c r="D40" s="2348"/>
      <c r="E40" s="2349"/>
      <c r="F40" s="2350"/>
      <c r="G40" s="2351"/>
      <c r="H40" s="2352"/>
      <c r="I40" s="2353"/>
      <c r="J40" s="2370"/>
      <c r="K40" s="2366"/>
      <c r="L40" s="2383"/>
      <c r="M40" s="2372"/>
      <c r="N40" s="2392"/>
      <c r="O40" s="2395"/>
      <c r="P40" s="2362"/>
      <c r="Q40" s="2375"/>
      <c r="R40" s="2378"/>
      <c r="S40" s="2362"/>
      <c r="T40" s="2365"/>
      <c r="U40" s="972" t="s">
        <v>1159</v>
      </c>
      <c r="V40" s="983">
        <v>45500000</v>
      </c>
      <c r="W40" s="993"/>
      <c r="X40" s="994"/>
      <c r="Y40" s="2416"/>
      <c r="Z40" s="2416"/>
      <c r="AA40" s="2416"/>
      <c r="AB40" s="2416"/>
      <c r="AC40" s="2416"/>
      <c r="AD40" s="2416"/>
      <c r="AE40" s="2386"/>
      <c r="AF40" s="2386"/>
      <c r="AG40" s="2389"/>
      <c r="AH40" s="2386"/>
      <c r="AI40" s="2386"/>
      <c r="AJ40" s="2386"/>
      <c r="AK40" s="980">
        <v>42799</v>
      </c>
      <c r="AL40" s="980">
        <v>43089</v>
      </c>
      <c r="AM40" s="2413"/>
    </row>
    <row r="41" spans="1:39" s="153" customFormat="1" ht="25.5" customHeight="1" x14ac:dyDescent="0.2">
      <c r="A41" s="957"/>
      <c r="B41" s="957"/>
      <c r="C41" s="958"/>
      <c r="D41" s="2348"/>
      <c r="E41" s="2349"/>
      <c r="F41" s="2350"/>
      <c r="G41" s="959">
        <v>76</v>
      </c>
      <c r="H41" s="81" t="s">
        <v>1160</v>
      </c>
      <c r="I41" s="81"/>
      <c r="J41" s="81"/>
      <c r="K41" s="960"/>
      <c r="L41" s="81"/>
      <c r="M41" s="81"/>
      <c r="N41" s="81"/>
      <c r="O41" s="81"/>
      <c r="P41" s="56"/>
      <c r="Q41" s="961"/>
      <c r="R41" s="962"/>
      <c r="S41" s="56"/>
      <c r="T41" s="960"/>
      <c r="U41" s="960"/>
      <c r="V41" s="963"/>
      <c r="W41" s="963"/>
      <c r="X41" s="995"/>
      <c r="Y41" s="81"/>
      <c r="Z41" s="81"/>
      <c r="AA41" s="81"/>
      <c r="AB41" s="81"/>
      <c r="AC41" s="81"/>
      <c r="AD41" s="81"/>
      <c r="AE41" s="81"/>
      <c r="AF41" s="81"/>
      <c r="AG41" s="81"/>
      <c r="AH41" s="81"/>
      <c r="AI41" s="81"/>
      <c r="AJ41" s="81"/>
      <c r="AK41" s="594"/>
      <c r="AL41" s="594"/>
      <c r="AM41" s="2412" t="s">
        <v>1128</v>
      </c>
    </row>
    <row r="42" spans="1:39" s="970" customFormat="1" ht="42.75" x14ac:dyDescent="0.2">
      <c r="A42" s="957"/>
      <c r="B42" s="957"/>
      <c r="C42" s="958"/>
      <c r="D42" s="2348"/>
      <c r="E42" s="2349"/>
      <c r="F42" s="2350"/>
      <c r="G42" s="2397"/>
      <c r="H42" s="2400"/>
      <c r="I42" s="2401"/>
      <c r="J42" s="2406">
        <v>219</v>
      </c>
      <c r="K42" s="2356" t="s">
        <v>1161</v>
      </c>
      <c r="L42" s="2408" t="s">
        <v>1162</v>
      </c>
      <c r="M42" s="2410">
        <v>11</v>
      </c>
      <c r="N42" s="2391" t="s">
        <v>1163</v>
      </c>
      <c r="O42" s="2393" t="s">
        <v>1164</v>
      </c>
      <c r="P42" s="2356" t="s">
        <v>1165</v>
      </c>
      <c r="Q42" s="2373">
        <f>+R42/418000000</f>
        <v>0.26698564593301438</v>
      </c>
      <c r="R42" s="2376">
        <v>111600000</v>
      </c>
      <c r="S42" s="2356" t="s">
        <v>1166</v>
      </c>
      <c r="T42" s="2356" t="s">
        <v>1167</v>
      </c>
      <c r="U42" s="972" t="s">
        <v>1168</v>
      </c>
      <c r="V42" s="984">
        <v>101600000</v>
      </c>
      <c r="W42" s="2420"/>
      <c r="X42" s="2412"/>
      <c r="Y42" s="2422">
        <v>1195</v>
      </c>
      <c r="Z42" s="2412">
        <v>1324</v>
      </c>
      <c r="AA42" s="2412">
        <v>507</v>
      </c>
      <c r="AB42" s="2412">
        <v>1598</v>
      </c>
      <c r="AC42" s="2412">
        <v>4203</v>
      </c>
      <c r="AD42" s="2412">
        <v>1421</v>
      </c>
      <c r="AE42" s="2432"/>
      <c r="AF42" s="2435"/>
      <c r="AG42" s="996"/>
      <c r="AH42" s="2435"/>
      <c r="AI42" s="996"/>
      <c r="AJ42" s="996"/>
      <c r="AK42" s="980">
        <v>42750</v>
      </c>
      <c r="AL42" s="980">
        <v>43018</v>
      </c>
      <c r="AM42" s="2413"/>
    </row>
    <row r="43" spans="1:39" s="970" customFormat="1" ht="28.5" x14ac:dyDescent="0.2">
      <c r="A43" s="957"/>
      <c r="B43" s="957"/>
      <c r="C43" s="958"/>
      <c r="D43" s="2348"/>
      <c r="E43" s="2349"/>
      <c r="F43" s="2350"/>
      <c r="G43" s="2398"/>
      <c r="H43" s="2402"/>
      <c r="I43" s="2403"/>
      <c r="J43" s="2407"/>
      <c r="K43" s="2362"/>
      <c r="L43" s="2409"/>
      <c r="M43" s="2411"/>
      <c r="N43" s="2391"/>
      <c r="O43" s="2394"/>
      <c r="P43" s="2357"/>
      <c r="Q43" s="2375"/>
      <c r="R43" s="2378"/>
      <c r="S43" s="2357"/>
      <c r="T43" s="2357"/>
      <c r="U43" s="972" t="s">
        <v>1169</v>
      </c>
      <c r="V43" s="984">
        <v>10000000</v>
      </c>
      <c r="W43" s="2421"/>
      <c r="X43" s="2413"/>
      <c r="Y43" s="2423"/>
      <c r="Z43" s="2413"/>
      <c r="AA43" s="2413"/>
      <c r="AB43" s="2413"/>
      <c r="AC43" s="2413"/>
      <c r="AD43" s="2413"/>
      <c r="AE43" s="2433"/>
      <c r="AF43" s="2436"/>
      <c r="AG43" s="997"/>
      <c r="AH43" s="2436"/>
      <c r="AI43" s="997"/>
      <c r="AJ43" s="997"/>
      <c r="AK43" s="980">
        <v>42814</v>
      </c>
      <c r="AL43" s="980">
        <v>42962</v>
      </c>
      <c r="AM43" s="2413"/>
    </row>
    <row r="44" spans="1:39" s="970" customFormat="1" ht="15" x14ac:dyDescent="0.2">
      <c r="A44" s="957"/>
      <c r="B44" s="957"/>
      <c r="C44" s="958"/>
      <c r="D44" s="2348"/>
      <c r="E44" s="2349"/>
      <c r="F44" s="2350"/>
      <c r="G44" s="2398"/>
      <c r="H44" s="2402"/>
      <c r="I44" s="2403"/>
      <c r="J44" s="2406">
        <v>220</v>
      </c>
      <c r="K44" s="2356" t="s">
        <v>1170</v>
      </c>
      <c r="L44" s="2408" t="s">
        <v>16</v>
      </c>
      <c r="M44" s="2429">
        <v>9</v>
      </c>
      <c r="N44" s="2391" t="s">
        <v>1171</v>
      </c>
      <c r="O44" s="2394"/>
      <c r="P44" s="2357"/>
      <c r="Q44" s="2373">
        <f>+R44/418000000</f>
        <v>0.62583732057416264</v>
      </c>
      <c r="R44" s="2376">
        <v>261600000</v>
      </c>
      <c r="S44" s="2357"/>
      <c r="T44" s="2357"/>
      <c r="U44" s="2356" t="s">
        <v>1172</v>
      </c>
      <c r="V44" s="2367">
        <v>80000000</v>
      </c>
      <c r="W44" s="2421"/>
      <c r="X44" s="998"/>
      <c r="Y44" s="2423"/>
      <c r="Z44" s="2413"/>
      <c r="AA44" s="2413"/>
      <c r="AB44" s="2413"/>
      <c r="AC44" s="2413"/>
      <c r="AD44" s="2413"/>
      <c r="AE44" s="2433"/>
      <c r="AF44" s="2436"/>
      <c r="AG44" s="997"/>
      <c r="AH44" s="2436"/>
      <c r="AI44" s="997"/>
      <c r="AJ44" s="997"/>
      <c r="AK44" s="2419">
        <v>42750</v>
      </c>
      <c r="AL44" s="2419">
        <v>42962</v>
      </c>
      <c r="AM44" s="2413"/>
    </row>
    <row r="45" spans="1:39" s="970" customFormat="1" ht="31.5" customHeight="1" x14ac:dyDescent="0.2">
      <c r="A45" s="957"/>
      <c r="B45" s="957"/>
      <c r="C45" s="958"/>
      <c r="D45" s="2348"/>
      <c r="E45" s="2349"/>
      <c r="F45" s="2350"/>
      <c r="G45" s="2398"/>
      <c r="H45" s="2402"/>
      <c r="I45" s="2403"/>
      <c r="J45" s="2426"/>
      <c r="K45" s="2357"/>
      <c r="L45" s="2427"/>
      <c r="M45" s="2430"/>
      <c r="N45" s="2391"/>
      <c r="O45" s="2394"/>
      <c r="P45" s="2357"/>
      <c r="Q45" s="2374"/>
      <c r="R45" s="2377"/>
      <c r="S45" s="2357"/>
      <c r="T45" s="2357"/>
      <c r="U45" s="2362"/>
      <c r="V45" s="2368"/>
      <c r="W45" s="2421"/>
      <c r="X45" s="968"/>
      <c r="Y45" s="2423"/>
      <c r="Z45" s="2413"/>
      <c r="AA45" s="2413"/>
      <c r="AB45" s="2413"/>
      <c r="AC45" s="2413"/>
      <c r="AD45" s="2413"/>
      <c r="AE45" s="2433"/>
      <c r="AF45" s="2436"/>
      <c r="AG45" s="997"/>
      <c r="AH45" s="2436"/>
      <c r="AI45" s="997"/>
      <c r="AJ45" s="997"/>
      <c r="AK45" s="2419"/>
      <c r="AL45" s="2419"/>
      <c r="AM45" s="2413"/>
    </row>
    <row r="46" spans="1:39" s="970" customFormat="1" ht="28.5" x14ac:dyDescent="0.2">
      <c r="A46" s="957"/>
      <c r="B46" s="957"/>
      <c r="C46" s="958"/>
      <c r="D46" s="2348"/>
      <c r="E46" s="2349"/>
      <c r="F46" s="2350"/>
      <c r="G46" s="2398"/>
      <c r="H46" s="2402"/>
      <c r="I46" s="2403"/>
      <c r="J46" s="2426"/>
      <c r="K46" s="2357"/>
      <c r="L46" s="2427"/>
      <c r="M46" s="2430"/>
      <c r="N46" s="2391"/>
      <c r="O46" s="2394"/>
      <c r="P46" s="2357"/>
      <c r="Q46" s="2374"/>
      <c r="R46" s="2377"/>
      <c r="S46" s="2357"/>
      <c r="T46" s="2357"/>
      <c r="U46" s="972" t="s">
        <v>1173</v>
      </c>
      <c r="V46" s="999">
        <v>5000000</v>
      </c>
      <c r="W46" s="2421"/>
      <c r="X46" s="998"/>
      <c r="Y46" s="2423"/>
      <c r="Z46" s="2413"/>
      <c r="AA46" s="2413"/>
      <c r="AB46" s="2413"/>
      <c r="AC46" s="2413"/>
      <c r="AD46" s="2413"/>
      <c r="AE46" s="2433"/>
      <c r="AF46" s="2436"/>
      <c r="AG46" s="997"/>
      <c r="AH46" s="2436"/>
      <c r="AI46" s="997"/>
      <c r="AJ46" s="997"/>
      <c r="AK46" s="980">
        <v>42791</v>
      </c>
      <c r="AL46" s="980">
        <v>43023</v>
      </c>
      <c r="AM46" s="2413"/>
    </row>
    <row r="47" spans="1:39" s="970" customFormat="1" ht="57" x14ac:dyDescent="0.2">
      <c r="A47" s="957"/>
      <c r="B47" s="957"/>
      <c r="C47" s="958"/>
      <c r="D47" s="2348"/>
      <c r="E47" s="2349"/>
      <c r="F47" s="2350"/>
      <c r="G47" s="2398"/>
      <c r="H47" s="2402"/>
      <c r="I47" s="2403"/>
      <c r="J47" s="2426"/>
      <c r="K47" s="2357"/>
      <c r="L47" s="2427"/>
      <c r="M47" s="2430"/>
      <c r="N47" s="2391"/>
      <c r="O47" s="2394"/>
      <c r="P47" s="2357"/>
      <c r="Q47" s="2374"/>
      <c r="R47" s="2377"/>
      <c r="S47" s="2357"/>
      <c r="T47" s="2357"/>
      <c r="U47" s="972" t="s">
        <v>1174</v>
      </c>
      <c r="V47" s="999">
        <v>95000000</v>
      </c>
      <c r="W47" s="1000"/>
      <c r="X47" s="998"/>
      <c r="Y47" s="2423"/>
      <c r="Z47" s="2413"/>
      <c r="AA47" s="2413"/>
      <c r="AB47" s="2413"/>
      <c r="AC47" s="2413"/>
      <c r="AD47" s="2413"/>
      <c r="AE47" s="2433"/>
      <c r="AF47" s="2436"/>
      <c r="AG47" s="997"/>
      <c r="AH47" s="2436"/>
      <c r="AI47" s="997"/>
      <c r="AJ47" s="997"/>
      <c r="AK47" s="980">
        <v>42809</v>
      </c>
      <c r="AL47" s="980">
        <v>43084</v>
      </c>
      <c r="AM47" s="2413"/>
    </row>
    <row r="48" spans="1:39" s="970" customFormat="1" ht="28.5" x14ac:dyDescent="0.2">
      <c r="A48" s="957"/>
      <c r="B48" s="957"/>
      <c r="C48" s="958"/>
      <c r="D48" s="2348"/>
      <c r="E48" s="2349"/>
      <c r="F48" s="2350"/>
      <c r="G48" s="2398"/>
      <c r="H48" s="2402"/>
      <c r="I48" s="2403"/>
      <c r="J48" s="2426"/>
      <c r="K48" s="2357"/>
      <c r="L48" s="2427"/>
      <c r="M48" s="2430"/>
      <c r="N48" s="2391"/>
      <c r="O48" s="2394"/>
      <c r="P48" s="2357"/>
      <c r="Q48" s="2374"/>
      <c r="R48" s="2377"/>
      <c r="S48" s="2357"/>
      <c r="T48" s="2357"/>
      <c r="U48" s="972" t="s">
        <v>1175</v>
      </c>
      <c r="V48" s="999">
        <v>40000000</v>
      </c>
      <c r="W48" s="1001">
        <v>20</v>
      </c>
      <c r="X48" s="998" t="s">
        <v>1176</v>
      </c>
      <c r="Y48" s="2423"/>
      <c r="Z48" s="2413"/>
      <c r="AA48" s="2413"/>
      <c r="AB48" s="2413"/>
      <c r="AC48" s="2413"/>
      <c r="AD48" s="2413"/>
      <c r="AE48" s="2433"/>
      <c r="AF48" s="2436"/>
      <c r="AG48" s="997"/>
      <c r="AH48" s="2436"/>
      <c r="AI48" s="997"/>
      <c r="AJ48" s="997"/>
      <c r="AK48" s="980">
        <v>42750</v>
      </c>
      <c r="AL48" s="980">
        <v>42962</v>
      </c>
      <c r="AM48" s="2413"/>
    </row>
    <row r="49" spans="1:39" s="970" customFormat="1" ht="43.5" customHeight="1" x14ac:dyDescent="0.2">
      <c r="A49" s="957"/>
      <c r="B49" s="957"/>
      <c r="C49" s="958"/>
      <c r="D49" s="2348"/>
      <c r="E49" s="2349"/>
      <c r="F49" s="2350"/>
      <c r="G49" s="2398"/>
      <c r="H49" s="2402"/>
      <c r="I49" s="2403"/>
      <c r="J49" s="2407"/>
      <c r="K49" s="2362"/>
      <c r="L49" s="2409"/>
      <c r="M49" s="2431"/>
      <c r="N49" s="2391"/>
      <c r="O49" s="2394"/>
      <c r="P49" s="2357"/>
      <c r="Q49" s="2375"/>
      <c r="R49" s="2378"/>
      <c r="S49" s="2357"/>
      <c r="T49" s="2357"/>
      <c r="U49" s="972" t="s">
        <v>1169</v>
      </c>
      <c r="V49" s="984">
        <v>41600000</v>
      </c>
      <c r="W49" s="1001">
        <v>42</v>
      </c>
      <c r="X49" s="968" t="s">
        <v>1177</v>
      </c>
      <c r="Y49" s="2423"/>
      <c r="Z49" s="2413"/>
      <c r="AA49" s="2413"/>
      <c r="AB49" s="2413"/>
      <c r="AC49" s="2413"/>
      <c r="AD49" s="2413"/>
      <c r="AE49" s="2433"/>
      <c r="AF49" s="2436"/>
      <c r="AG49" s="997"/>
      <c r="AH49" s="2436"/>
      <c r="AI49" s="997"/>
      <c r="AJ49" s="997"/>
      <c r="AK49" s="980">
        <v>42814</v>
      </c>
      <c r="AL49" s="980">
        <v>42962</v>
      </c>
      <c r="AM49" s="2413"/>
    </row>
    <row r="50" spans="1:39" ht="15" x14ac:dyDescent="0.2">
      <c r="A50" s="957"/>
      <c r="B50" s="957"/>
      <c r="C50" s="958"/>
      <c r="D50" s="2348"/>
      <c r="E50" s="2349"/>
      <c r="F50" s="2350"/>
      <c r="G50" s="2398"/>
      <c r="H50" s="2402"/>
      <c r="I50" s="2403"/>
      <c r="J50" s="2406">
        <v>221</v>
      </c>
      <c r="K50" s="2356" t="s">
        <v>1178</v>
      </c>
      <c r="L50" s="2408" t="s">
        <v>16</v>
      </c>
      <c r="M50" s="2410">
        <v>1</v>
      </c>
      <c r="N50" s="1002"/>
      <c r="O50" s="2394"/>
      <c r="P50" s="2357"/>
      <c r="Q50" s="2373">
        <f>+R50/418000000</f>
        <v>6.4114832535885166E-2</v>
      </c>
      <c r="R50" s="2376">
        <v>26800000</v>
      </c>
      <c r="S50" s="2357"/>
      <c r="T50" s="2357"/>
      <c r="U50" s="2356" t="s">
        <v>1179</v>
      </c>
      <c r="V50" s="2367">
        <v>20000000</v>
      </c>
      <c r="W50" s="2425"/>
      <c r="X50" s="968"/>
      <c r="Y50" s="2423"/>
      <c r="Z50" s="2413"/>
      <c r="AA50" s="2413"/>
      <c r="AB50" s="2413"/>
      <c r="AC50" s="2413"/>
      <c r="AD50" s="2413"/>
      <c r="AE50" s="2433"/>
      <c r="AF50" s="2436"/>
      <c r="AG50" s="997"/>
      <c r="AH50" s="2436"/>
      <c r="AI50" s="997"/>
      <c r="AJ50" s="997"/>
      <c r="AK50" s="2419">
        <v>42750</v>
      </c>
      <c r="AL50" s="2419">
        <v>42916</v>
      </c>
      <c r="AM50" s="2413"/>
    </row>
    <row r="51" spans="1:39" ht="24.75" customHeight="1" x14ac:dyDescent="0.2">
      <c r="A51" s="957"/>
      <c r="B51" s="957"/>
      <c r="C51" s="958"/>
      <c r="D51" s="2348"/>
      <c r="E51" s="2349"/>
      <c r="F51" s="2350"/>
      <c r="G51" s="2398"/>
      <c r="H51" s="2402"/>
      <c r="I51" s="2403"/>
      <c r="J51" s="2426"/>
      <c r="K51" s="2357"/>
      <c r="L51" s="2427"/>
      <c r="M51" s="2428"/>
      <c r="N51" s="1002"/>
      <c r="O51" s="2394"/>
      <c r="P51" s="2357"/>
      <c r="Q51" s="2374"/>
      <c r="R51" s="2377"/>
      <c r="S51" s="2357"/>
      <c r="T51" s="2357"/>
      <c r="U51" s="2362"/>
      <c r="V51" s="2368"/>
      <c r="W51" s="2385"/>
      <c r="X51" s="968"/>
      <c r="Y51" s="2423"/>
      <c r="Z51" s="2413"/>
      <c r="AA51" s="2413"/>
      <c r="AB51" s="2413"/>
      <c r="AC51" s="2413"/>
      <c r="AD51" s="2413"/>
      <c r="AE51" s="2433"/>
      <c r="AF51" s="2436"/>
      <c r="AG51" s="997"/>
      <c r="AH51" s="2436"/>
      <c r="AI51" s="997"/>
      <c r="AJ51" s="997"/>
      <c r="AK51" s="2419"/>
      <c r="AL51" s="2419"/>
      <c r="AM51" s="2413"/>
    </row>
    <row r="52" spans="1:39" ht="15" x14ac:dyDescent="0.2">
      <c r="A52" s="957"/>
      <c r="B52" s="957"/>
      <c r="C52" s="958"/>
      <c r="D52" s="2348"/>
      <c r="E52" s="2349"/>
      <c r="F52" s="2350"/>
      <c r="G52" s="2398"/>
      <c r="H52" s="2402"/>
      <c r="I52" s="2403"/>
      <c r="J52" s="2426"/>
      <c r="K52" s="2357"/>
      <c r="L52" s="2427"/>
      <c r="M52" s="2428"/>
      <c r="N52" s="1002"/>
      <c r="O52" s="2394"/>
      <c r="P52" s="2357"/>
      <c r="Q52" s="2374"/>
      <c r="R52" s="2377"/>
      <c r="S52" s="2357"/>
      <c r="T52" s="2357"/>
      <c r="U52" s="2356" t="s">
        <v>1169</v>
      </c>
      <c r="V52" s="2367">
        <v>6800000</v>
      </c>
      <c r="W52" s="2385"/>
      <c r="X52" s="968"/>
      <c r="Y52" s="2423"/>
      <c r="Z52" s="2413"/>
      <c r="AA52" s="2413"/>
      <c r="AB52" s="2413"/>
      <c r="AC52" s="2413"/>
      <c r="AD52" s="2413"/>
      <c r="AE52" s="2433"/>
      <c r="AF52" s="2436"/>
      <c r="AG52" s="997"/>
      <c r="AH52" s="2436"/>
      <c r="AI52" s="997"/>
      <c r="AJ52" s="997"/>
      <c r="AK52" s="2419">
        <v>42809</v>
      </c>
      <c r="AL52" s="2419">
        <v>42957</v>
      </c>
      <c r="AM52" s="2413"/>
    </row>
    <row r="53" spans="1:39" ht="15" x14ac:dyDescent="0.2">
      <c r="A53" s="957"/>
      <c r="B53" s="957"/>
      <c r="C53" s="958"/>
      <c r="D53" s="2348"/>
      <c r="E53" s="2349"/>
      <c r="F53" s="2350"/>
      <c r="G53" s="2398"/>
      <c r="H53" s="2402"/>
      <c r="I53" s="2403"/>
      <c r="J53" s="2407"/>
      <c r="K53" s="2362"/>
      <c r="L53" s="2409"/>
      <c r="M53" s="2411"/>
      <c r="N53" s="1002"/>
      <c r="O53" s="2417"/>
      <c r="P53" s="2357"/>
      <c r="Q53" s="2375"/>
      <c r="R53" s="2378"/>
      <c r="S53" s="2357"/>
      <c r="T53" s="2357"/>
      <c r="U53" s="2362"/>
      <c r="V53" s="2368"/>
      <c r="W53" s="2385"/>
      <c r="X53" s="968"/>
      <c r="Y53" s="2423"/>
      <c r="Z53" s="2413"/>
      <c r="AA53" s="2413"/>
      <c r="AB53" s="2413"/>
      <c r="AC53" s="2413"/>
      <c r="AD53" s="2413"/>
      <c r="AE53" s="2433"/>
      <c r="AF53" s="2436"/>
      <c r="AG53" s="997"/>
      <c r="AH53" s="2436"/>
      <c r="AI53" s="997"/>
      <c r="AJ53" s="997"/>
      <c r="AK53" s="2419"/>
      <c r="AL53" s="2419"/>
      <c r="AM53" s="2413"/>
    </row>
    <row r="54" spans="1:39" ht="42" customHeight="1" x14ac:dyDescent="0.2">
      <c r="A54" s="957"/>
      <c r="B54" s="957"/>
      <c r="C54" s="958"/>
      <c r="D54" s="2351"/>
      <c r="E54" s="2352"/>
      <c r="F54" s="2353"/>
      <c r="G54" s="2399"/>
      <c r="H54" s="2404"/>
      <c r="I54" s="2405"/>
      <c r="J54" s="1003">
        <v>222</v>
      </c>
      <c r="K54" s="1004" t="s">
        <v>1180</v>
      </c>
      <c r="L54" s="1005" t="s">
        <v>16</v>
      </c>
      <c r="M54" s="1006">
        <v>1</v>
      </c>
      <c r="N54" s="1008"/>
      <c r="O54" s="2418"/>
      <c r="P54" s="2362"/>
      <c r="Q54" s="1009">
        <f>+R54/418000000</f>
        <v>4.3062200956937802E-2</v>
      </c>
      <c r="R54" s="1010">
        <v>18000000</v>
      </c>
      <c r="S54" s="2362"/>
      <c r="T54" s="2362"/>
      <c r="U54" s="981" t="s">
        <v>1181</v>
      </c>
      <c r="V54" s="1011">
        <v>18000000</v>
      </c>
      <c r="W54" s="2385"/>
      <c r="X54" s="994"/>
      <c r="Y54" s="2424"/>
      <c r="Z54" s="2416"/>
      <c r="AA54" s="2416"/>
      <c r="AB54" s="2416"/>
      <c r="AC54" s="2416"/>
      <c r="AD54" s="2416"/>
      <c r="AE54" s="2434"/>
      <c r="AF54" s="2437"/>
      <c r="AG54" s="1012"/>
      <c r="AH54" s="2437"/>
      <c r="AI54" s="1012"/>
      <c r="AJ54" s="1012"/>
      <c r="AK54" s="980">
        <v>42750</v>
      </c>
      <c r="AL54" s="980">
        <v>42977</v>
      </c>
      <c r="AM54" s="2416"/>
    </row>
    <row r="55" spans="1:39" s="153" customFormat="1" ht="26.25" customHeight="1" x14ac:dyDescent="0.2">
      <c r="A55" s="957"/>
      <c r="B55" s="957"/>
      <c r="C55" s="958"/>
      <c r="D55" s="951">
        <v>24</v>
      </c>
      <c r="E55" s="579" t="s">
        <v>1182</v>
      </c>
      <c r="F55" s="579"/>
      <c r="G55" s="579"/>
      <c r="H55" s="579"/>
      <c r="I55" s="579"/>
      <c r="J55" s="579"/>
      <c r="K55" s="952"/>
      <c r="L55" s="579"/>
      <c r="M55" s="579"/>
      <c r="N55" s="579"/>
      <c r="O55" s="579"/>
      <c r="P55" s="580"/>
      <c r="Q55" s="953"/>
      <c r="R55" s="954"/>
      <c r="S55" s="580"/>
      <c r="T55" s="952"/>
      <c r="U55" s="952"/>
      <c r="V55" s="955"/>
      <c r="W55" s="955"/>
      <c r="X55" s="1013"/>
      <c r="Y55" s="955"/>
      <c r="Z55" s="955"/>
      <c r="AA55" s="955"/>
      <c r="AB55" s="955"/>
      <c r="AC55" s="955"/>
      <c r="AD55" s="955"/>
      <c r="AE55" s="955"/>
      <c r="AF55" s="955"/>
      <c r="AG55" s="955"/>
      <c r="AH55" s="955"/>
      <c r="AI55" s="955"/>
      <c r="AJ55" s="955"/>
      <c r="AK55" s="955"/>
      <c r="AL55" s="585"/>
      <c r="AM55" s="76"/>
    </row>
    <row r="56" spans="1:39" s="153" customFormat="1" ht="25.5" customHeight="1" x14ac:dyDescent="0.2">
      <c r="A56" s="957"/>
      <c r="B56" s="957"/>
      <c r="C56" s="958"/>
      <c r="D56" s="1014"/>
      <c r="E56" s="1015"/>
      <c r="F56" s="1016"/>
      <c r="G56" s="959">
        <v>78</v>
      </c>
      <c r="H56" s="81" t="s">
        <v>1183</v>
      </c>
      <c r="I56" s="81"/>
      <c r="J56" s="81"/>
      <c r="K56" s="960"/>
      <c r="L56" s="81"/>
      <c r="M56" s="81"/>
      <c r="N56" s="626"/>
      <c r="O56" s="626"/>
      <c r="P56" s="56"/>
      <c r="Q56" s="961"/>
      <c r="R56" s="962"/>
      <c r="S56" s="56"/>
      <c r="T56" s="960"/>
      <c r="U56" s="960"/>
      <c r="V56" s="963"/>
      <c r="W56" s="963"/>
      <c r="X56" s="1017"/>
      <c r="Y56" s="963"/>
      <c r="Z56" s="963"/>
      <c r="AA56" s="963"/>
      <c r="AB56" s="963"/>
      <c r="AC56" s="963"/>
      <c r="AD56" s="963"/>
      <c r="AE56" s="963"/>
      <c r="AF56" s="963"/>
      <c r="AG56" s="963"/>
      <c r="AH56" s="963"/>
      <c r="AI56" s="963"/>
      <c r="AJ56" s="963"/>
      <c r="AK56" s="963"/>
      <c r="AL56" s="963"/>
      <c r="AM56" s="1018"/>
    </row>
    <row r="57" spans="1:39" ht="63" customHeight="1" x14ac:dyDescent="0.2">
      <c r="A57" s="957"/>
      <c r="B57" s="957"/>
      <c r="C57" s="958"/>
      <c r="D57" s="2397"/>
      <c r="E57" s="2440"/>
      <c r="F57" s="2441"/>
      <c r="G57" s="2397"/>
      <c r="H57" s="2446"/>
      <c r="I57" s="2447"/>
      <c r="J57" s="2406">
        <v>226</v>
      </c>
      <c r="K57" s="2452" t="s">
        <v>1184</v>
      </c>
      <c r="L57" s="2359" t="s">
        <v>16</v>
      </c>
      <c r="M57" s="2438">
        <v>12</v>
      </c>
      <c r="N57" s="2390" t="s">
        <v>1185</v>
      </c>
      <c r="O57" s="2393" t="s">
        <v>1186</v>
      </c>
      <c r="P57" s="2356" t="s">
        <v>1187</v>
      </c>
      <c r="Q57" s="2373">
        <f>+R57/577187776</f>
        <v>0.43382762146369502</v>
      </c>
      <c r="R57" s="2455">
        <v>250400000</v>
      </c>
      <c r="S57" s="2356" t="s">
        <v>1188</v>
      </c>
      <c r="T57" s="2363" t="s">
        <v>1189</v>
      </c>
      <c r="U57" s="972" t="s">
        <v>1190</v>
      </c>
      <c r="V57" s="983">
        <v>10000000</v>
      </c>
      <c r="W57" s="967"/>
      <c r="X57" s="1019"/>
      <c r="Y57" s="2474">
        <v>363</v>
      </c>
      <c r="Z57" s="2458">
        <v>705</v>
      </c>
      <c r="AA57" s="2458">
        <v>553</v>
      </c>
      <c r="AB57" s="2458">
        <v>835</v>
      </c>
      <c r="AC57" s="2458">
        <v>1717</v>
      </c>
      <c r="AD57" s="2458">
        <v>282</v>
      </c>
      <c r="AE57" s="2458">
        <v>141</v>
      </c>
      <c r="AF57" s="2458">
        <v>113</v>
      </c>
      <c r="AG57" s="1020"/>
      <c r="AH57" s="2458">
        <v>5833</v>
      </c>
      <c r="AI57" s="1020"/>
      <c r="AJ57" s="1020"/>
      <c r="AK57" s="980">
        <v>42750</v>
      </c>
      <c r="AL57" s="1021">
        <v>42916</v>
      </c>
      <c r="AM57" s="2412" t="s">
        <v>1191</v>
      </c>
    </row>
    <row r="58" spans="1:39" ht="59.25" customHeight="1" x14ac:dyDescent="0.2">
      <c r="A58" s="957"/>
      <c r="B58" s="957"/>
      <c r="C58" s="958"/>
      <c r="D58" s="2398"/>
      <c r="E58" s="2442"/>
      <c r="F58" s="2443"/>
      <c r="G58" s="2398"/>
      <c r="H58" s="2448"/>
      <c r="I58" s="2449"/>
      <c r="J58" s="2426"/>
      <c r="K58" s="2453"/>
      <c r="L58" s="2359"/>
      <c r="M58" s="2457"/>
      <c r="N58" s="2391"/>
      <c r="O58" s="2394"/>
      <c r="P58" s="2357"/>
      <c r="Q58" s="2374"/>
      <c r="R58" s="2463"/>
      <c r="S58" s="2357"/>
      <c r="T58" s="2364"/>
      <c r="U58" s="972" t="s">
        <v>1783</v>
      </c>
      <c r="V58" s="983">
        <v>20000000</v>
      </c>
      <c r="W58" s="967"/>
      <c r="X58" s="998"/>
      <c r="Y58" s="2475"/>
      <c r="Z58" s="2459"/>
      <c r="AA58" s="2459"/>
      <c r="AB58" s="2459"/>
      <c r="AC58" s="2459"/>
      <c r="AD58" s="2459"/>
      <c r="AE58" s="2459"/>
      <c r="AF58" s="2459"/>
      <c r="AG58" s="1022"/>
      <c r="AH58" s="2459"/>
      <c r="AI58" s="1022"/>
      <c r="AJ58" s="1022"/>
      <c r="AK58" s="980">
        <v>42751</v>
      </c>
      <c r="AL58" s="1021">
        <v>42931</v>
      </c>
      <c r="AM58" s="2413"/>
    </row>
    <row r="59" spans="1:39" ht="85.5" x14ac:dyDescent="0.2">
      <c r="A59" s="957"/>
      <c r="B59" s="957"/>
      <c r="C59" s="958"/>
      <c r="D59" s="2398"/>
      <c r="E59" s="2442"/>
      <c r="F59" s="2443"/>
      <c r="G59" s="2398"/>
      <c r="H59" s="2448"/>
      <c r="I59" s="2449"/>
      <c r="J59" s="2426"/>
      <c r="K59" s="2453"/>
      <c r="L59" s="2359"/>
      <c r="M59" s="2457"/>
      <c r="N59" s="2391"/>
      <c r="O59" s="2394"/>
      <c r="P59" s="2357"/>
      <c r="Q59" s="2374"/>
      <c r="R59" s="2463"/>
      <c r="S59" s="2357"/>
      <c r="T59" s="2364"/>
      <c r="U59" s="972" t="s">
        <v>1192</v>
      </c>
      <c r="V59" s="983">
        <v>20000000</v>
      </c>
      <c r="W59" s="967"/>
      <c r="X59" s="998"/>
      <c r="Y59" s="2475"/>
      <c r="Z59" s="2459"/>
      <c r="AA59" s="2459"/>
      <c r="AB59" s="2459"/>
      <c r="AC59" s="2459"/>
      <c r="AD59" s="2459"/>
      <c r="AE59" s="2459"/>
      <c r="AF59" s="2459"/>
      <c r="AG59" s="1022"/>
      <c r="AH59" s="2459"/>
      <c r="AI59" s="1022"/>
      <c r="AJ59" s="1022"/>
      <c r="AK59" s="980">
        <v>42751</v>
      </c>
      <c r="AL59" s="1021">
        <v>42931</v>
      </c>
      <c r="AM59" s="2413"/>
    </row>
    <row r="60" spans="1:39" ht="57" x14ac:dyDescent="0.2">
      <c r="A60" s="957"/>
      <c r="B60" s="957"/>
      <c r="C60" s="958"/>
      <c r="D60" s="2398"/>
      <c r="E60" s="2442"/>
      <c r="F60" s="2443"/>
      <c r="G60" s="2398"/>
      <c r="H60" s="2448"/>
      <c r="I60" s="2449"/>
      <c r="J60" s="2426"/>
      <c r="K60" s="2453"/>
      <c r="L60" s="2359"/>
      <c r="M60" s="2457"/>
      <c r="N60" s="2391"/>
      <c r="O60" s="2394"/>
      <c r="P60" s="2357"/>
      <c r="Q60" s="2374"/>
      <c r="R60" s="2463"/>
      <c r="S60" s="2357"/>
      <c r="T60" s="2364"/>
      <c r="U60" s="972" t="s">
        <v>1193</v>
      </c>
      <c r="V60" s="983">
        <v>10000000</v>
      </c>
      <c r="W60" s="967"/>
      <c r="X60" s="998"/>
      <c r="Y60" s="2475"/>
      <c r="Z60" s="2459"/>
      <c r="AA60" s="2459"/>
      <c r="AB60" s="2459"/>
      <c r="AC60" s="2459"/>
      <c r="AD60" s="2459"/>
      <c r="AE60" s="2459"/>
      <c r="AF60" s="2459"/>
      <c r="AG60" s="1022"/>
      <c r="AH60" s="2459"/>
      <c r="AI60" s="1022"/>
      <c r="AJ60" s="1022"/>
      <c r="AK60" s="980">
        <v>42750</v>
      </c>
      <c r="AL60" s="1021">
        <v>42916</v>
      </c>
      <c r="AM60" s="2413"/>
    </row>
    <row r="61" spans="1:39" ht="71.25" x14ac:dyDescent="0.2">
      <c r="A61" s="957"/>
      <c r="B61" s="957"/>
      <c r="C61" s="958"/>
      <c r="D61" s="2398"/>
      <c r="E61" s="2442"/>
      <c r="F61" s="2443"/>
      <c r="G61" s="2398"/>
      <c r="H61" s="2448"/>
      <c r="I61" s="2449"/>
      <c r="J61" s="2426"/>
      <c r="K61" s="2453"/>
      <c r="L61" s="2359"/>
      <c r="M61" s="2457"/>
      <c r="N61" s="2391"/>
      <c r="O61" s="2394"/>
      <c r="P61" s="2357"/>
      <c r="Q61" s="2374"/>
      <c r="R61" s="2463"/>
      <c r="S61" s="2357"/>
      <c r="T61" s="2364"/>
      <c r="U61" s="972" t="s">
        <v>1194</v>
      </c>
      <c r="V61" s="983">
        <v>15000000</v>
      </c>
      <c r="W61" s="967"/>
      <c r="X61" s="998"/>
      <c r="Y61" s="2475"/>
      <c r="Z61" s="2459"/>
      <c r="AA61" s="2459"/>
      <c r="AB61" s="2459"/>
      <c r="AC61" s="2459"/>
      <c r="AD61" s="2459"/>
      <c r="AE61" s="2459"/>
      <c r="AF61" s="2459"/>
      <c r="AG61" s="1022"/>
      <c r="AH61" s="2459"/>
      <c r="AI61" s="1022"/>
      <c r="AJ61" s="1022"/>
      <c r="AK61" s="980">
        <v>42750</v>
      </c>
      <c r="AL61" s="1021">
        <v>42916</v>
      </c>
      <c r="AM61" s="2413"/>
    </row>
    <row r="62" spans="1:39" ht="28.5" x14ac:dyDescent="0.2">
      <c r="A62" s="957"/>
      <c r="B62" s="957"/>
      <c r="C62" s="958"/>
      <c r="D62" s="2398"/>
      <c r="E62" s="2442"/>
      <c r="F62" s="2443"/>
      <c r="G62" s="2398"/>
      <c r="H62" s="2448"/>
      <c r="I62" s="2449"/>
      <c r="J62" s="2426"/>
      <c r="K62" s="2453"/>
      <c r="L62" s="2359"/>
      <c r="M62" s="2457"/>
      <c r="N62" s="2391"/>
      <c r="O62" s="2394"/>
      <c r="P62" s="2357"/>
      <c r="Q62" s="2374"/>
      <c r="R62" s="2463"/>
      <c r="S62" s="2357"/>
      <c r="T62" s="2364"/>
      <c r="U62" s="981" t="s">
        <v>1195</v>
      </c>
      <c r="V62" s="978">
        <v>150400000</v>
      </c>
      <c r="W62" s="967"/>
      <c r="X62" s="998"/>
      <c r="Y62" s="2475"/>
      <c r="Z62" s="2459"/>
      <c r="AA62" s="2459"/>
      <c r="AB62" s="2459"/>
      <c r="AC62" s="2459"/>
      <c r="AD62" s="2459"/>
      <c r="AE62" s="2459"/>
      <c r="AF62" s="2459"/>
      <c r="AG62" s="1022"/>
      <c r="AH62" s="2459"/>
      <c r="AI62" s="1022"/>
      <c r="AJ62" s="1022"/>
      <c r="AK62" s="2414">
        <v>42814</v>
      </c>
      <c r="AL62" s="2414">
        <v>43089</v>
      </c>
      <c r="AM62" s="2413"/>
    </row>
    <row r="63" spans="1:39" ht="30" customHeight="1" x14ac:dyDescent="0.2">
      <c r="A63" s="957"/>
      <c r="B63" s="957"/>
      <c r="C63" s="958"/>
      <c r="D63" s="2398"/>
      <c r="E63" s="2442"/>
      <c r="F63" s="2443"/>
      <c r="G63" s="2398"/>
      <c r="H63" s="2448"/>
      <c r="I63" s="2449"/>
      <c r="J63" s="2407"/>
      <c r="K63" s="2454"/>
      <c r="L63" s="2371"/>
      <c r="M63" s="2439"/>
      <c r="N63" s="2391"/>
      <c r="O63" s="2394"/>
      <c r="P63" s="2357"/>
      <c r="Q63" s="2375"/>
      <c r="R63" s="2456"/>
      <c r="S63" s="2357"/>
      <c r="T63" s="2364"/>
      <c r="U63" s="981" t="s">
        <v>1196</v>
      </c>
      <c r="V63" s="978">
        <v>25000000</v>
      </c>
      <c r="W63" s="967"/>
      <c r="X63" s="998"/>
      <c r="Y63" s="2475"/>
      <c r="Z63" s="2459"/>
      <c r="AA63" s="2459"/>
      <c r="AB63" s="2459"/>
      <c r="AC63" s="2459"/>
      <c r="AD63" s="2459"/>
      <c r="AE63" s="2459"/>
      <c r="AF63" s="2459"/>
      <c r="AG63" s="1022"/>
      <c r="AH63" s="2459"/>
      <c r="AI63" s="1022"/>
      <c r="AJ63" s="1022"/>
      <c r="AK63" s="2415"/>
      <c r="AL63" s="2415"/>
      <c r="AM63" s="2413"/>
    </row>
    <row r="64" spans="1:39" ht="57" x14ac:dyDescent="0.2">
      <c r="A64" s="957"/>
      <c r="B64" s="957"/>
      <c r="C64" s="958"/>
      <c r="D64" s="2398"/>
      <c r="E64" s="2442"/>
      <c r="F64" s="2443"/>
      <c r="G64" s="2398"/>
      <c r="H64" s="2448"/>
      <c r="I64" s="2449"/>
      <c r="J64" s="2412">
        <v>227</v>
      </c>
      <c r="K64" s="2356" t="s">
        <v>1197</v>
      </c>
      <c r="L64" s="2358" t="s">
        <v>16</v>
      </c>
      <c r="M64" s="2438">
        <v>12</v>
      </c>
      <c r="N64" s="2391"/>
      <c r="O64" s="2394"/>
      <c r="P64" s="2357"/>
      <c r="Q64" s="2373">
        <f>+R64/577189776</f>
        <v>0.35742143845597152</v>
      </c>
      <c r="R64" s="2455">
        <v>206300000</v>
      </c>
      <c r="S64" s="2357"/>
      <c r="T64" s="2364"/>
      <c r="U64" s="981" t="s">
        <v>1198</v>
      </c>
      <c r="V64" s="978">
        <v>85000000</v>
      </c>
      <c r="W64" s="967"/>
      <c r="X64" s="998"/>
      <c r="Y64" s="2475"/>
      <c r="Z64" s="2459"/>
      <c r="AA64" s="2459"/>
      <c r="AB64" s="2459"/>
      <c r="AC64" s="2459"/>
      <c r="AD64" s="2459"/>
      <c r="AE64" s="2459"/>
      <c r="AF64" s="2459"/>
      <c r="AG64" s="1022"/>
      <c r="AH64" s="2459"/>
      <c r="AI64" s="1022"/>
      <c r="AJ64" s="1022"/>
      <c r="AK64" s="980">
        <v>42786</v>
      </c>
      <c r="AL64" s="1021">
        <v>43089</v>
      </c>
      <c r="AM64" s="2413"/>
    </row>
    <row r="65" spans="1:39" ht="85.5" x14ac:dyDescent="0.2">
      <c r="A65" s="957"/>
      <c r="B65" s="957"/>
      <c r="C65" s="958"/>
      <c r="D65" s="2398"/>
      <c r="E65" s="2442"/>
      <c r="F65" s="2443"/>
      <c r="G65" s="2398"/>
      <c r="H65" s="2448"/>
      <c r="I65" s="2449"/>
      <c r="J65" s="2416"/>
      <c r="K65" s="2362"/>
      <c r="L65" s="2371"/>
      <c r="M65" s="2439"/>
      <c r="N65" s="2391"/>
      <c r="O65" s="2394"/>
      <c r="P65" s="2357"/>
      <c r="Q65" s="2375"/>
      <c r="R65" s="2456"/>
      <c r="S65" s="2357"/>
      <c r="T65" s="2364"/>
      <c r="U65" s="981" t="s">
        <v>1199</v>
      </c>
      <c r="V65" s="978">
        <v>121300000</v>
      </c>
      <c r="W65" s="969">
        <v>20</v>
      </c>
      <c r="X65" s="998" t="s">
        <v>1176</v>
      </c>
      <c r="Y65" s="2475"/>
      <c r="Z65" s="2459"/>
      <c r="AA65" s="2459"/>
      <c r="AB65" s="2459"/>
      <c r="AC65" s="2459"/>
      <c r="AD65" s="2459"/>
      <c r="AE65" s="2459"/>
      <c r="AF65" s="2459"/>
      <c r="AG65" s="1022"/>
      <c r="AH65" s="2459"/>
      <c r="AI65" s="1022"/>
      <c r="AJ65" s="1022"/>
      <c r="AK65" s="980">
        <v>42819</v>
      </c>
      <c r="AL65" s="1021">
        <v>43089</v>
      </c>
      <c r="AM65" s="2413"/>
    </row>
    <row r="66" spans="1:39" ht="28.5" x14ac:dyDescent="0.2">
      <c r="A66" s="957"/>
      <c r="B66" s="957"/>
      <c r="C66" s="958"/>
      <c r="D66" s="2398"/>
      <c r="E66" s="2442"/>
      <c r="F66" s="2443"/>
      <c r="G66" s="2398"/>
      <c r="H66" s="2448"/>
      <c r="I66" s="2449"/>
      <c r="J66" s="2412">
        <v>228</v>
      </c>
      <c r="K66" s="2461" t="s">
        <v>1200</v>
      </c>
      <c r="L66" s="2358" t="s">
        <v>16</v>
      </c>
      <c r="M66" s="2438">
        <v>2</v>
      </c>
      <c r="N66" s="2391"/>
      <c r="O66" s="2394"/>
      <c r="P66" s="2357"/>
      <c r="Q66" s="2373">
        <f>+R66/577189776</f>
        <v>4.3486563767546706E-2</v>
      </c>
      <c r="R66" s="2455">
        <v>25100000</v>
      </c>
      <c r="S66" s="2357"/>
      <c r="T66" s="2364"/>
      <c r="U66" s="972" t="s">
        <v>1201</v>
      </c>
      <c r="V66" s="983">
        <v>6400000</v>
      </c>
      <c r="W66" s="969">
        <v>88</v>
      </c>
      <c r="X66" s="998" t="s">
        <v>1202</v>
      </c>
      <c r="Y66" s="2475"/>
      <c r="Z66" s="2459"/>
      <c r="AA66" s="2459"/>
      <c r="AB66" s="2459"/>
      <c r="AC66" s="2459"/>
      <c r="AD66" s="2459"/>
      <c r="AE66" s="2459"/>
      <c r="AF66" s="2459"/>
      <c r="AG66" s="1022"/>
      <c r="AH66" s="2459"/>
      <c r="AI66" s="1022"/>
      <c r="AJ66" s="1022"/>
      <c r="AK66" s="980">
        <v>42755</v>
      </c>
      <c r="AL66" s="1021">
        <v>42756</v>
      </c>
      <c r="AM66" s="2413"/>
    </row>
    <row r="67" spans="1:39" ht="26.25" customHeight="1" x14ac:dyDescent="0.2">
      <c r="A67" s="957"/>
      <c r="B67" s="957"/>
      <c r="C67" s="958"/>
      <c r="D67" s="2398"/>
      <c r="E67" s="2442"/>
      <c r="F67" s="2443"/>
      <c r="G67" s="2398"/>
      <c r="H67" s="2448"/>
      <c r="I67" s="2449"/>
      <c r="J67" s="2413"/>
      <c r="K67" s="2462"/>
      <c r="L67" s="2359"/>
      <c r="M67" s="2457"/>
      <c r="N67" s="2391"/>
      <c r="O67" s="2394"/>
      <c r="P67" s="2357"/>
      <c r="Q67" s="2374"/>
      <c r="R67" s="2463"/>
      <c r="S67" s="2357"/>
      <c r="T67" s="2364"/>
      <c r="U67" s="972" t="s">
        <v>1203</v>
      </c>
      <c r="V67" s="983">
        <v>9600000</v>
      </c>
      <c r="W67" s="967"/>
      <c r="X67" s="998"/>
      <c r="Y67" s="2475"/>
      <c r="Z67" s="2459"/>
      <c r="AA67" s="2459"/>
      <c r="AB67" s="2459"/>
      <c r="AC67" s="2459"/>
      <c r="AD67" s="2459"/>
      <c r="AE67" s="2459"/>
      <c r="AF67" s="2459"/>
      <c r="AG67" s="1022"/>
      <c r="AH67" s="2459"/>
      <c r="AI67" s="1022"/>
      <c r="AJ67" s="1022"/>
      <c r="AK67" s="980">
        <v>42840</v>
      </c>
      <c r="AL67" s="1021">
        <v>42841</v>
      </c>
      <c r="AM67" s="2413"/>
    </row>
    <row r="68" spans="1:39" ht="21.75" customHeight="1" x14ac:dyDescent="0.2">
      <c r="A68" s="957"/>
      <c r="B68" s="957"/>
      <c r="C68" s="958"/>
      <c r="D68" s="2398"/>
      <c r="E68" s="2442"/>
      <c r="F68" s="2443"/>
      <c r="G68" s="2398"/>
      <c r="H68" s="2448"/>
      <c r="I68" s="2449"/>
      <c r="J68" s="2413"/>
      <c r="K68" s="2462"/>
      <c r="L68" s="2359"/>
      <c r="M68" s="2457"/>
      <c r="N68" s="2391"/>
      <c r="O68" s="2394"/>
      <c r="P68" s="2357"/>
      <c r="Q68" s="2374"/>
      <c r="R68" s="2463"/>
      <c r="S68" s="2357"/>
      <c r="T68" s="2364"/>
      <c r="U68" s="972" t="s">
        <v>1196</v>
      </c>
      <c r="V68" s="983">
        <v>4100000</v>
      </c>
      <c r="W68" s="967"/>
      <c r="X68" s="998"/>
      <c r="Y68" s="2475"/>
      <c r="Z68" s="2459"/>
      <c r="AA68" s="2459"/>
      <c r="AB68" s="2459"/>
      <c r="AC68" s="2459"/>
      <c r="AD68" s="2459"/>
      <c r="AE68" s="2459"/>
      <c r="AF68" s="2459"/>
      <c r="AG68" s="1022"/>
      <c r="AH68" s="2459"/>
      <c r="AI68" s="1022"/>
      <c r="AJ68" s="1022"/>
      <c r="AK68" s="2414">
        <v>42755</v>
      </c>
      <c r="AL68" s="2414">
        <v>42977</v>
      </c>
      <c r="AM68" s="2413"/>
    </row>
    <row r="69" spans="1:39" ht="28.5" x14ac:dyDescent="0.2">
      <c r="A69" s="957"/>
      <c r="B69" s="957"/>
      <c r="C69" s="958"/>
      <c r="D69" s="2398"/>
      <c r="E69" s="2442"/>
      <c r="F69" s="2443"/>
      <c r="G69" s="2398"/>
      <c r="H69" s="2448"/>
      <c r="I69" s="2449"/>
      <c r="J69" s="2416"/>
      <c r="K69" s="2464"/>
      <c r="L69" s="2371"/>
      <c r="M69" s="2439"/>
      <c r="N69" s="2391"/>
      <c r="O69" s="2394"/>
      <c r="P69" s="2357"/>
      <c r="Q69" s="2375"/>
      <c r="R69" s="2456"/>
      <c r="S69" s="2357"/>
      <c r="T69" s="2364"/>
      <c r="U69" s="972" t="s">
        <v>1204</v>
      </c>
      <c r="V69" s="983">
        <v>5000000</v>
      </c>
      <c r="W69" s="967"/>
      <c r="X69" s="998"/>
      <c r="Y69" s="2475"/>
      <c r="Z69" s="2459"/>
      <c r="AA69" s="2459"/>
      <c r="AB69" s="2459"/>
      <c r="AC69" s="2459"/>
      <c r="AD69" s="2459"/>
      <c r="AE69" s="2459"/>
      <c r="AF69" s="2459"/>
      <c r="AG69" s="1022"/>
      <c r="AH69" s="2459"/>
      <c r="AI69" s="1022"/>
      <c r="AJ69" s="1022"/>
      <c r="AK69" s="2415"/>
      <c r="AL69" s="2415"/>
      <c r="AM69" s="2413"/>
    </row>
    <row r="70" spans="1:39" ht="71.25" x14ac:dyDescent="0.2">
      <c r="A70" s="957"/>
      <c r="B70" s="957"/>
      <c r="C70" s="958"/>
      <c r="D70" s="2398"/>
      <c r="E70" s="2442"/>
      <c r="F70" s="2443"/>
      <c r="G70" s="2398"/>
      <c r="H70" s="2448"/>
      <c r="I70" s="2449"/>
      <c r="J70" s="2412">
        <v>229</v>
      </c>
      <c r="K70" s="2356" t="s">
        <v>1205</v>
      </c>
      <c r="L70" s="2358" t="s">
        <v>16</v>
      </c>
      <c r="M70" s="2438">
        <v>13</v>
      </c>
      <c r="N70" s="2391"/>
      <c r="O70" s="2394"/>
      <c r="P70" s="2357"/>
      <c r="Q70" s="2373">
        <f>+R70/577189776</f>
        <v>8.2035410135192693E-2</v>
      </c>
      <c r="R70" s="2455">
        <v>47350000</v>
      </c>
      <c r="S70" s="2357"/>
      <c r="T70" s="2364"/>
      <c r="U70" s="972" t="s">
        <v>1206</v>
      </c>
      <c r="V70" s="983">
        <v>23675000</v>
      </c>
      <c r="W70" s="967"/>
      <c r="X70" s="998"/>
      <c r="Y70" s="2475"/>
      <c r="Z70" s="2459"/>
      <c r="AA70" s="2459"/>
      <c r="AB70" s="2459"/>
      <c r="AC70" s="2459"/>
      <c r="AD70" s="2459"/>
      <c r="AE70" s="2459"/>
      <c r="AF70" s="2459"/>
      <c r="AG70" s="1022"/>
      <c r="AH70" s="2459"/>
      <c r="AI70" s="1022"/>
      <c r="AJ70" s="1022"/>
      <c r="AK70" s="980">
        <v>42755</v>
      </c>
      <c r="AL70" s="1021">
        <v>42974</v>
      </c>
      <c r="AM70" s="2413"/>
    </row>
    <row r="71" spans="1:39" ht="57" x14ac:dyDescent="0.2">
      <c r="A71" s="957"/>
      <c r="B71" s="957"/>
      <c r="C71" s="958"/>
      <c r="D71" s="2398"/>
      <c r="E71" s="2442"/>
      <c r="F71" s="2443"/>
      <c r="G71" s="2398"/>
      <c r="H71" s="2448"/>
      <c r="I71" s="2449"/>
      <c r="J71" s="2416"/>
      <c r="K71" s="2362"/>
      <c r="L71" s="2371"/>
      <c r="M71" s="2439"/>
      <c r="N71" s="2391"/>
      <c r="O71" s="2394"/>
      <c r="P71" s="2357"/>
      <c r="Q71" s="2375"/>
      <c r="R71" s="2456"/>
      <c r="S71" s="2357"/>
      <c r="T71" s="2364"/>
      <c r="U71" s="972" t="s">
        <v>1207</v>
      </c>
      <c r="V71" s="983">
        <v>23675000</v>
      </c>
      <c r="W71" s="967"/>
      <c r="X71" s="998"/>
      <c r="Y71" s="2475"/>
      <c r="Z71" s="2459"/>
      <c r="AA71" s="2459"/>
      <c r="AB71" s="2459"/>
      <c r="AC71" s="2459"/>
      <c r="AD71" s="2459"/>
      <c r="AE71" s="2459"/>
      <c r="AF71" s="2459"/>
      <c r="AG71" s="1022"/>
      <c r="AH71" s="2459"/>
      <c r="AI71" s="1022"/>
      <c r="AJ71" s="1022"/>
      <c r="AK71" s="980">
        <v>42755</v>
      </c>
      <c r="AL71" s="1021">
        <v>42974</v>
      </c>
      <c r="AM71" s="2413"/>
    </row>
    <row r="72" spans="1:39" ht="42.75" customHeight="1" x14ac:dyDescent="0.2">
      <c r="A72" s="957"/>
      <c r="B72" s="957"/>
      <c r="C72" s="958"/>
      <c r="D72" s="2398"/>
      <c r="E72" s="2442"/>
      <c r="F72" s="2443"/>
      <c r="G72" s="2398"/>
      <c r="H72" s="2448"/>
      <c r="I72" s="2449"/>
      <c r="J72" s="2412">
        <v>230</v>
      </c>
      <c r="K72" s="2461" t="s">
        <v>1208</v>
      </c>
      <c r="L72" s="2358" t="s">
        <v>1162</v>
      </c>
      <c r="M72" s="2410">
        <v>1</v>
      </c>
      <c r="N72" s="2391"/>
      <c r="O72" s="2394"/>
      <c r="P72" s="2357"/>
      <c r="Q72" s="2373">
        <f>+R72/577189776</f>
        <v>8.3230469418432665E-2</v>
      </c>
      <c r="R72" s="2455">
        <v>48039776</v>
      </c>
      <c r="S72" s="2357"/>
      <c r="T72" s="2364"/>
      <c r="U72" s="972" t="s">
        <v>1209</v>
      </c>
      <c r="V72" s="984">
        <v>4000000</v>
      </c>
      <c r="W72" s="967"/>
      <c r="X72" s="998"/>
      <c r="Y72" s="2475"/>
      <c r="Z72" s="2459"/>
      <c r="AA72" s="2459"/>
      <c r="AB72" s="2459"/>
      <c r="AC72" s="2459"/>
      <c r="AD72" s="2459"/>
      <c r="AE72" s="2459"/>
      <c r="AF72" s="2459"/>
      <c r="AG72" s="1022"/>
      <c r="AH72" s="2459"/>
      <c r="AI72" s="1022"/>
      <c r="AJ72" s="1022"/>
      <c r="AK72" s="980">
        <v>42755</v>
      </c>
      <c r="AL72" s="1021">
        <v>42875</v>
      </c>
      <c r="AM72" s="2413"/>
    </row>
    <row r="73" spans="1:39" ht="57" x14ac:dyDescent="0.2">
      <c r="A73" s="957"/>
      <c r="B73" s="957"/>
      <c r="C73" s="958"/>
      <c r="D73" s="2398"/>
      <c r="E73" s="2442"/>
      <c r="F73" s="2443"/>
      <c r="G73" s="2398"/>
      <c r="H73" s="2448"/>
      <c r="I73" s="2449"/>
      <c r="J73" s="2413"/>
      <c r="K73" s="2462"/>
      <c r="L73" s="2359"/>
      <c r="M73" s="2428"/>
      <c r="N73" s="2391"/>
      <c r="O73" s="2394"/>
      <c r="P73" s="2357"/>
      <c r="Q73" s="2374"/>
      <c r="R73" s="2463"/>
      <c r="S73" s="2357"/>
      <c r="T73" s="2364"/>
      <c r="U73" s="972" t="s">
        <v>1210</v>
      </c>
      <c r="V73" s="984">
        <v>3000000</v>
      </c>
      <c r="W73" s="967"/>
      <c r="X73" s="998"/>
      <c r="Y73" s="2475"/>
      <c r="Z73" s="2459"/>
      <c r="AA73" s="2459"/>
      <c r="AB73" s="2459"/>
      <c r="AC73" s="2459"/>
      <c r="AD73" s="2459"/>
      <c r="AE73" s="2459"/>
      <c r="AF73" s="2459"/>
      <c r="AG73" s="1022"/>
      <c r="AH73" s="2459"/>
      <c r="AI73" s="1022"/>
      <c r="AJ73" s="1022"/>
      <c r="AK73" s="980">
        <v>42755</v>
      </c>
      <c r="AL73" s="1021">
        <v>42875</v>
      </c>
      <c r="AM73" s="2413"/>
    </row>
    <row r="74" spans="1:39" ht="90" customHeight="1" x14ac:dyDescent="0.2">
      <c r="A74" s="957"/>
      <c r="B74" s="957"/>
      <c r="C74" s="958"/>
      <c r="D74" s="2398"/>
      <c r="E74" s="2442"/>
      <c r="F74" s="2443"/>
      <c r="G74" s="2398"/>
      <c r="H74" s="2448"/>
      <c r="I74" s="2449"/>
      <c r="J74" s="2413"/>
      <c r="K74" s="2462"/>
      <c r="L74" s="2359"/>
      <c r="M74" s="2428"/>
      <c r="N74" s="2391"/>
      <c r="O74" s="2394"/>
      <c r="P74" s="2357"/>
      <c r="Q74" s="2374"/>
      <c r="R74" s="2463"/>
      <c r="S74" s="2357"/>
      <c r="T74" s="2364"/>
      <c r="U74" s="981" t="s">
        <v>1211</v>
      </c>
      <c r="V74" s="979">
        <v>25000000</v>
      </c>
      <c r="W74" s="967"/>
      <c r="X74" s="998"/>
      <c r="Y74" s="2475"/>
      <c r="Z74" s="2459"/>
      <c r="AA74" s="2459"/>
      <c r="AB74" s="2459"/>
      <c r="AC74" s="2459"/>
      <c r="AD74" s="2459"/>
      <c r="AE74" s="2459"/>
      <c r="AF74" s="2459"/>
      <c r="AG74" s="1022"/>
      <c r="AH74" s="2459"/>
      <c r="AI74" s="1022"/>
      <c r="AJ74" s="1022"/>
      <c r="AK74" s="980">
        <v>42840</v>
      </c>
      <c r="AL74" s="1021" t="s">
        <v>1212</v>
      </c>
      <c r="AM74" s="2413"/>
    </row>
    <row r="75" spans="1:39" ht="38.25" customHeight="1" x14ac:dyDescent="0.2">
      <c r="A75" s="957"/>
      <c r="B75" s="957"/>
      <c r="C75" s="958"/>
      <c r="D75" s="2398"/>
      <c r="E75" s="2442"/>
      <c r="F75" s="2443"/>
      <c r="G75" s="2398"/>
      <c r="H75" s="2448"/>
      <c r="I75" s="2449"/>
      <c r="J75" s="2413"/>
      <c r="K75" s="2462"/>
      <c r="L75" s="2359"/>
      <c r="M75" s="2428"/>
      <c r="N75" s="2391"/>
      <c r="O75" s="2394"/>
      <c r="P75" s="2357"/>
      <c r="Q75" s="2374"/>
      <c r="R75" s="2463"/>
      <c r="S75" s="2357"/>
      <c r="T75" s="2364"/>
      <c r="U75" s="972" t="s">
        <v>1213</v>
      </c>
      <c r="V75" s="984">
        <v>7039776</v>
      </c>
      <c r="W75" s="967"/>
      <c r="X75" s="998"/>
      <c r="Y75" s="2475"/>
      <c r="Z75" s="2459"/>
      <c r="AA75" s="2459"/>
      <c r="AB75" s="2459"/>
      <c r="AC75" s="2459"/>
      <c r="AD75" s="2459"/>
      <c r="AE75" s="2459"/>
      <c r="AF75" s="2459"/>
      <c r="AG75" s="1022"/>
      <c r="AH75" s="2459"/>
      <c r="AI75" s="1022"/>
      <c r="AJ75" s="1022"/>
      <c r="AK75" s="980">
        <v>42755</v>
      </c>
      <c r="AL75" s="1021">
        <v>42875</v>
      </c>
      <c r="AM75" s="2413"/>
    </row>
    <row r="76" spans="1:39" ht="33.75" customHeight="1" x14ac:dyDescent="0.2">
      <c r="A76" s="957"/>
      <c r="B76" s="957"/>
      <c r="C76" s="958"/>
      <c r="D76" s="2398"/>
      <c r="E76" s="2442"/>
      <c r="F76" s="2443"/>
      <c r="G76" s="2399"/>
      <c r="H76" s="2450"/>
      <c r="I76" s="2451"/>
      <c r="J76" s="2416"/>
      <c r="K76" s="2462"/>
      <c r="L76" s="2359"/>
      <c r="M76" s="2411"/>
      <c r="N76" s="2392"/>
      <c r="O76" s="2395"/>
      <c r="P76" s="2362"/>
      <c r="Q76" s="2374"/>
      <c r="R76" s="2456"/>
      <c r="S76" s="2362"/>
      <c r="T76" s="2365"/>
      <c r="U76" s="972" t="s">
        <v>1196</v>
      </c>
      <c r="V76" s="984">
        <v>9000000</v>
      </c>
      <c r="W76" s="993"/>
      <c r="X76" s="1023"/>
      <c r="Y76" s="2476"/>
      <c r="Z76" s="2460"/>
      <c r="AA76" s="2460"/>
      <c r="AB76" s="2460"/>
      <c r="AC76" s="2460"/>
      <c r="AD76" s="2460"/>
      <c r="AE76" s="2460"/>
      <c r="AF76" s="2460"/>
      <c r="AG76" s="1024"/>
      <c r="AH76" s="2460"/>
      <c r="AI76" s="1024"/>
      <c r="AJ76" s="1024"/>
      <c r="AK76" s="980">
        <v>42814</v>
      </c>
      <c r="AL76" s="1021">
        <v>42962</v>
      </c>
      <c r="AM76" s="2413"/>
    </row>
    <row r="77" spans="1:39" s="153" customFormat="1" ht="25.5" customHeight="1" x14ac:dyDescent="0.2">
      <c r="A77" s="957"/>
      <c r="B77" s="957"/>
      <c r="C77" s="958"/>
      <c r="D77" s="2398"/>
      <c r="E77" s="2442"/>
      <c r="F77" s="2443"/>
      <c r="G77" s="959">
        <v>79</v>
      </c>
      <c r="H77" s="81" t="s">
        <v>1214</v>
      </c>
      <c r="I77" s="81"/>
      <c r="J77" s="81"/>
      <c r="K77" s="960"/>
      <c r="L77" s="81"/>
      <c r="M77" s="81"/>
      <c r="N77" s="81"/>
      <c r="O77" s="81"/>
      <c r="P77" s="56"/>
      <c r="Q77" s="961"/>
      <c r="R77" s="962"/>
      <c r="S77" s="56"/>
      <c r="T77" s="960"/>
      <c r="U77" s="960"/>
      <c r="V77" s="963"/>
      <c r="W77" s="963"/>
      <c r="X77" s="1017"/>
      <c r="Y77" s="963"/>
      <c r="Z77" s="963"/>
      <c r="AA77" s="963"/>
      <c r="AB77" s="963"/>
      <c r="AC77" s="963"/>
      <c r="AD77" s="963"/>
      <c r="AE77" s="963"/>
      <c r="AF77" s="963"/>
      <c r="AG77" s="963"/>
      <c r="AH77" s="963"/>
      <c r="AI77" s="963"/>
      <c r="AJ77" s="963"/>
      <c r="AK77" s="963"/>
      <c r="AL77" s="963"/>
      <c r="AM77" s="2416"/>
    </row>
    <row r="78" spans="1:39" ht="39" customHeight="1" x14ac:dyDescent="0.2">
      <c r="A78" s="957"/>
      <c r="B78" s="957"/>
      <c r="C78" s="958"/>
      <c r="D78" s="2398"/>
      <c r="E78" s="2442"/>
      <c r="F78" s="2443"/>
      <c r="G78" s="2438"/>
      <c r="H78" s="2465"/>
      <c r="I78" s="2466"/>
      <c r="J78" s="2406">
        <v>231</v>
      </c>
      <c r="K78" s="2461" t="s">
        <v>1215</v>
      </c>
      <c r="L78" s="2471" t="s">
        <v>16</v>
      </c>
      <c r="M78" s="2360">
        <v>1</v>
      </c>
      <c r="N78" s="2427" t="s">
        <v>1216</v>
      </c>
      <c r="O78" s="2504" t="s">
        <v>1217</v>
      </c>
      <c r="P78" s="2356" t="s">
        <v>1218</v>
      </c>
      <c r="Q78" s="2488">
        <f>+R78/37080000</f>
        <v>8.3333333333333329E-2</v>
      </c>
      <c r="R78" s="2492">
        <v>3090000</v>
      </c>
      <c r="S78" s="2507" t="s">
        <v>1219</v>
      </c>
      <c r="T78" s="2356" t="s">
        <v>1220</v>
      </c>
      <c r="U78" s="972" t="s">
        <v>1221</v>
      </c>
      <c r="V78" s="1026">
        <v>1545000</v>
      </c>
      <c r="W78" s="2380">
        <v>20</v>
      </c>
      <c r="X78" s="2390" t="s">
        <v>1176</v>
      </c>
      <c r="Y78" s="2498">
        <v>367</v>
      </c>
      <c r="Z78" s="2477">
        <v>414</v>
      </c>
      <c r="AA78" s="2477">
        <v>157</v>
      </c>
      <c r="AB78" s="2477">
        <v>497</v>
      </c>
      <c r="AC78" s="2477">
        <v>1355</v>
      </c>
      <c r="AD78" s="2498"/>
      <c r="AE78" s="2380">
        <v>12718</v>
      </c>
      <c r="AF78" s="2477">
        <v>466</v>
      </c>
      <c r="AG78" s="1027"/>
      <c r="AH78" s="2501"/>
      <c r="AI78" s="2380"/>
      <c r="AJ78" s="2495"/>
      <c r="AK78" s="980">
        <v>42755</v>
      </c>
      <c r="AL78" s="980">
        <v>42875</v>
      </c>
      <c r="AM78" s="2412" t="s">
        <v>1191</v>
      </c>
    </row>
    <row r="79" spans="1:39" ht="57" x14ac:dyDescent="0.2">
      <c r="A79" s="957"/>
      <c r="B79" s="957"/>
      <c r="C79" s="958"/>
      <c r="D79" s="2398"/>
      <c r="E79" s="2442"/>
      <c r="F79" s="2443"/>
      <c r="G79" s="2457"/>
      <c r="H79" s="2467"/>
      <c r="I79" s="2468"/>
      <c r="J79" s="2407"/>
      <c r="K79" s="2464"/>
      <c r="L79" s="2472"/>
      <c r="M79" s="2473"/>
      <c r="N79" s="2427"/>
      <c r="O79" s="2505"/>
      <c r="P79" s="2357"/>
      <c r="Q79" s="2490"/>
      <c r="R79" s="2494"/>
      <c r="S79" s="2508"/>
      <c r="T79" s="2357"/>
      <c r="U79" s="972" t="s">
        <v>1222</v>
      </c>
      <c r="V79" s="1026">
        <v>1545000</v>
      </c>
      <c r="W79" s="2381"/>
      <c r="X79" s="2391"/>
      <c r="Y79" s="2499"/>
      <c r="Z79" s="2478"/>
      <c r="AA79" s="2478"/>
      <c r="AB79" s="2478"/>
      <c r="AC79" s="2478"/>
      <c r="AD79" s="2499"/>
      <c r="AE79" s="2381"/>
      <c r="AF79" s="2478"/>
      <c r="AG79" s="1029"/>
      <c r="AH79" s="2502"/>
      <c r="AI79" s="2381"/>
      <c r="AJ79" s="2496"/>
      <c r="AK79" s="980">
        <v>42755</v>
      </c>
      <c r="AL79" s="980">
        <v>42875</v>
      </c>
      <c r="AM79" s="2413"/>
    </row>
    <row r="80" spans="1:39" ht="30" customHeight="1" x14ac:dyDescent="0.2">
      <c r="A80" s="957"/>
      <c r="B80" s="957"/>
      <c r="C80" s="958"/>
      <c r="D80" s="2398"/>
      <c r="E80" s="2442"/>
      <c r="F80" s="2443"/>
      <c r="G80" s="2457"/>
      <c r="H80" s="2467"/>
      <c r="I80" s="2468"/>
      <c r="J80" s="2406">
        <v>232</v>
      </c>
      <c r="K80" s="2461" t="s">
        <v>1223</v>
      </c>
      <c r="L80" s="2471" t="s">
        <v>16</v>
      </c>
      <c r="M80" s="2360">
        <v>12</v>
      </c>
      <c r="N80" s="2427"/>
      <c r="O80" s="2505"/>
      <c r="P80" s="2357"/>
      <c r="Q80" s="2488">
        <f>+R80/37080000</f>
        <v>0.51111111111111107</v>
      </c>
      <c r="R80" s="2492">
        <v>18952000</v>
      </c>
      <c r="S80" s="2508"/>
      <c r="T80" s="2357"/>
      <c r="U80" s="972" t="s">
        <v>1224</v>
      </c>
      <c r="V80" s="1026">
        <v>10000000</v>
      </c>
      <c r="W80" s="2381"/>
      <c r="X80" s="2391"/>
      <c r="Y80" s="2499"/>
      <c r="Z80" s="2478"/>
      <c r="AA80" s="2478"/>
      <c r="AB80" s="2478"/>
      <c r="AC80" s="2478"/>
      <c r="AD80" s="2499"/>
      <c r="AE80" s="2381"/>
      <c r="AF80" s="2478"/>
      <c r="AG80" s="1029"/>
      <c r="AH80" s="2502"/>
      <c r="AI80" s="2381"/>
      <c r="AJ80" s="2496"/>
      <c r="AK80" s="980">
        <v>42906</v>
      </c>
      <c r="AL80" s="980">
        <v>43059</v>
      </c>
      <c r="AM80" s="2413"/>
    </row>
    <row r="81" spans="1:39" ht="71.25" x14ac:dyDescent="0.2">
      <c r="A81" s="957"/>
      <c r="B81" s="957"/>
      <c r="C81" s="958"/>
      <c r="D81" s="2398"/>
      <c r="E81" s="2442"/>
      <c r="F81" s="2443"/>
      <c r="G81" s="2457"/>
      <c r="H81" s="2467"/>
      <c r="I81" s="2468"/>
      <c r="J81" s="2426"/>
      <c r="K81" s="2462"/>
      <c r="L81" s="2491"/>
      <c r="M81" s="2361"/>
      <c r="N81" s="2427"/>
      <c r="O81" s="2505"/>
      <c r="P81" s="2357"/>
      <c r="Q81" s="2489"/>
      <c r="R81" s="2493"/>
      <c r="S81" s="2508"/>
      <c r="T81" s="2357"/>
      <c r="U81" s="972" t="s">
        <v>1225</v>
      </c>
      <c r="V81" s="1026">
        <v>4214000</v>
      </c>
      <c r="W81" s="2381"/>
      <c r="X81" s="2391"/>
      <c r="Y81" s="2499"/>
      <c r="Z81" s="2478"/>
      <c r="AA81" s="2478"/>
      <c r="AB81" s="2478"/>
      <c r="AC81" s="2478"/>
      <c r="AD81" s="2499"/>
      <c r="AE81" s="2381"/>
      <c r="AF81" s="2478"/>
      <c r="AG81" s="1029"/>
      <c r="AH81" s="2502"/>
      <c r="AI81" s="2381"/>
      <c r="AJ81" s="2496"/>
      <c r="AK81" s="980">
        <v>42755</v>
      </c>
      <c r="AL81" s="980">
        <v>42875</v>
      </c>
      <c r="AM81" s="2413"/>
    </row>
    <row r="82" spans="1:39" ht="22.5" customHeight="1" x14ac:dyDescent="0.2">
      <c r="A82" s="957"/>
      <c r="B82" s="957"/>
      <c r="C82" s="958"/>
      <c r="D82" s="2398"/>
      <c r="E82" s="2442"/>
      <c r="F82" s="2443"/>
      <c r="G82" s="2457"/>
      <c r="H82" s="2467"/>
      <c r="I82" s="2468"/>
      <c r="J82" s="2426"/>
      <c r="K82" s="2462"/>
      <c r="L82" s="2491"/>
      <c r="M82" s="2361"/>
      <c r="N82" s="2427"/>
      <c r="O82" s="2505"/>
      <c r="P82" s="2357"/>
      <c r="Q82" s="2489"/>
      <c r="R82" s="2493"/>
      <c r="S82" s="2508"/>
      <c r="T82" s="2357"/>
      <c r="U82" s="972" t="s">
        <v>1196</v>
      </c>
      <c r="V82" s="1026">
        <v>3000000</v>
      </c>
      <c r="W82" s="2381"/>
      <c r="X82" s="2391"/>
      <c r="Y82" s="2499"/>
      <c r="Z82" s="2478"/>
      <c r="AA82" s="2478"/>
      <c r="AB82" s="2478"/>
      <c r="AC82" s="2478"/>
      <c r="AD82" s="2499"/>
      <c r="AE82" s="2381"/>
      <c r="AF82" s="2478"/>
      <c r="AG82" s="1029"/>
      <c r="AH82" s="2502"/>
      <c r="AI82" s="2381"/>
      <c r="AJ82" s="2496"/>
      <c r="AK82" s="980">
        <v>42814</v>
      </c>
      <c r="AL82" s="980">
        <v>42962</v>
      </c>
      <c r="AM82" s="2413"/>
    </row>
    <row r="83" spans="1:39" ht="57" x14ac:dyDescent="0.2">
      <c r="A83" s="957"/>
      <c r="B83" s="957"/>
      <c r="C83" s="958"/>
      <c r="D83" s="2398"/>
      <c r="E83" s="2442"/>
      <c r="F83" s="2443"/>
      <c r="G83" s="2457"/>
      <c r="H83" s="2467"/>
      <c r="I83" s="2468"/>
      <c r="J83" s="2407"/>
      <c r="K83" s="2464"/>
      <c r="L83" s="2472"/>
      <c r="M83" s="2473"/>
      <c r="N83" s="2427"/>
      <c r="O83" s="2505"/>
      <c r="P83" s="2357"/>
      <c r="Q83" s="2490"/>
      <c r="R83" s="2494"/>
      <c r="S83" s="2508"/>
      <c r="T83" s="2357"/>
      <c r="U83" s="972" t="s">
        <v>1226</v>
      </c>
      <c r="V83" s="1026">
        <v>1738000</v>
      </c>
      <c r="W83" s="2381"/>
      <c r="X83" s="2391"/>
      <c r="Y83" s="2499"/>
      <c r="Z83" s="2478"/>
      <c r="AA83" s="2478"/>
      <c r="AB83" s="2478"/>
      <c r="AC83" s="2478"/>
      <c r="AD83" s="2499"/>
      <c r="AE83" s="2381"/>
      <c r="AF83" s="2478"/>
      <c r="AG83" s="1029"/>
      <c r="AH83" s="2502"/>
      <c r="AI83" s="2381"/>
      <c r="AJ83" s="2496"/>
      <c r="AK83" s="980">
        <v>42814</v>
      </c>
      <c r="AL83" s="980">
        <v>42875</v>
      </c>
      <c r="AM83" s="2413"/>
    </row>
    <row r="84" spans="1:39" ht="51" customHeight="1" x14ac:dyDescent="0.2">
      <c r="A84" s="957"/>
      <c r="B84" s="957"/>
      <c r="C84" s="958"/>
      <c r="D84" s="2398"/>
      <c r="E84" s="2442"/>
      <c r="F84" s="2443"/>
      <c r="G84" s="2457"/>
      <c r="H84" s="2467"/>
      <c r="I84" s="2468"/>
      <c r="J84" s="2406">
        <v>233</v>
      </c>
      <c r="K84" s="2461" t="s">
        <v>1227</v>
      </c>
      <c r="L84" s="2358" t="s">
        <v>16</v>
      </c>
      <c r="M84" s="2360">
        <v>1</v>
      </c>
      <c r="N84" s="2427"/>
      <c r="O84" s="2505"/>
      <c r="P84" s="2357"/>
      <c r="Q84" s="2488">
        <f>+R84/37080000</f>
        <v>0.40555555555555556</v>
      </c>
      <c r="R84" s="2492">
        <v>15038000</v>
      </c>
      <c r="S84" s="2508"/>
      <c r="T84" s="2357"/>
      <c r="U84" s="972" t="s">
        <v>1228</v>
      </c>
      <c r="V84" s="1026">
        <v>2006000</v>
      </c>
      <c r="W84" s="2381"/>
      <c r="X84" s="2391"/>
      <c r="Y84" s="2499"/>
      <c r="Z84" s="2478"/>
      <c r="AA84" s="2478"/>
      <c r="AB84" s="2478"/>
      <c r="AC84" s="2478"/>
      <c r="AD84" s="2499"/>
      <c r="AE84" s="2381"/>
      <c r="AF84" s="2478"/>
      <c r="AG84" s="1029"/>
      <c r="AH84" s="2502"/>
      <c r="AI84" s="2381"/>
      <c r="AJ84" s="2496"/>
      <c r="AK84" s="1031">
        <v>42755</v>
      </c>
      <c r="AL84" s="1032">
        <v>42870</v>
      </c>
      <c r="AM84" s="2413"/>
    </row>
    <row r="85" spans="1:39" ht="42.75" x14ac:dyDescent="0.2">
      <c r="A85" s="957"/>
      <c r="B85" s="957"/>
      <c r="C85" s="958"/>
      <c r="D85" s="2398"/>
      <c r="E85" s="2442"/>
      <c r="F85" s="2443"/>
      <c r="G85" s="2457"/>
      <c r="H85" s="2467"/>
      <c r="I85" s="2468"/>
      <c r="J85" s="2426"/>
      <c r="K85" s="2462"/>
      <c r="L85" s="2359"/>
      <c r="M85" s="2361"/>
      <c r="N85" s="2427"/>
      <c r="O85" s="2505"/>
      <c r="P85" s="2357"/>
      <c r="Q85" s="2489"/>
      <c r="R85" s="2493"/>
      <c r="S85" s="2508"/>
      <c r="T85" s="2357"/>
      <c r="U85" s="972" t="s">
        <v>1229</v>
      </c>
      <c r="V85" s="1026">
        <v>2506000</v>
      </c>
      <c r="W85" s="2381"/>
      <c r="X85" s="2391"/>
      <c r="Y85" s="2499"/>
      <c r="Z85" s="2478"/>
      <c r="AA85" s="2478"/>
      <c r="AB85" s="2478"/>
      <c r="AC85" s="2478"/>
      <c r="AD85" s="2499"/>
      <c r="AE85" s="2381"/>
      <c r="AF85" s="2478"/>
      <c r="AG85" s="1029"/>
      <c r="AH85" s="2502"/>
      <c r="AI85" s="2381"/>
      <c r="AJ85" s="2496"/>
      <c r="AK85" s="1031">
        <v>42755</v>
      </c>
      <c r="AL85" s="1032">
        <v>42870</v>
      </c>
      <c r="AM85" s="2413"/>
    </row>
    <row r="86" spans="1:39" ht="42.75" x14ac:dyDescent="0.2">
      <c r="A86" s="957"/>
      <c r="B86" s="957"/>
      <c r="C86" s="958"/>
      <c r="D86" s="2398"/>
      <c r="E86" s="2442"/>
      <c r="F86" s="2443"/>
      <c r="G86" s="2457"/>
      <c r="H86" s="2467"/>
      <c r="I86" s="2468"/>
      <c r="J86" s="2426"/>
      <c r="K86" s="2462"/>
      <c r="L86" s="2359"/>
      <c r="M86" s="2361"/>
      <c r="N86" s="2427"/>
      <c r="O86" s="2505"/>
      <c r="P86" s="2357"/>
      <c r="Q86" s="2489"/>
      <c r="R86" s="2493"/>
      <c r="S86" s="2508"/>
      <c r="T86" s="2357"/>
      <c r="U86" s="972" t="s">
        <v>1230</v>
      </c>
      <c r="V86" s="1026">
        <v>2506000</v>
      </c>
      <c r="W86" s="2381"/>
      <c r="X86" s="2391"/>
      <c r="Y86" s="2499"/>
      <c r="Z86" s="2478"/>
      <c r="AA86" s="2478"/>
      <c r="AB86" s="2478"/>
      <c r="AC86" s="2478"/>
      <c r="AD86" s="2499"/>
      <c r="AE86" s="2381"/>
      <c r="AF86" s="2478"/>
      <c r="AG86" s="1029"/>
      <c r="AH86" s="2502"/>
      <c r="AI86" s="2381"/>
      <c r="AJ86" s="2496"/>
      <c r="AK86" s="1031">
        <v>42755</v>
      </c>
      <c r="AL86" s="1032">
        <v>42870</v>
      </c>
      <c r="AM86" s="2413"/>
    </row>
    <row r="87" spans="1:39" ht="99.75" x14ac:dyDescent="0.2">
      <c r="A87" s="957"/>
      <c r="B87" s="957"/>
      <c r="C87" s="958"/>
      <c r="D87" s="2398"/>
      <c r="E87" s="2442"/>
      <c r="F87" s="2443"/>
      <c r="G87" s="2457"/>
      <c r="H87" s="2467"/>
      <c r="I87" s="2468"/>
      <c r="J87" s="2426"/>
      <c r="K87" s="2462"/>
      <c r="L87" s="2359"/>
      <c r="M87" s="2361"/>
      <c r="N87" s="2427"/>
      <c r="O87" s="2505"/>
      <c r="P87" s="2357"/>
      <c r="Q87" s="2489"/>
      <c r="R87" s="2493"/>
      <c r="S87" s="2508"/>
      <c r="T87" s="2357"/>
      <c r="U87" s="972" t="s">
        <v>1231</v>
      </c>
      <c r="V87" s="1026">
        <v>2512000</v>
      </c>
      <c r="W87" s="2381"/>
      <c r="X87" s="2391"/>
      <c r="Y87" s="2499"/>
      <c r="Z87" s="2478"/>
      <c r="AA87" s="2478"/>
      <c r="AB87" s="2478"/>
      <c r="AC87" s="2478"/>
      <c r="AD87" s="2499"/>
      <c r="AE87" s="2381"/>
      <c r="AF87" s="2478"/>
      <c r="AG87" s="1029"/>
      <c r="AH87" s="2502"/>
      <c r="AI87" s="2381"/>
      <c r="AJ87" s="2496"/>
      <c r="AK87" s="1031">
        <v>42755</v>
      </c>
      <c r="AL87" s="1032">
        <v>42870</v>
      </c>
      <c r="AM87" s="2413"/>
    </row>
    <row r="88" spans="1:39" ht="42.75" x14ac:dyDescent="0.2">
      <c r="A88" s="957"/>
      <c r="B88" s="957"/>
      <c r="C88" s="958"/>
      <c r="D88" s="2398"/>
      <c r="E88" s="2442"/>
      <c r="F88" s="2443"/>
      <c r="G88" s="2457"/>
      <c r="H88" s="2467"/>
      <c r="I88" s="2468"/>
      <c r="J88" s="2426"/>
      <c r="K88" s="2462"/>
      <c r="L88" s="2359"/>
      <c r="M88" s="2361"/>
      <c r="N88" s="2427"/>
      <c r="O88" s="2505"/>
      <c r="P88" s="2357"/>
      <c r="Q88" s="2489"/>
      <c r="R88" s="2493"/>
      <c r="S88" s="2508"/>
      <c r="T88" s="2357"/>
      <c r="U88" s="972" t="s">
        <v>1232</v>
      </c>
      <c r="V88" s="1026">
        <v>2508000</v>
      </c>
      <c r="W88" s="2381"/>
      <c r="X88" s="2391"/>
      <c r="Y88" s="2499"/>
      <c r="Z88" s="2478"/>
      <c r="AA88" s="2478"/>
      <c r="AB88" s="2478"/>
      <c r="AC88" s="2478"/>
      <c r="AD88" s="2499"/>
      <c r="AE88" s="2381"/>
      <c r="AF88" s="2478"/>
      <c r="AG88" s="1029"/>
      <c r="AH88" s="2502"/>
      <c r="AI88" s="2381"/>
      <c r="AJ88" s="2496"/>
      <c r="AK88" s="1031">
        <v>42755</v>
      </c>
      <c r="AL88" s="1032">
        <v>42870</v>
      </c>
      <c r="AM88" s="2413"/>
    </row>
    <row r="89" spans="1:39" ht="29.25" customHeight="1" x14ac:dyDescent="0.2">
      <c r="A89" s="957"/>
      <c r="B89" s="957"/>
      <c r="C89" s="958"/>
      <c r="D89" s="2398"/>
      <c r="E89" s="2442"/>
      <c r="F89" s="2443"/>
      <c r="G89" s="2439"/>
      <c r="H89" s="2469"/>
      <c r="I89" s="2470"/>
      <c r="J89" s="2407"/>
      <c r="K89" s="2462"/>
      <c r="L89" s="2359"/>
      <c r="M89" s="2473"/>
      <c r="N89" s="2409"/>
      <c r="O89" s="2506"/>
      <c r="P89" s="2362"/>
      <c r="Q89" s="2490"/>
      <c r="R89" s="2494"/>
      <c r="S89" s="2509"/>
      <c r="T89" s="2362"/>
      <c r="U89" s="972" t="s">
        <v>1196</v>
      </c>
      <c r="V89" s="1026">
        <v>3000000</v>
      </c>
      <c r="W89" s="2382"/>
      <c r="X89" s="2392"/>
      <c r="Y89" s="2500"/>
      <c r="Z89" s="2479"/>
      <c r="AA89" s="2479"/>
      <c r="AB89" s="2479"/>
      <c r="AC89" s="2479"/>
      <c r="AD89" s="2500"/>
      <c r="AE89" s="2382"/>
      <c r="AF89" s="2479"/>
      <c r="AG89" s="1033"/>
      <c r="AH89" s="2503"/>
      <c r="AI89" s="2382"/>
      <c r="AJ89" s="2497"/>
      <c r="AK89" s="1031">
        <v>42755</v>
      </c>
      <c r="AL89" s="1032">
        <v>42870</v>
      </c>
      <c r="AM89" s="2416"/>
    </row>
    <row r="90" spans="1:39" s="153" customFormat="1" ht="25.5" customHeight="1" x14ac:dyDescent="0.2">
      <c r="A90" s="957"/>
      <c r="B90" s="957"/>
      <c r="C90" s="958"/>
      <c r="D90" s="2398"/>
      <c r="E90" s="2442"/>
      <c r="F90" s="2443"/>
      <c r="G90" s="959">
        <v>80</v>
      </c>
      <c r="H90" s="81" t="s">
        <v>1233</v>
      </c>
      <c r="I90" s="81"/>
      <c r="J90" s="81"/>
      <c r="K90" s="960"/>
      <c r="L90" s="81"/>
      <c r="M90" s="81"/>
      <c r="N90" s="81"/>
      <c r="O90" s="81"/>
      <c r="P90" s="56"/>
      <c r="Q90" s="961"/>
      <c r="R90" s="962"/>
      <c r="S90" s="56"/>
      <c r="T90" s="960"/>
      <c r="U90" s="960"/>
      <c r="V90" s="963"/>
      <c r="W90" s="963"/>
      <c r="X90" s="1017"/>
      <c r="Y90" s="81"/>
      <c r="Z90" s="81"/>
      <c r="AA90" s="81"/>
      <c r="AB90" s="81"/>
      <c r="AC90" s="81"/>
      <c r="AD90" s="81"/>
      <c r="AE90" s="81"/>
      <c r="AF90" s="81"/>
      <c r="AG90" s="81"/>
      <c r="AH90" s="81"/>
      <c r="AI90" s="81"/>
      <c r="AJ90" s="81"/>
      <c r="AK90" s="594"/>
      <c r="AL90" s="594"/>
      <c r="AM90" s="2384" t="s">
        <v>1191</v>
      </c>
    </row>
    <row r="91" spans="1:39" ht="28.5" customHeight="1" x14ac:dyDescent="0.2">
      <c r="A91" s="957"/>
      <c r="B91" s="957"/>
      <c r="C91" s="958"/>
      <c r="D91" s="2398"/>
      <c r="E91" s="2442"/>
      <c r="F91" s="2443"/>
      <c r="G91" s="2438"/>
      <c r="H91" s="2480"/>
      <c r="I91" s="2481"/>
      <c r="J91" s="2360">
        <v>234</v>
      </c>
      <c r="K91" s="2486" t="s">
        <v>1234</v>
      </c>
      <c r="L91" s="2487" t="s">
        <v>16</v>
      </c>
      <c r="M91" s="2477">
        <v>7</v>
      </c>
      <c r="N91" s="2408" t="s">
        <v>1235</v>
      </c>
      <c r="O91" s="2504" t="s">
        <v>1236</v>
      </c>
      <c r="P91" s="2356" t="s">
        <v>1237</v>
      </c>
      <c r="Q91" s="2510">
        <f>+R91/37080000</f>
        <v>0.3611111111111111</v>
      </c>
      <c r="R91" s="2512">
        <v>13390000</v>
      </c>
      <c r="S91" s="2356" t="s">
        <v>1238</v>
      </c>
      <c r="T91" s="2363" t="s">
        <v>1239</v>
      </c>
      <c r="U91" s="972" t="s">
        <v>1240</v>
      </c>
      <c r="V91" s="1035">
        <v>10000000</v>
      </c>
      <c r="W91" s="2429">
        <v>20</v>
      </c>
      <c r="X91" s="2514" t="s">
        <v>1176</v>
      </c>
      <c r="Y91" s="2498">
        <v>272</v>
      </c>
      <c r="Z91" s="2477">
        <v>306</v>
      </c>
      <c r="AA91" s="2477">
        <v>117</v>
      </c>
      <c r="AB91" s="2477">
        <v>368</v>
      </c>
      <c r="AC91" s="2477">
        <v>1003</v>
      </c>
      <c r="AD91" s="2477">
        <v>346</v>
      </c>
      <c r="AE91" s="2360"/>
      <c r="AF91" s="2360"/>
      <c r="AG91" s="1028"/>
      <c r="AH91" s="2360"/>
      <c r="AI91" s="1028"/>
      <c r="AJ91" s="2380"/>
      <c r="AK91" s="1031">
        <v>42755</v>
      </c>
      <c r="AL91" s="1036" t="s">
        <v>1241</v>
      </c>
      <c r="AM91" s="2385"/>
    </row>
    <row r="92" spans="1:39" ht="24" customHeight="1" x14ac:dyDescent="0.2">
      <c r="A92" s="957"/>
      <c r="B92" s="957"/>
      <c r="C92" s="958"/>
      <c r="D92" s="2398"/>
      <c r="E92" s="2442"/>
      <c r="F92" s="2443"/>
      <c r="G92" s="2457"/>
      <c r="H92" s="2482"/>
      <c r="I92" s="2483"/>
      <c r="J92" s="2473"/>
      <c r="K92" s="2486"/>
      <c r="L92" s="2487"/>
      <c r="M92" s="2479"/>
      <c r="N92" s="2427"/>
      <c r="O92" s="2505"/>
      <c r="P92" s="2357"/>
      <c r="Q92" s="2511"/>
      <c r="R92" s="2513"/>
      <c r="S92" s="2357"/>
      <c r="T92" s="2364"/>
      <c r="U92" s="972" t="s">
        <v>1242</v>
      </c>
      <c r="V92" s="1035">
        <v>3390000</v>
      </c>
      <c r="W92" s="2430"/>
      <c r="X92" s="2515"/>
      <c r="Y92" s="2499"/>
      <c r="Z92" s="2478"/>
      <c r="AA92" s="2478"/>
      <c r="AB92" s="2478"/>
      <c r="AC92" s="2478"/>
      <c r="AD92" s="2478"/>
      <c r="AE92" s="2361"/>
      <c r="AF92" s="2361"/>
      <c r="AG92" s="1030"/>
      <c r="AH92" s="2361"/>
      <c r="AI92" s="1030"/>
      <c r="AJ92" s="2381"/>
      <c r="AK92" s="1031">
        <v>42755</v>
      </c>
      <c r="AL92" s="1036">
        <v>42870</v>
      </c>
      <c r="AM92" s="2385"/>
    </row>
    <row r="93" spans="1:39" ht="42.75" x14ac:dyDescent="0.2">
      <c r="A93" s="957"/>
      <c r="B93" s="957"/>
      <c r="C93" s="958"/>
      <c r="D93" s="2398"/>
      <c r="E93" s="2442"/>
      <c r="F93" s="2443"/>
      <c r="G93" s="2457"/>
      <c r="H93" s="2482"/>
      <c r="I93" s="2483"/>
      <c r="J93" s="2360">
        <v>235</v>
      </c>
      <c r="K93" s="2452" t="s">
        <v>1243</v>
      </c>
      <c r="L93" s="2358" t="s">
        <v>16</v>
      </c>
      <c r="M93" s="2477">
        <v>7</v>
      </c>
      <c r="N93" s="2427"/>
      <c r="O93" s="2505"/>
      <c r="P93" s="2357"/>
      <c r="Q93" s="2488">
        <f>+R93/37080000</f>
        <v>0.63888888888888884</v>
      </c>
      <c r="R93" s="2512">
        <v>23690000</v>
      </c>
      <c r="S93" s="2357"/>
      <c r="T93" s="2364"/>
      <c r="U93" s="972" t="s">
        <v>1244</v>
      </c>
      <c r="V93" s="1035">
        <v>3000000</v>
      </c>
      <c r="W93" s="2430"/>
      <c r="X93" s="2515"/>
      <c r="Y93" s="2499"/>
      <c r="Z93" s="2478"/>
      <c r="AA93" s="2478"/>
      <c r="AB93" s="2478"/>
      <c r="AC93" s="2478"/>
      <c r="AD93" s="2478"/>
      <c r="AE93" s="2361"/>
      <c r="AF93" s="2361"/>
      <c r="AG93" s="1030"/>
      <c r="AH93" s="2361"/>
      <c r="AI93" s="1030"/>
      <c r="AJ93" s="2381"/>
      <c r="AK93" s="1031">
        <v>42755</v>
      </c>
      <c r="AL93" s="1036">
        <v>42870</v>
      </c>
      <c r="AM93" s="2385"/>
    </row>
    <row r="94" spans="1:39" ht="18.75" customHeight="1" x14ac:dyDescent="0.2">
      <c r="A94" s="957"/>
      <c r="B94" s="957"/>
      <c r="C94" s="958"/>
      <c r="D94" s="2398"/>
      <c r="E94" s="2442"/>
      <c r="F94" s="2443"/>
      <c r="G94" s="2457"/>
      <c r="H94" s="2482"/>
      <c r="I94" s="2483"/>
      <c r="J94" s="2361"/>
      <c r="K94" s="2453"/>
      <c r="L94" s="2359"/>
      <c r="M94" s="2478"/>
      <c r="N94" s="2427"/>
      <c r="O94" s="2505"/>
      <c r="P94" s="2357"/>
      <c r="Q94" s="2489"/>
      <c r="R94" s="2517"/>
      <c r="S94" s="2357"/>
      <c r="T94" s="2364"/>
      <c r="U94" s="972" t="s">
        <v>1245</v>
      </c>
      <c r="V94" s="1035">
        <v>10000000</v>
      </c>
      <c r="W94" s="2430"/>
      <c r="X94" s="2515"/>
      <c r="Y94" s="2499"/>
      <c r="Z94" s="2478"/>
      <c r="AA94" s="2478"/>
      <c r="AB94" s="2478"/>
      <c r="AC94" s="2478"/>
      <c r="AD94" s="2478"/>
      <c r="AE94" s="2361"/>
      <c r="AF94" s="2361"/>
      <c r="AG94" s="1030"/>
      <c r="AH94" s="2361"/>
      <c r="AI94" s="1030"/>
      <c r="AJ94" s="2381"/>
      <c r="AK94" s="980">
        <v>42906</v>
      </c>
      <c r="AL94" s="1021">
        <v>43059</v>
      </c>
      <c r="AM94" s="2385"/>
    </row>
    <row r="95" spans="1:39" ht="28.5" x14ac:dyDescent="0.2">
      <c r="A95" s="957"/>
      <c r="B95" s="957"/>
      <c r="C95" s="958"/>
      <c r="D95" s="2398"/>
      <c r="E95" s="2442"/>
      <c r="F95" s="2443"/>
      <c r="G95" s="2457"/>
      <c r="H95" s="2482"/>
      <c r="I95" s="2483"/>
      <c r="J95" s="2361"/>
      <c r="K95" s="2453"/>
      <c r="L95" s="2359"/>
      <c r="M95" s="2478"/>
      <c r="N95" s="2427"/>
      <c r="O95" s="2505"/>
      <c r="P95" s="2357"/>
      <c r="Q95" s="2489"/>
      <c r="R95" s="2517"/>
      <c r="S95" s="2357"/>
      <c r="T95" s="2364"/>
      <c r="U95" s="972" t="s">
        <v>1246</v>
      </c>
      <c r="V95" s="1035">
        <v>3000000</v>
      </c>
      <c r="W95" s="2430"/>
      <c r="X95" s="2515"/>
      <c r="Y95" s="2499"/>
      <c r="Z95" s="2478"/>
      <c r="AA95" s="2478"/>
      <c r="AB95" s="2478"/>
      <c r="AC95" s="2478"/>
      <c r="AD95" s="2478"/>
      <c r="AE95" s="2361"/>
      <c r="AF95" s="2361"/>
      <c r="AG95" s="1030"/>
      <c r="AH95" s="2361"/>
      <c r="AI95" s="1030"/>
      <c r="AJ95" s="2381"/>
      <c r="AK95" s="1031">
        <v>42957</v>
      </c>
      <c r="AL95" s="1036">
        <v>43059</v>
      </c>
      <c r="AM95" s="2385"/>
    </row>
    <row r="96" spans="1:39" ht="18.75" customHeight="1" x14ac:dyDescent="0.2">
      <c r="A96" s="957"/>
      <c r="B96" s="957"/>
      <c r="C96" s="958"/>
      <c r="D96" s="2398"/>
      <c r="E96" s="2442"/>
      <c r="F96" s="2443"/>
      <c r="G96" s="2457"/>
      <c r="H96" s="2482"/>
      <c r="I96" s="2483"/>
      <c r="J96" s="2361"/>
      <c r="K96" s="2453"/>
      <c r="L96" s="2359"/>
      <c r="M96" s="2478"/>
      <c r="N96" s="2427"/>
      <c r="O96" s="2505"/>
      <c r="P96" s="2357"/>
      <c r="Q96" s="2489"/>
      <c r="R96" s="2517"/>
      <c r="S96" s="2357"/>
      <c r="T96" s="2364"/>
      <c r="U96" s="972" t="s">
        <v>1196</v>
      </c>
      <c r="V96" s="1035">
        <v>2690000</v>
      </c>
      <c r="W96" s="2430"/>
      <c r="X96" s="2515"/>
      <c r="Y96" s="2499"/>
      <c r="Z96" s="2478"/>
      <c r="AA96" s="2478"/>
      <c r="AB96" s="2478"/>
      <c r="AC96" s="2478"/>
      <c r="AD96" s="2478"/>
      <c r="AE96" s="2361"/>
      <c r="AF96" s="2361"/>
      <c r="AG96" s="1030"/>
      <c r="AH96" s="2361"/>
      <c r="AI96" s="1030"/>
      <c r="AJ96" s="2381"/>
      <c r="AK96" s="1031">
        <v>42804</v>
      </c>
      <c r="AL96" s="1036">
        <v>42870</v>
      </c>
      <c r="AM96" s="2385"/>
    </row>
    <row r="97" spans="1:39" ht="25.5" customHeight="1" x14ac:dyDescent="0.2">
      <c r="A97" s="957"/>
      <c r="B97" s="957"/>
      <c r="C97" s="958"/>
      <c r="D97" s="2399"/>
      <c r="E97" s="2444"/>
      <c r="F97" s="2445"/>
      <c r="G97" s="2439"/>
      <c r="H97" s="2484"/>
      <c r="I97" s="2485"/>
      <c r="J97" s="2473"/>
      <c r="K97" s="2454"/>
      <c r="L97" s="2371"/>
      <c r="M97" s="2479"/>
      <c r="N97" s="2409"/>
      <c r="O97" s="2506"/>
      <c r="P97" s="2362"/>
      <c r="Q97" s="2490"/>
      <c r="R97" s="2513"/>
      <c r="S97" s="2362"/>
      <c r="T97" s="2365"/>
      <c r="U97" s="972" t="s">
        <v>1247</v>
      </c>
      <c r="V97" s="1035">
        <v>5000000</v>
      </c>
      <c r="W97" s="2431"/>
      <c r="X97" s="2516"/>
      <c r="Y97" s="2500"/>
      <c r="Z97" s="2479"/>
      <c r="AA97" s="2479"/>
      <c r="AB97" s="2479"/>
      <c r="AC97" s="2479"/>
      <c r="AD97" s="2479"/>
      <c r="AE97" s="2473"/>
      <c r="AF97" s="2473"/>
      <c r="AG97" s="1034"/>
      <c r="AH97" s="2473"/>
      <c r="AI97" s="1034"/>
      <c r="AJ97" s="2382"/>
      <c r="AK97" s="1031">
        <v>42776</v>
      </c>
      <c r="AL97" s="1036">
        <v>42946</v>
      </c>
      <c r="AM97" s="2386"/>
    </row>
    <row r="98" spans="1:39" s="153" customFormat="1" ht="26.25" customHeight="1" x14ac:dyDescent="0.2">
      <c r="A98" s="957"/>
      <c r="B98" s="957"/>
      <c r="C98" s="958"/>
      <c r="D98" s="951">
        <v>25</v>
      </c>
      <c r="E98" s="579" t="s">
        <v>1248</v>
      </c>
      <c r="F98" s="579"/>
      <c r="G98" s="579"/>
      <c r="H98" s="579"/>
      <c r="I98" s="579"/>
      <c r="J98" s="579"/>
      <c r="K98" s="952"/>
      <c r="L98" s="579"/>
      <c r="M98" s="579"/>
      <c r="N98" s="579"/>
      <c r="O98" s="579"/>
      <c r="P98" s="580"/>
      <c r="Q98" s="953"/>
      <c r="R98" s="954"/>
      <c r="S98" s="580"/>
      <c r="T98" s="952"/>
      <c r="U98" s="952"/>
      <c r="V98" s="955"/>
      <c r="W98" s="955"/>
      <c r="X98" s="1013"/>
      <c r="Y98" s="579"/>
      <c r="Z98" s="579"/>
      <c r="AA98" s="579"/>
      <c r="AB98" s="579"/>
      <c r="AC98" s="579"/>
      <c r="AD98" s="579"/>
      <c r="AE98" s="579"/>
      <c r="AF98" s="579"/>
      <c r="AG98" s="579"/>
      <c r="AH98" s="579"/>
      <c r="AI98" s="579"/>
      <c r="AJ98" s="579"/>
      <c r="AK98" s="579"/>
      <c r="AL98" s="585"/>
      <c r="AM98" s="586"/>
    </row>
    <row r="99" spans="1:39" s="153" customFormat="1" ht="25.5" customHeight="1" x14ac:dyDescent="0.2">
      <c r="A99" s="957"/>
      <c r="B99" s="957"/>
      <c r="C99" s="958"/>
      <c r="D99" s="1014"/>
      <c r="E99" s="1015"/>
      <c r="F99" s="1016"/>
      <c r="G99" s="959">
        <v>81</v>
      </c>
      <c r="H99" s="81" t="s">
        <v>1249</v>
      </c>
      <c r="I99" s="81"/>
      <c r="J99" s="81"/>
      <c r="K99" s="960"/>
      <c r="L99" s="81"/>
      <c r="M99" s="81"/>
      <c r="N99" s="626"/>
      <c r="O99" s="626"/>
      <c r="P99" s="56"/>
      <c r="Q99" s="961"/>
      <c r="R99" s="962"/>
      <c r="S99" s="56"/>
      <c r="T99" s="960"/>
      <c r="U99" s="960"/>
      <c r="V99" s="963"/>
      <c r="W99" s="963"/>
      <c r="X99" s="1017"/>
      <c r="Y99" s="963"/>
      <c r="Z99" s="963"/>
      <c r="AA99" s="963"/>
      <c r="AB99" s="963"/>
      <c r="AC99" s="963"/>
      <c r="AD99" s="963"/>
      <c r="AE99" s="963"/>
      <c r="AF99" s="963"/>
      <c r="AG99" s="963"/>
      <c r="AH99" s="963"/>
      <c r="AI99" s="963"/>
      <c r="AJ99" s="963"/>
      <c r="AK99" s="594"/>
      <c r="AL99" s="594"/>
      <c r="AM99" s="595"/>
    </row>
    <row r="100" spans="1:39" ht="42.75" x14ac:dyDescent="0.2">
      <c r="A100" s="957"/>
      <c r="B100" s="957"/>
      <c r="C100" s="958"/>
      <c r="D100" s="2438"/>
      <c r="E100" s="2552"/>
      <c r="F100" s="2553"/>
      <c r="G100" s="2438"/>
      <c r="H100" s="2465"/>
      <c r="I100" s="2466"/>
      <c r="J100" s="2360">
        <v>236</v>
      </c>
      <c r="K100" s="2452" t="s">
        <v>1250</v>
      </c>
      <c r="L100" s="2358" t="s">
        <v>16</v>
      </c>
      <c r="M100" s="2380">
        <v>7</v>
      </c>
      <c r="N100" s="2390" t="s">
        <v>1251</v>
      </c>
      <c r="O100" s="2504" t="s">
        <v>1252</v>
      </c>
      <c r="P100" s="2356" t="s">
        <v>1253</v>
      </c>
      <c r="Q100" s="2488">
        <f>+R100/507500000</f>
        <v>0.11330049261083744</v>
      </c>
      <c r="R100" s="2512">
        <v>57500000</v>
      </c>
      <c r="S100" s="2356" t="s">
        <v>1254</v>
      </c>
      <c r="T100" s="2363" t="s">
        <v>1255</v>
      </c>
      <c r="U100" s="972" t="s">
        <v>1256</v>
      </c>
      <c r="V100" s="992">
        <v>49500000</v>
      </c>
      <c r="W100" s="2532" t="s">
        <v>446</v>
      </c>
      <c r="X100" s="2514" t="s">
        <v>1257</v>
      </c>
      <c r="Y100" s="2533">
        <v>2019</v>
      </c>
      <c r="Z100" s="2521">
        <v>2274</v>
      </c>
      <c r="AA100" s="2521">
        <v>865</v>
      </c>
      <c r="AB100" s="2521">
        <v>2734</v>
      </c>
      <c r="AC100" s="2521">
        <v>7443</v>
      </c>
      <c r="AD100" s="2521">
        <v>2562</v>
      </c>
      <c r="AE100" s="2518"/>
      <c r="AF100" s="2518"/>
      <c r="AG100" s="1037"/>
      <c r="AH100" s="2518"/>
      <c r="AI100" s="1037"/>
      <c r="AJ100" s="1037"/>
      <c r="AK100" s="1031">
        <v>42781</v>
      </c>
      <c r="AL100" s="1036">
        <v>43084</v>
      </c>
      <c r="AM100" s="2524" t="s">
        <v>1258</v>
      </c>
    </row>
    <row r="101" spans="1:39" ht="20.25" customHeight="1" x14ac:dyDescent="0.2">
      <c r="A101" s="957"/>
      <c r="B101" s="957"/>
      <c r="C101" s="958"/>
      <c r="D101" s="2457"/>
      <c r="E101" s="2554"/>
      <c r="F101" s="2555"/>
      <c r="G101" s="2457"/>
      <c r="H101" s="2467"/>
      <c r="I101" s="2468"/>
      <c r="J101" s="2473"/>
      <c r="K101" s="2454"/>
      <c r="L101" s="2371"/>
      <c r="M101" s="2382"/>
      <c r="N101" s="2427"/>
      <c r="O101" s="2505"/>
      <c r="P101" s="2357"/>
      <c r="Q101" s="2490"/>
      <c r="R101" s="2517"/>
      <c r="S101" s="2357"/>
      <c r="T101" s="2364"/>
      <c r="U101" s="972" t="s">
        <v>1259</v>
      </c>
      <c r="V101" s="992">
        <v>8000000</v>
      </c>
      <c r="W101" s="2430"/>
      <c r="X101" s="2515"/>
      <c r="Y101" s="2534"/>
      <c r="Z101" s="2522"/>
      <c r="AA101" s="2522"/>
      <c r="AB101" s="2522"/>
      <c r="AC101" s="2522"/>
      <c r="AD101" s="2522"/>
      <c r="AE101" s="2519"/>
      <c r="AF101" s="2519"/>
      <c r="AG101" s="1038"/>
      <c r="AH101" s="2519"/>
      <c r="AI101" s="1038"/>
      <c r="AJ101" s="1038"/>
      <c r="AK101" s="1031">
        <v>42808</v>
      </c>
      <c r="AL101" s="1036">
        <v>42967</v>
      </c>
      <c r="AM101" s="2525"/>
    </row>
    <row r="102" spans="1:39" ht="39" customHeight="1" x14ac:dyDescent="0.2">
      <c r="A102" s="957"/>
      <c r="B102" s="957"/>
      <c r="C102" s="958"/>
      <c r="D102" s="2457"/>
      <c r="E102" s="2554"/>
      <c r="F102" s="2555"/>
      <c r="G102" s="2457"/>
      <c r="H102" s="2467"/>
      <c r="I102" s="2468"/>
      <c r="J102" s="2360">
        <v>237</v>
      </c>
      <c r="K102" s="2452" t="s">
        <v>1260</v>
      </c>
      <c r="L102" s="2358" t="s">
        <v>16</v>
      </c>
      <c r="M102" s="2380">
        <v>70</v>
      </c>
      <c r="N102" s="2427"/>
      <c r="O102" s="2505"/>
      <c r="P102" s="2357"/>
      <c r="Q102" s="2527">
        <f>+R102/507500000</f>
        <v>0.12650246305418719</v>
      </c>
      <c r="R102" s="2512">
        <v>64200000</v>
      </c>
      <c r="S102" s="2357"/>
      <c r="T102" s="2364"/>
      <c r="U102" s="981" t="s">
        <v>1261</v>
      </c>
      <c r="V102" s="992">
        <v>25000000</v>
      </c>
      <c r="W102" s="2430"/>
      <c r="X102" s="2515"/>
      <c r="Y102" s="2534"/>
      <c r="Z102" s="2522"/>
      <c r="AA102" s="2522"/>
      <c r="AB102" s="2522"/>
      <c r="AC102" s="2522"/>
      <c r="AD102" s="2522"/>
      <c r="AE102" s="2519"/>
      <c r="AF102" s="2519"/>
      <c r="AG102" s="1038"/>
      <c r="AH102" s="2519"/>
      <c r="AI102" s="1038"/>
      <c r="AJ102" s="1038"/>
      <c r="AK102" s="1031">
        <v>42750</v>
      </c>
      <c r="AL102" s="1036">
        <v>42931</v>
      </c>
      <c r="AM102" s="2525"/>
    </row>
    <row r="103" spans="1:39" ht="28.5" x14ac:dyDescent="0.2">
      <c r="A103" s="957"/>
      <c r="B103" s="957"/>
      <c r="C103" s="958"/>
      <c r="D103" s="2457"/>
      <c r="E103" s="2554"/>
      <c r="F103" s="2555"/>
      <c r="G103" s="2457"/>
      <c r="H103" s="2467"/>
      <c r="I103" s="2468"/>
      <c r="J103" s="2361"/>
      <c r="K103" s="2453"/>
      <c r="L103" s="2359"/>
      <c r="M103" s="2381"/>
      <c r="N103" s="2427"/>
      <c r="O103" s="2505"/>
      <c r="P103" s="2357"/>
      <c r="Q103" s="2528"/>
      <c r="R103" s="2517"/>
      <c r="S103" s="2357"/>
      <c r="T103" s="2364"/>
      <c r="U103" s="972" t="s">
        <v>1262</v>
      </c>
      <c r="V103" s="992">
        <v>30000000</v>
      </c>
      <c r="W103" s="2430"/>
      <c r="X103" s="2515"/>
      <c r="Y103" s="2534"/>
      <c r="Z103" s="2522"/>
      <c r="AA103" s="2522"/>
      <c r="AB103" s="2522"/>
      <c r="AC103" s="2522"/>
      <c r="AD103" s="2522"/>
      <c r="AE103" s="2519"/>
      <c r="AF103" s="2519"/>
      <c r="AG103" s="1038"/>
      <c r="AH103" s="2519"/>
      <c r="AI103" s="1038"/>
      <c r="AJ103" s="1038"/>
      <c r="AK103" s="1031">
        <v>42750</v>
      </c>
      <c r="AL103" s="1036">
        <v>42962</v>
      </c>
      <c r="AM103" s="2525"/>
    </row>
    <row r="104" spans="1:39" ht="20.25" customHeight="1" x14ac:dyDescent="0.2">
      <c r="A104" s="957"/>
      <c r="B104" s="957"/>
      <c r="C104" s="958"/>
      <c r="D104" s="2457"/>
      <c r="E104" s="2554"/>
      <c r="F104" s="2555"/>
      <c r="G104" s="2457"/>
      <c r="H104" s="2467"/>
      <c r="I104" s="2468"/>
      <c r="J104" s="2473"/>
      <c r="K104" s="2454"/>
      <c r="L104" s="2371"/>
      <c r="M104" s="2382"/>
      <c r="N104" s="2427"/>
      <c r="O104" s="2505"/>
      <c r="P104" s="2357"/>
      <c r="Q104" s="2529"/>
      <c r="R104" s="2513"/>
      <c r="S104" s="2357"/>
      <c r="T104" s="2364"/>
      <c r="U104" s="972" t="s">
        <v>1263</v>
      </c>
      <c r="V104" s="992">
        <v>9200000</v>
      </c>
      <c r="W104" s="2430"/>
      <c r="X104" s="2515"/>
      <c r="Y104" s="2534"/>
      <c r="Z104" s="2522"/>
      <c r="AA104" s="2522"/>
      <c r="AB104" s="2522"/>
      <c r="AC104" s="2522"/>
      <c r="AD104" s="2522"/>
      <c r="AE104" s="2519"/>
      <c r="AF104" s="2519"/>
      <c r="AG104" s="1038"/>
      <c r="AH104" s="2519"/>
      <c r="AI104" s="1038"/>
      <c r="AJ104" s="1038"/>
      <c r="AK104" s="1031">
        <v>42781</v>
      </c>
      <c r="AL104" s="1036">
        <v>42962</v>
      </c>
      <c r="AM104" s="2525"/>
    </row>
    <row r="105" spans="1:39" ht="28.5" x14ac:dyDescent="0.2">
      <c r="A105" s="957"/>
      <c r="B105" s="957"/>
      <c r="C105" s="958"/>
      <c r="D105" s="2457"/>
      <c r="E105" s="2554"/>
      <c r="F105" s="2555"/>
      <c r="G105" s="2457"/>
      <c r="H105" s="2467"/>
      <c r="I105" s="2468"/>
      <c r="J105" s="2360">
        <v>238</v>
      </c>
      <c r="K105" s="2452" t="s">
        <v>1264</v>
      </c>
      <c r="L105" s="2358" t="s">
        <v>16</v>
      </c>
      <c r="M105" s="2360">
        <v>12</v>
      </c>
      <c r="N105" s="2427"/>
      <c r="O105" s="2505"/>
      <c r="P105" s="2357"/>
      <c r="Q105" s="2488">
        <f>+R105/507500000</f>
        <v>0.1923152709359606</v>
      </c>
      <c r="R105" s="2512">
        <v>97600000</v>
      </c>
      <c r="S105" s="2357"/>
      <c r="T105" s="2364"/>
      <c r="U105" s="981" t="s">
        <v>1265</v>
      </c>
      <c r="V105" s="1039">
        <v>34200000</v>
      </c>
      <c r="W105" s="2430"/>
      <c r="X105" s="2515"/>
      <c r="Y105" s="2534"/>
      <c r="Z105" s="2522"/>
      <c r="AA105" s="2522"/>
      <c r="AB105" s="2522"/>
      <c r="AC105" s="2522"/>
      <c r="AD105" s="2522"/>
      <c r="AE105" s="2519"/>
      <c r="AF105" s="2519"/>
      <c r="AG105" s="1038"/>
      <c r="AH105" s="2519"/>
      <c r="AI105" s="1038"/>
      <c r="AJ105" s="1038"/>
      <c r="AK105" s="1031">
        <v>42750</v>
      </c>
      <c r="AL105" s="1036">
        <v>42993</v>
      </c>
      <c r="AM105" s="2525"/>
    </row>
    <row r="106" spans="1:39" ht="26.25" customHeight="1" x14ac:dyDescent="0.2">
      <c r="A106" s="957"/>
      <c r="B106" s="957"/>
      <c r="C106" s="958"/>
      <c r="D106" s="2457"/>
      <c r="E106" s="2554"/>
      <c r="F106" s="2555"/>
      <c r="G106" s="2457"/>
      <c r="H106" s="2467"/>
      <c r="I106" s="2468"/>
      <c r="J106" s="2361"/>
      <c r="K106" s="2453"/>
      <c r="L106" s="2359"/>
      <c r="M106" s="2361"/>
      <c r="N106" s="2427"/>
      <c r="O106" s="2505"/>
      <c r="P106" s="2357"/>
      <c r="Q106" s="2489"/>
      <c r="R106" s="2517"/>
      <c r="S106" s="2357"/>
      <c r="T106" s="2364"/>
      <c r="U106" s="972" t="s">
        <v>1266</v>
      </c>
      <c r="V106" s="1040">
        <v>30000000</v>
      </c>
      <c r="W106" s="2430"/>
      <c r="X106" s="2515"/>
      <c r="Y106" s="2534"/>
      <c r="Z106" s="2522"/>
      <c r="AA106" s="2522"/>
      <c r="AB106" s="2522"/>
      <c r="AC106" s="2522"/>
      <c r="AD106" s="2522"/>
      <c r="AE106" s="2519"/>
      <c r="AF106" s="2519"/>
      <c r="AG106" s="1038"/>
      <c r="AH106" s="2519"/>
      <c r="AI106" s="1038"/>
      <c r="AJ106" s="1038"/>
      <c r="AK106" s="1031">
        <v>42750</v>
      </c>
      <c r="AL106" s="1036">
        <v>42993</v>
      </c>
      <c r="AM106" s="2525"/>
    </row>
    <row r="107" spans="1:39" ht="24" customHeight="1" x14ac:dyDescent="0.2">
      <c r="A107" s="957"/>
      <c r="B107" s="957"/>
      <c r="C107" s="958"/>
      <c r="D107" s="2457"/>
      <c r="E107" s="2554"/>
      <c r="F107" s="2555"/>
      <c r="G107" s="2457"/>
      <c r="H107" s="2467"/>
      <c r="I107" s="2468"/>
      <c r="J107" s="2361"/>
      <c r="K107" s="2453"/>
      <c r="L107" s="2359"/>
      <c r="M107" s="2361"/>
      <c r="N107" s="2427"/>
      <c r="O107" s="2505"/>
      <c r="P107" s="2357"/>
      <c r="Q107" s="2489"/>
      <c r="R107" s="2517"/>
      <c r="S107" s="2357"/>
      <c r="T107" s="2364"/>
      <c r="U107" s="972" t="s">
        <v>1267</v>
      </c>
      <c r="V107" s="1040">
        <v>10000000</v>
      </c>
      <c r="W107" s="2430"/>
      <c r="X107" s="2515"/>
      <c r="Y107" s="2534"/>
      <c r="Z107" s="2522"/>
      <c r="AA107" s="2522"/>
      <c r="AB107" s="2522"/>
      <c r="AC107" s="2522"/>
      <c r="AD107" s="2522"/>
      <c r="AE107" s="2519"/>
      <c r="AF107" s="2519"/>
      <c r="AG107" s="1038"/>
      <c r="AH107" s="2519"/>
      <c r="AI107" s="1038"/>
      <c r="AJ107" s="1038"/>
      <c r="AK107" s="1031">
        <v>42814</v>
      </c>
      <c r="AL107" s="1036">
        <v>42845</v>
      </c>
      <c r="AM107" s="2525"/>
    </row>
    <row r="108" spans="1:39" ht="14.25" customHeight="1" x14ac:dyDescent="0.2">
      <c r="A108" s="957"/>
      <c r="B108" s="957"/>
      <c r="C108" s="958"/>
      <c r="D108" s="2457"/>
      <c r="E108" s="2554"/>
      <c r="F108" s="2555"/>
      <c r="G108" s="2457"/>
      <c r="H108" s="2467"/>
      <c r="I108" s="2468"/>
      <c r="J108" s="2361"/>
      <c r="K108" s="2453"/>
      <c r="L108" s="2359"/>
      <c r="M108" s="2361"/>
      <c r="N108" s="2427"/>
      <c r="O108" s="2505"/>
      <c r="P108" s="2357"/>
      <c r="Q108" s="2489"/>
      <c r="R108" s="2517"/>
      <c r="S108" s="2357"/>
      <c r="T108" s="2364"/>
      <c r="U108" s="972" t="s">
        <v>1268</v>
      </c>
      <c r="V108" s="1040">
        <v>10000000</v>
      </c>
      <c r="W108" s="2430"/>
      <c r="X108" s="2515"/>
      <c r="Y108" s="2534"/>
      <c r="Z108" s="2522"/>
      <c r="AA108" s="2522"/>
      <c r="AB108" s="2522"/>
      <c r="AC108" s="2522"/>
      <c r="AD108" s="2522"/>
      <c r="AE108" s="2519"/>
      <c r="AF108" s="2519"/>
      <c r="AG108" s="1038"/>
      <c r="AH108" s="2519"/>
      <c r="AI108" s="1038"/>
      <c r="AJ108" s="1038"/>
      <c r="AK108" s="1031">
        <v>42814</v>
      </c>
      <c r="AL108" s="1036">
        <v>42845</v>
      </c>
      <c r="AM108" s="2525"/>
    </row>
    <row r="109" spans="1:39" ht="15" x14ac:dyDescent="0.2">
      <c r="A109" s="957"/>
      <c r="B109" s="957"/>
      <c r="C109" s="958"/>
      <c r="D109" s="2457"/>
      <c r="E109" s="2554"/>
      <c r="F109" s="2555"/>
      <c r="G109" s="2457"/>
      <c r="H109" s="2467"/>
      <c r="I109" s="2468"/>
      <c r="J109" s="2361"/>
      <c r="K109" s="2453"/>
      <c r="L109" s="2359"/>
      <c r="M109" s="2361"/>
      <c r="N109" s="2427"/>
      <c r="O109" s="2505"/>
      <c r="P109" s="2357"/>
      <c r="Q109" s="2489"/>
      <c r="R109" s="2517"/>
      <c r="S109" s="2357"/>
      <c r="T109" s="2364"/>
      <c r="U109" s="972" t="s">
        <v>1269</v>
      </c>
      <c r="V109" s="1040">
        <v>4000000</v>
      </c>
      <c r="W109" s="2430"/>
      <c r="X109" s="2515"/>
      <c r="Y109" s="2534"/>
      <c r="Z109" s="2522"/>
      <c r="AA109" s="2522"/>
      <c r="AB109" s="2522"/>
      <c r="AC109" s="2522"/>
      <c r="AD109" s="2522"/>
      <c r="AE109" s="2519"/>
      <c r="AF109" s="2519"/>
      <c r="AG109" s="1038"/>
      <c r="AH109" s="2519"/>
      <c r="AI109" s="1038"/>
      <c r="AJ109" s="1038"/>
      <c r="AK109" s="1031">
        <v>42906</v>
      </c>
      <c r="AL109" s="1036">
        <v>42936</v>
      </c>
      <c r="AM109" s="2525"/>
    </row>
    <row r="110" spans="1:39" ht="28.5" x14ac:dyDescent="0.2">
      <c r="A110" s="957"/>
      <c r="B110" s="957"/>
      <c r="C110" s="958"/>
      <c r="D110" s="2457"/>
      <c r="E110" s="2554"/>
      <c r="F110" s="2555"/>
      <c r="G110" s="2457"/>
      <c r="H110" s="2467"/>
      <c r="I110" s="2468"/>
      <c r="J110" s="2473"/>
      <c r="K110" s="2454"/>
      <c r="L110" s="2371"/>
      <c r="M110" s="2473"/>
      <c r="N110" s="2427"/>
      <c r="O110" s="2505"/>
      <c r="P110" s="2357"/>
      <c r="Q110" s="2490"/>
      <c r="R110" s="2513"/>
      <c r="S110" s="2357"/>
      <c r="T110" s="2364"/>
      <c r="U110" s="972" t="s">
        <v>1270</v>
      </c>
      <c r="V110" s="1040">
        <v>9400000</v>
      </c>
      <c r="W110" s="2430"/>
      <c r="X110" s="2515"/>
      <c r="Y110" s="2534"/>
      <c r="Z110" s="2522"/>
      <c r="AA110" s="2522"/>
      <c r="AB110" s="2522"/>
      <c r="AC110" s="2522"/>
      <c r="AD110" s="2522"/>
      <c r="AE110" s="2519"/>
      <c r="AF110" s="2519"/>
      <c r="AG110" s="1038"/>
      <c r="AH110" s="2519"/>
      <c r="AI110" s="1038"/>
      <c r="AJ110" s="1038"/>
      <c r="AK110" s="1031">
        <v>42786</v>
      </c>
      <c r="AL110" s="1036">
        <v>42936</v>
      </c>
      <c r="AM110" s="2525"/>
    </row>
    <row r="111" spans="1:39" ht="42.75" x14ac:dyDescent="0.2">
      <c r="A111" s="957"/>
      <c r="B111" s="957"/>
      <c r="C111" s="958"/>
      <c r="D111" s="2457"/>
      <c r="E111" s="2554"/>
      <c r="F111" s="2555"/>
      <c r="G111" s="2457"/>
      <c r="H111" s="2467"/>
      <c r="I111" s="2468"/>
      <c r="J111" s="2360">
        <v>239</v>
      </c>
      <c r="K111" s="2452" t="s">
        <v>1271</v>
      </c>
      <c r="L111" s="2471" t="s">
        <v>16</v>
      </c>
      <c r="M111" s="2360">
        <v>6</v>
      </c>
      <c r="N111" s="2427"/>
      <c r="O111" s="2505"/>
      <c r="P111" s="2357"/>
      <c r="Q111" s="2488">
        <f>+R111/507500000</f>
        <v>0.11828177339901477</v>
      </c>
      <c r="R111" s="2512">
        <v>60028000</v>
      </c>
      <c r="S111" s="2357"/>
      <c r="T111" s="2364"/>
      <c r="U111" s="981" t="s">
        <v>1272</v>
      </c>
      <c r="V111" s="1040">
        <v>25000000</v>
      </c>
      <c r="W111" s="2430"/>
      <c r="X111" s="2515"/>
      <c r="Y111" s="2534"/>
      <c r="Z111" s="2522"/>
      <c r="AA111" s="2522"/>
      <c r="AB111" s="2522"/>
      <c r="AC111" s="2522"/>
      <c r="AD111" s="2522"/>
      <c r="AE111" s="2519"/>
      <c r="AF111" s="2519"/>
      <c r="AG111" s="1038"/>
      <c r="AH111" s="2519"/>
      <c r="AI111" s="1038"/>
      <c r="AJ111" s="1038"/>
      <c r="AK111" s="1031">
        <v>42750</v>
      </c>
      <c r="AL111" s="1036">
        <v>42993</v>
      </c>
      <c r="AM111" s="2525"/>
    </row>
    <row r="112" spans="1:39" ht="28.5" x14ac:dyDescent="0.2">
      <c r="A112" s="957"/>
      <c r="B112" s="957"/>
      <c r="C112" s="958"/>
      <c r="D112" s="2457"/>
      <c r="E112" s="2554"/>
      <c r="F112" s="2555"/>
      <c r="G112" s="2457"/>
      <c r="H112" s="2467"/>
      <c r="I112" s="2468"/>
      <c r="J112" s="2473"/>
      <c r="K112" s="2454"/>
      <c r="L112" s="2472"/>
      <c r="M112" s="2473"/>
      <c r="N112" s="2427"/>
      <c r="O112" s="2505"/>
      <c r="P112" s="2357"/>
      <c r="Q112" s="2490"/>
      <c r="R112" s="2513"/>
      <c r="S112" s="2357"/>
      <c r="T112" s="2364"/>
      <c r="U112" s="972" t="s">
        <v>1273</v>
      </c>
      <c r="V112" s="1040">
        <v>35028000</v>
      </c>
      <c r="W112" s="2430"/>
      <c r="X112" s="2515"/>
      <c r="Y112" s="2534"/>
      <c r="Z112" s="2522"/>
      <c r="AA112" s="2522"/>
      <c r="AB112" s="2522"/>
      <c r="AC112" s="2522"/>
      <c r="AD112" s="2522"/>
      <c r="AE112" s="2519"/>
      <c r="AF112" s="2519"/>
      <c r="AG112" s="1038"/>
      <c r="AH112" s="2519"/>
      <c r="AI112" s="1038"/>
      <c r="AJ112" s="1038"/>
      <c r="AK112" s="1031">
        <v>42814</v>
      </c>
      <c r="AL112" s="1036">
        <v>43089</v>
      </c>
      <c r="AM112" s="2525"/>
    </row>
    <row r="113" spans="1:39" ht="26.25" customHeight="1" x14ac:dyDescent="0.2">
      <c r="A113" s="957"/>
      <c r="B113" s="957"/>
      <c r="C113" s="958"/>
      <c r="D113" s="2457"/>
      <c r="E113" s="2554"/>
      <c r="F113" s="2555"/>
      <c r="G113" s="2457"/>
      <c r="H113" s="2467"/>
      <c r="I113" s="2468"/>
      <c r="J113" s="2360">
        <v>240</v>
      </c>
      <c r="K113" s="2452" t="s">
        <v>1274</v>
      </c>
      <c r="L113" s="2530" t="s">
        <v>16</v>
      </c>
      <c r="M113" s="2360">
        <v>1</v>
      </c>
      <c r="N113" s="2427"/>
      <c r="O113" s="2505"/>
      <c r="P113" s="2357"/>
      <c r="Q113" s="2488">
        <f>+R113/507500000</f>
        <v>0.4496</v>
      </c>
      <c r="R113" s="2512">
        <v>228172000</v>
      </c>
      <c r="S113" s="2357"/>
      <c r="T113" s="2364"/>
      <c r="U113" s="972" t="s">
        <v>1275</v>
      </c>
      <c r="V113" s="992">
        <v>6900000</v>
      </c>
      <c r="W113" s="2430"/>
      <c r="X113" s="2515"/>
      <c r="Y113" s="2534"/>
      <c r="Z113" s="2522"/>
      <c r="AA113" s="2522"/>
      <c r="AB113" s="2522"/>
      <c r="AC113" s="2522"/>
      <c r="AD113" s="2522"/>
      <c r="AE113" s="2519"/>
      <c r="AF113" s="2519"/>
      <c r="AG113" s="1038"/>
      <c r="AH113" s="2519"/>
      <c r="AI113" s="1038"/>
      <c r="AJ113" s="1038"/>
      <c r="AK113" s="1031">
        <v>42814</v>
      </c>
      <c r="AL113" s="1036">
        <v>42870</v>
      </c>
      <c r="AM113" s="2525"/>
    </row>
    <row r="114" spans="1:39" ht="43.5" customHeight="1" x14ac:dyDescent="0.2">
      <c r="A114" s="957"/>
      <c r="B114" s="957"/>
      <c r="C114" s="958"/>
      <c r="D114" s="2457"/>
      <c r="E114" s="2554"/>
      <c r="F114" s="2555"/>
      <c r="G114" s="2457"/>
      <c r="H114" s="2467"/>
      <c r="I114" s="2468"/>
      <c r="J114" s="2361"/>
      <c r="K114" s="2453"/>
      <c r="L114" s="2531"/>
      <c r="M114" s="2361"/>
      <c r="N114" s="2427"/>
      <c r="O114" s="2505"/>
      <c r="P114" s="2357"/>
      <c r="Q114" s="2489"/>
      <c r="R114" s="2517"/>
      <c r="S114" s="2357"/>
      <c r="T114" s="2364"/>
      <c r="U114" s="981" t="s">
        <v>1276</v>
      </c>
      <c r="V114" s="992">
        <v>26672000</v>
      </c>
      <c r="W114" s="2430"/>
      <c r="X114" s="2515"/>
      <c r="Y114" s="2534"/>
      <c r="Z114" s="2522"/>
      <c r="AA114" s="2522"/>
      <c r="AB114" s="2522"/>
      <c r="AC114" s="2522"/>
      <c r="AD114" s="2522"/>
      <c r="AE114" s="2519"/>
      <c r="AF114" s="2519"/>
      <c r="AG114" s="1038"/>
      <c r="AH114" s="2519"/>
      <c r="AI114" s="1038"/>
      <c r="AJ114" s="1038"/>
      <c r="AK114" s="1031">
        <v>42750</v>
      </c>
      <c r="AL114" s="1036">
        <v>42993</v>
      </c>
      <c r="AM114" s="2525"/>
    </row>
    <row r="115" spans="1:39" ht="28.5" x14ac:dyDescent="0.2">
      <c r="A115" s="957"/>
      <c r="B115" s="957"/>
      <c r="C115" s="958"/>
      <c r="D115" s="2457"/>
      <c r="E115" s="2554"/>
      <c r="F115" s="2555"/>
      <c r="G115" s="2457"/>
      <c r="H115" s="2467"/>
      <c r="I115" s="2468"/>
      <c r="J115" s="2361"/>
      <c r="K115" s="2453"/>
      <c r="L115" s="2531"/>
      <c r="M115" s="2361"/>
      <c r="N115" s="2427"/>
      <c r="O115" s="2505"/>
      <c r="P115" s="2357"/>
      <c r="Q115" s="2489"/>
      <c r="R115" s="2517"/>
      <c r="S115" s="2357"/>
      <c r="T115" s="2364"/>
      <c r="U115" s="981" t="s">
        <v>1277</v>
      </c>
      <c r="V115" s="992">
        <v>25000000</v>
      </c>
      <c r="W115" s="2430"/>
      <c r="X115" s="2515"/>
      <c r="Y115" s="2534"/>
      <c r="Z115" s="2522"/>
      <c r="AA115" s="2522"/>
      <c r="AB115" s="2522"/>
      <c r="AC115" s="2522"/>
      <c r="AD115" s="2522"/>
      <c r="AE115" s="2519"/>
      <c r="AF115" s="2519"/>
      <c r="AG115" s="1038"/>
      <c r="AH115" s="2519"/>
      <c r="AI115" s="1038"/>
      <c r="AJ115" s="1038"/>
      <c r="AK115" s="1031">
        <v>42750</v>
      </c>
      <c r="AL115" s="1036">
        <v>42993</v>
      </c>
      <c r="AM115" s="2525"/>
    </row>
    <row r="116" spans="1:39" ht="28.5" x14ac:dyDescent="0.2">
      <c r="A116" s="957"/>
      <c r="B116" s="957"/>
      <c r="C116" s="958"/>
      <c r="D116" s="2457"/>
      <c r="E116" s="2554"/>
      <c r="F116" s="2555"/>
      <c r="G116" s="2457"/>
      <c r="H116" s="2467"/>
      <c r="I116" s="2468"/>
      <c r="J116" s="2361"/>
      <c r="K116" s="2453"/>
      <c r="L116" s="2531"/>
      <c r="M116" s="2361"/>
      <c r="N116" s="2427"/>
      <c r="O116" s="2505"/>
      <c r="P116" s="2357"/>
      <c r="Q116" s="2489"/>
      <c r="R116" s="2517"/>
      <c r="S116" s="2357"/>
      <c r="T116" s="2364"/>
      <c r="U116" s="981" t="s">
        <v>1278</v>
      </c>
      <c r="V116" s="992">
        <v>12100000</v>
      </c>
      <c r="W116" s="2430"/>
      <c r="X116" s="2515"/>
      <c r="Y116" s="2534"/>
      <c r="Z116" s="2522"/>
      <c r="AA116" s="2522"/>
      <c r="AB116" s="2522"/>
      <c r="AC116" s="2522"/>
      <c r="AD116" s="2522"/>
      <c r="AE116" s="2519"/>
      <c r="AF116" s="2519"/>
      <c r="AG116" s="1038"/>
      <c r="AH116" s="2519"/>
      <c r="AI116" s="1038"/>
      <c r="AJ116" s="1038"/>
      <c r="AK116" s="1031">
        <v>42750</v>
      </c>
      <c r="AL116" s="1036">
        <v>42993</v>
      </c>
      <c r="AM116" s="2525"/>
    </row>
    <row r="117" spans="1:39" ht="28.5" x14ac:dyDescent="0.2">
      <c r="A117" s="957"/>
      <c r="B117" s="957"/>
      <c r="C117" s="958"/>
      <c r="D117" s="2457"/>
      <c r="E117" s="2554"/>
      <c r="F117" s="2555"/>
      <c r="G117" s="2457"/>
      <c r="H117" s="2467"/>
      <c r="I117" s="2468"/>
      <c r="J117" s="2361"/>
      <c r="K117" s="2453"/>
      <c r="L117" s="2531"/>
      <c r="M117" s="2361"/>
      <c r="N117" s="2427"/>
      <c r="O117" s="2505"/>
      <c r="P117" s="2357"/>
      <c r="Q117" s="2489"/>
      <c r="R117" s="2517"/>
      <c r="S117" s="2357"/>
      <c r="T117" s="2364"/>
      <c r="U117" s="981" t="s">
        <v>1279</v>
      </c>
      <c r="V117" s="992">
        <v>25000000</v>
      </c>
      <c r="W117" s="2430"/>
      <c r="X117" s="2515"/>
      <c r="Y117" s="2534"/>
      <c r="Z117" s="2522"/>
      <c r="AA117" s="2522"/>
      <c r="AB117" s="2522"/>
      <c r="AC117" s="2522"/>
      <c r="AD117" s="2522"/>
      <c r="AE117" s="2519"/>
      <c r="AF117" s="2519"/>
      <c r="AG117" s="1038"/>
      <c r="AH117" s="2519"/>
      <c r="AI117" s="1038"/>
      <c r="AJ117" s="1038"/>
      <c r="AK117" s="1031">
        <v>42750</v>
      </c>
      <c r="AL117" s="1036">
        <v>42993</v>
      </c>
      <c r="AM117" s="2525"/>
    </row>
    <row r="118" spans="1:39" ht="31.5" customHeight="1" x14ac:dyDescent="0.2">
      <c r="A118" s="957"/>
      <c r="B118" s="957"/>
      <c r="C118" s="958"/>
      <c r="D118" s="2457"/>
      <c r="E118" s="2554"/>
      <c r="F118" s="2555"/>
      <c r="G118" s="2457"/>
      <c r="H118" s="2467"/>
      <c r="I118" s="2468"/>
      <c r="J118" s="2361"/>
      <c r="K118" s="2453"/>
      <c r="L118" s="2531"/>
      <c r="M118" s="2361"/>
      <c r="N118" s="2427"/>
      <c r="O118" s="2505"/>
      <c r="P118" s="2357"/>
      <c r="Q118" s="2489"/>
      <c r="R118" s="2517"/>
      <c r="S118" s="2357"/>
      <c r="T118" s="2364"/>
      <c r="U118" s="981" t="s">
        <v>1280</v>
      </c>
      <c r="V118" s="992">
        <v>25000000</v>
      </c>
      <c r="W118" s="2430"/>
      <c r="X118" s="2515"/>
      <c r="Y118" s="2534"/>
      <c r="Z118" s="2522"/>
      <c r="AA118" s="2522"/>
      <c r="AB118" s="2522"/>
      <c r="AC118" s="2522"/>
      <c r="AD118" s="2522"/>
      <c r="AE118" s="2519"/>
      <c r="AF118" s="2519"/>
      <c r="AG118" s="1038"/>
      <c r="AH118" s="2519"/>
      <c r="AI118" s="1038"/>
      <c r="AJ118" s="1038"/>
      <c r="AK118" s="1031">
        <v>42750</v>
      </c>
      <c r="AL118" s="1036">
        <v>42993</v>
      </c>
      <c r="AM118" s="2525"/>
    </row>
    <row r="119" spans="1:39" ht="22.5" customHeight="1" x14ac:dyDescent="0.2">
      <c r="A119" s="957"/>
      <c r="B119" s="957"/>
      <c r="C119" s="958"/>
      <c r="D119" s="2457"/>
      <c r="E119" s="2554"/>
      <c r="F119" s="2555"/>
      <c r="G119" s="2457"/>
      <c r="H119" s="2467"/>
      <c r="I119" s="2468"/>
      <c r="J119" s="2473"/>
      <c r="K119" s="2454"/>
      <c r="L119" s="2531"/>
      <c r="M119" s="2473"/>
      <c r="N119" s="2409"/>
      <c r="O119" s="2506"/>
      <c r="P119" s="2362"/>
      <c r="Q119" s="2490"/>
      <c r="R119" s="2513"/>
      <c r="S119" s="2362"/>
      <c r="T119" s="2365"/>
      <c r="U119" s="981" t="s">
        <v>1281</v>
      </c>
      <c r="V119" s="992">
        <v>107500000</v>
      </c>
      <c r="W119" s="2431"/>
      <c r="X119" s="2516"/>
      <c r="Y119" s="2535"/>
      <c r="Z119" s="2523"/>
      <c r="AA119" s="2523"/>
      <c r="AB119" s="2523"/>
      <c r="AC119" s="2523"/>
      <c r="AD119" s="2523"/>
      <c r="AE119" s="2520"/>
      <c r="AF119" s="2520"/>
      <c r="AG119" s="1041"/>
      <c r="AH119" s="2520"/>
      <c r="AI119" s="1041"/>
      <c r="AJ119" s="1041"/>
      <c r="AK119" s="1042">
        <v>42931</v>
      </c>
      <c r="AL119" s="1042">
        <v>43099</v>
      </c>
      <c r="AM119" s="2526"/>
    </row>
    <row r="120" spans="1:39" s="153" customFormat="1" ht="25.5" customHeight="1" x14ac:dyDescent="0.2">
      <c r="A120" s="957"/>
      <c r="B120" s="957"/>
      <c r="C120" s="958"/>
      <c r="D120" s="2457"/>
      <c r="E120" s="2554"/>
      <c r="F120" s="2555"/>
      <c r="G120" s="959">
        <v>82</v>
      </c>
      <c r="H120" s="81" t="s">
        <v>1282</v>
      </c>
      <c r="I120" s="81"/>
      <c r="J120" s="81"/>
      <c r="K120" s="960"/>
      <c r="L120" s="81"/>
      <c r="M120" s="81"/>
      <c r="N120" s="626"/>
      <c r="O120" s="81"/>
      <c r="P120" s="81"/>
      <c r="Q120" s="961"/>
      <c r="R120" s="962"/>
      <c r="S120" s="56"/>
      <c r="T120" s="960"/>
      <c r="U120" s="960"/>
      <c r="V120" s="963"/>
      <c r="W120" s="963"/>
      <c r="X120" s="1017"/>
      <c r="Y120" s="963"/>
      <c r="Z120" s="963"/>
      <c r="AA120" s="963"/>
      <c r="AB120" s="963"/>
      <c r="AC120" s="963"/>
      <c r="AD120" s="963"/>
      <c r="AE120" s="963"/>
      <c r="AF120" s="963"/>
      <c r="AG120" s="963"/>
      <c r="AH120" s="963"/>
      <c r="AI120" s="963"/>
      <c r="AJ120" s="963"/>
      <c r="AK120" s="963"/>
      <c r="AL120" s="963"/>
      <c r="AM120" s="595"/>
    </row>
    <row r="121" spans="1:39" ht="28.5" customHeight="1" x14ac:dyDescent="0.2">
      <c r="A121" s="957"/>
      <c r="B121" s="957"/>
      <c r="C121" s="958"/>
      <c r="D121" s="2457"/>
      <c r="E121" s="2554"/>
      <c r="F121" s="2555"/>
      <c r="G121" s="2438"/>
      <c r="H121" s="2548"/>
      <c r="I121" s="2549"/>
      <c r="J121" s="2360">
        <v>241</v>
      </c>
      <c r="K121" s="2452" t="s">
        <v>1283</v>
      </c>
      <c r="L121" s="2358" t="s">
        <v>16</v>
      </c>
      <c r="M121" s="2477">
        <v>1</v>
      </c>
      <c r="N121" s="2408" t="s">
        <v>1284</v>
      </c>
      <c r="O121" s="2504" t="s">
        <v>1285</v>
      </c>
      <c r="P121" s="2356" t="s">
        <v>1286</v>
      </c>
      <c r="Q121" s="2527">
        <f>+R121/90000000</f>
        <v>0.5625</v>
      </c>
      <c r="R121" s="2492">
        <v>50625000</v>
      </c>
      <c r="S121" s="2356" t="s">
        <v>1254</v>
      </c>
      <c r="T121" s="2363" t="s">
        <v>1287</v>
      </c>
      <c r="U121" s="1043" t="s">
        <v>1288</v>
      </c>
      <c r="V121" s="992">
        <v>33525000</v>
      </c>
      <c r="W121" s="2429">
        <v>20</v>
      </c>
      <c r="X121" s="2514" t="s">
        <v>1176</v>
      </c>
      <c r="Y121" s="2498">
        <v>1058</v>
      </c>
      <c r="Z121" s="2477">
        <v>1191</v>
      </c>
      <c r="AA121" s="2477">
        <v>453</v>
      </c>
      <c r="AB121" s="2477">
        <v>1432</v>
      </c>
      <c r="AC121" s="2477">
        <v>3899</v>
      </c>
      <c r="AD121" s="2477">
        <v>1342</v>
      </c>
      <c r="AE121" s="2477"/>
      <c r="AF121" s="2360"/>
      <c r="AG121" s="1028"/>
      <c r="AH121" s="2360"/>
      <c r="AI121" s="1028"/>
      <c r="AJ121" s="2380"/>
      <c r="AK121" s="1031">
        <v>42814</v>
      </c>
      <c r="AL121" s="1036">
        <v>42885</v>
      </c>
      <c r="AM121" s="2524" t="s">
        <v>1258</v>
      </c>
    </row>
    <row r="122" spans="1:39" ht="24" customHeight="1" x14ac:dyDescent="0.2">
      <c r="A122" s="957"/>
      <c r="B122" s="957"/>
      <c r="C122" s="958"/>
      <c r="D122" s="2457"/>
      <c r="E122" s="2554"/>
      <c r="F122" s="2555"/>
      <c r="G122" s="2457"/>
      <c r="H122" s="2550"/>
      <c r="I122" s="2551"/>
      <c r="J122" s="2361"/>
      <c r="K122" s="2453"/>
      <c r="L122" s="2359"/>
      <c r="M122" s="2478"/>
      <c r="N122" s="2427"/>
      <c r="O122" s="2505"/>
      <c r="P122" s="2357"/>
      <c r="Q122" s="2528"/>
      <c r="R122" s="2493"/>
      <c r="S122" s="2357"/>
      <c r="T122" s="2364"/>
      <c r="U122" s="1043" t="s">
        <v>1289</v>
      </c>
      <c r="V122" s="992">
        <v>5000000</v>
      </c>
      <c r="W122" s="2430"/>
      <c r="X122" s="2515"/>
      <c r="Y122" s="2499"/>
      <c r="Z122" s="2478"/>
      <c r="AA122" s="2478"/>
      <c r="AB122" s="2478"/>
      <c r="AC122" s="2478"/>
      <c r="AD122" s="2478"/>
      <c r="AE122" s="2478"/>
      <c r="AF122" s="2361"/>
      <c r="AG122" s="1030"/>
      <c r="AH122" s="2361"/>
      <c r="AI122" s="1030"/>
      <c r="AJ122" s="2381"/>
      <c r="AK122" s="1031">
        <v>42814</v>
      </c>
      <c r="AL122" s="1036">
        <v>42885</v>
      </c>
      <c r="AM122" s="2525"/>
    </row>
    <row r="123" spans="1:39" ht="40.5" customHeight="1" x14ac:dyDescent="0.2">
      <c r="A123" s="957"/>
      <c r="B123" s="957"/>
      <c r="C123" s="958"/>
      <c r="D123" s="2457"/>
      <c r="E123" s="2554"/>
      <c r="F123" s="2555"/>
      <c r="G123" s="2457"/>
      <c r="H123" s="2550"/>
      <c r="I123" s="2551"/>
      <c r="J123" s="2473"/>
      <c r="K123" s="2454"/>
      <c r="L123" s="2371"/>
      <c r="M123" s="2479"/>
      <c r="N123" s="2427"/>
      <c r="O123" s="2505"/>
      <c r="P123" s="2357"/>
      <c r="Q123" s="2529"/>
      <c r="R123" s="2494"/>
      <c r="S123" s="2357"/>
      <c r="T123" s="2364"/>
      <c r="U123" s="1044" t="s">
        <v>1290</v>
      </c>
      <c r="V123" s="992">
        <v>12100000</v>
      </c>
      <c r="W123" s="2430"/>
      <c r="X123" s="2515"/>
      <c r="Y123" s="2499"/>
      <c r="Z123" s="2478"/>
      <c r="AA123" s="2478"/>
      <c r="AB123" s="2478"/>
      <c r="AC123" s="2478"/>
      <c r="AD123" s="2478"/>
      <c r="AE123" s="2478"/>
      <c r="AF123" s="2361"/>
      <c r="AG123" s="1030"/>
      <c r="AH123" s="2361"/>
      <c r="AI123" s="1030"/>
      <c r="AJ123" s="2381"/>
      <c r="AK123" s="1031">
        <v>42750</v>
      </c>
      <c r="AL123" s="1036">
        <v>42993</v>
      </c>
      <c r="AM123" s="2525"/>
    </row>
    <row r="124" spans="1:39" ht="57" x14ac:dyDescent="0.2">
      <c r="A124" s="957"/>
      <c r="B124" s="957"/>
      <c r="C124" s="958"/>
      <c r="D124" s="2439"/>
      <c r="E124" s="2556"/>
      <c r="F124" s="2557"/>
      <c r="G124" s="2439"/>
      <c r="H124" s="2550"/>
      <c r="I124" s="2551"/>
      <c r="J124" s="1045">
        <v>242</v>
      </c>
      <c r="K124" s="1046" t="s">
        <v>1291</v>
      </c>
      <c r="L124" s="1047" t="s">
        <v>1162</v>
      </c>
      <c r="M124" s="974">
        <v>1</v>
      </c>
      <c r="N124" s="2409"/>
      <c r="O124" s="2506"/>
      <c r="P124" s="2362"/>
      <c r="Q124" s="1048">
        <f>+R124/90000000</f>
        <v>0.4375</v>
      </c>
      <c r="R124" s="1049">
        <v>39375000</v>
      </c>
      <c r="S124" s="2362"/>
      <c r="T124" s="2362"/>
      <c r="U124" s="972" t="s">
        <v>1292</v>
      </c>
      <c r="V124" s="992">
        <v>39375000</v>
      </c>
      <c r="W124" s="2431"/>
      <c r="X124" s="2516"/>
      <c r="Y124" s="2500"/>
      <c r="Z124" s="2479"/>
      <c r="AA124" s="2479"/>
      <c r="AB124" s="2479"/>
      <c r="AC124" s="2479"/>
      <c r="AD124" s="2479"/>
      <c r="AE124" s="2479"/>
      <c r="AF124" s="2473"/>
      <c r="AG124" s="1034"/>
      <c r="AH124" s="2473"/>
      <c r="AI124" s="1034"/>
      <c r="AJ124" s="2382"/>
      <c r="AK124" s="1031">
        <v>42809</v>
      </c>
      <c r="AL124" s="1036">
        <v>43089</v>
      </c>
      <c r="AM124" s="2526"/>
    </row>
    <row r="125" spans="1:39" s="153" customFormat="1" ht="26.25" customHeight="1" x14ac:dyDescent="0.2">
      <c r="A125" s="957"/>
      <c r="B125" s="957"/>
      <c r="C125" s="958"/>
      <c r="D125" s="1050">
        <v>27</v>
      </c>
      <c r="E125" s="1051" t="s">
        <v>1293</v>
      </c>
      <c r="F125" s="1051"/>
      <c r="G125" s="1051"/>
      <c r="H125" s="1051"/>
      <c r="I125" s="45"/>
      <c r="J125" s="45"/>
      <c r="K125" s="1052"/>
      <c r="L125" s="45"/>
      <c r="M125" s="45"/>
      <c r="N125" s="45"/>
      <c r="O125" s="45"/>
      <c r="P125" s="54"/>
      <c r="Q125" s="1053"/>
      <c r="R125" s="1054"/>
      <c r="S125" s="54"/>
      <c r="T125" s="1052"/>
      <c r="U125" s="1052"/>
      <c r="V125" s="1055"/>
      <c r="W125" s="54"/>
      <c r="X125" s="1056"/>
      <c r="Y125" s="54"/>
      <c r="Z125" s="54"/>
      <c r="AA125" s="54"/>
      <c r="AB125" s="54"/>
      <c r="AC125" s="54"/>
      <c r="AD125" s="54"/>
      <c r="AE125" s="54"/>
      <c r="AF125" s="54"/>
      <c r="AG125" s="54"/>
      <c r="AH125" s="54"/>
      <c r="AI125" s="54"/>
      <c r="AJ125" s="54"/>
      <c r="AK125" s="54"/>
      <c r="AL125" s="54"/>
      <c r="AM125" s="76"/>
    </row>
    <row r="126" spans="1:39" s="153" customFormat="1" ht="25.5" customHeight="1" x14ac:dyDescent="0.2">
      <c r="A126" s="957"/>
      <c r="B126" s="957"/>
      <c r="C126" s="958"/>
      <c r="D126" s="2438"/>
      <c r="E126" s="2537"/>
      <c r="F126" s="2538"/>
      <c r="G126" s="1057">
        <v>85</v>
      </c>
      <c r="H126" s="1058" t="s">
        <v>1294</v>
      </c>
      <c r="I126" s="1058"/>
      <c r="J126" s="1058"/>
      <c r="K126" s="1059"/>
      <c r="L126" s="1058"/>
      <c r="M126" s="1058"/>
      <c r="N126" s="1058"/>
      <c r="O126" s="1058"/>
      <c r="P126" s="1058"/>
      <c r="Q126" s="1060"/>
      <c r="R126" s="1061"/>
      <c r="S126" s="61"/>
      <c r="T126" s="1059"/>
      <c r="U126" s="1059"/>
      <c r="V126" s="1025"/>
      <c r="W126" s="1025"/>
      <c r="X126" s="1062"/>
      <c r="Y126" s="1025"/>
      <c r="Z126" s="1025"/>
      <c r="AA126" s="1025"/>
      <c r="AB126" s="1025"/>
      <c r="AC126" s="1025"/>
      <c r="AD126" s="1025"/>
      <c r="AE126" s="1025"/>
      <c r="AF126" s="1025"/>
      <c r="AG126" s="1025"/>
      <c r="AH126" s="1025"/>
      <c r="AI126" s="1025"/>
      <c r="AJ126" s="1025"/>
      <c r="AK126" s="1025"/>
      <c r="AL126" s="1025"/>
      <c r="AM126" s="1063"/>
    </row>
    <row r="127" spans="1:39" ht="28.5" customHeight="1" x14ac:dyDescent="0.2">
      <c r="A127" s="957"/>
      <c r="B127" s="957"/>
      <c r="C127" s="958"/>
      <c r="D127" s="2457"/>
      <c r="E127" s="2539"/>
      <c r="F127" s="2540"/>
      <c r="G127" s="2438"/>
      <c r="H127" s="2465"/>
      <c r="I127" s="2466"/>
      <c r="J127" s="2477">
        <v>250</v>
      </c>
      <c r="K127" s="2356" t="s">
        <v>1295</v>
      </c>
      <c r="L127" s="2545" t="s">
        <v>16</v>
      </c>
      <c r="M127" s="2477">
        <v>3</v>
      </c>
      <c r="N127" s="2390" t="s">
        <v>1296</v>
      </c>
      <c r="O127" s="2504" t="s">
        <v>1297</v>
      </c>
      <c r="P127" s="2356" t="s">
        <v>1298</v>
      </c>
      <c r="Q127" s="2488">
        <f>+R127/505000000</f>
        <v>0.54306930693069311</v>
      </c>
      <c r="R127" s="2512">
        <v>274250000</v>
      </c>
      <c r="S127" s="2356" t="s">
        <v>1299</v>
      </c>
      <c r="T127" s="2363" t="s">
        <v>1300</v>
      </c>
      <c r="U127" s="972" t="s">
        <v>1301</v>
      </c>
      <c r="V127" s="992">
        <v>20000000</v>
      </c>
      <c r="W127" s="1064"/>
      <c r="X127" s="965"/>
      <c r="Y127" s="2498">
        <v>31154</v>
      </c>
      <c r="Z127" s="2477">
        <v>35075</v>
      </c>
      <c r="AA127" s="2477">
        <v>13344</v>
      </c>
      <c r="AB127" s="2477">
        <v>42174</v>
      </c>
      <c r="AC127" s="2477">
        <v>114821</v>
      </c>
      <c r="AD127" s="2477">
        <v>39524</v>
      </c>
      <c r="AE127" s="2570"/>
      <c r="AF127" s="2570"/>
      <c r="AG127" s="1065"/>
      <c r="AH127" s="2570"/>
      <c r="AI127" s="1065"/>
      <c r="AJ127" s="2558"/>
      <c r="AK127" s="1031">
        <v>42750</v>
      </c>
      <c r="AL127" s="1036">
        <v>42993</v>
      </c>
      <c r="AM127" s="2524" t="s">
        <v>1302</v>
      </c>
    </row>
    <row r="128" spans="1:39" ht="37.5" customHeight="1" x14ac:dyDescent="0.2">
      <c r="A128" s="957"/>
      <c r="B128" s="957"/>
      <c r="C128" s="958"/>
      <c r="D128" s="2457"/>
      <c r="E128" s="2539"/>
      <c r="F128" s="2540"/>
      <c r="G128" s="2457"/>
      <c r="H128" s="2467"/>
      <c r="I128" s="2468"/>
      <c r="J128" s="2478"/>
      <c r="K128" s="2357"/>
      <c r="L128" s="2546"/>
      <c r="M128" s="2478"/>
      <c r="N128" s="2427"/>
      <c r="O128" s="2505"/>
      <c r="P128" s="2357"/>
      <c r="Q128" s="2489"/>
      <c r="R128" s="2517"/>
      <c r="S128" s="2357"/>
      <c r="T128" s="2364"/>
      <c r="U128" s="972" t="s">
        <v>1303</v>
      </c>
      <c r="V128" s="992">
        <v>35250000</v>
      </c>
      <c r="W128" s="1066"/>
      <c r="X128" s="968"/>
      <c r="Y128" s="2499"/>
      <c r="Z128" s="2478"/>
      <c r="AA128" s="2478"/>
      <c r="AB128" s="2478"/>
      <c r="AC128" s="2478"/>
      <c r="AD128" s="2478"/>
      <c r="AE128" s="2571"/>
      <c r="AF128" s="2571"/>
      <c r="AG128" s="1067"/>
      <c r="AH128" s="2571"/>
      <c r="AI128" s="1067"/>
      <c r="AJ128" s="2559"/>
      <c r="AK128" s="1031">
        <v>42845</v>
      </c>
      <c r="AL128" s="1068">
        <v>42855</v>
      </c>
      <c r="AM128" s="2525"/>
    </row>
    <row r="129" spans="1:39" ht="15" customHeight="1" x14ac:dyDescent="0.2">
      <c r="A129" s="957"/>
      <c r="B129" s="957"/>
      <c r="C129" s="958"/>
      <c r="D129" s="2457"/>
      <c r="E129" s="2539"/>
      <c r="F129" s="2540"/>
      <c r="G129" s="2457"/>
      <c r="H129" s="2467"/>
      <c r="I129" s="2468"/>
      <c r="J129" s="2478"/>
      <c r="K129" s="2357"/>
      <c r="L129" s="2546"/>
      <c r="M129" s="2478"/>
      <c r="N129" s="2427"/>
      <c r="O129" s="2505"/>
      <c r="P129" s="2357"/>
      <c r="Q129" s="2489"/>
      <c r="R129" s="2517"/>
      <c r="S129" s="2357"/>
      <c r="T129" s="2364"/>
      <c r="U129" s="972" t="s">
        <v>1304</v>
      </c>
      <c r="V129" s="992">
        <v>2000000</v>
      </c>
      <c r="W129" s="1066"/>
      <c r="X129" s="968"/>
      <c r="Y129" s="2499"/>
      <c r="Z129" s="2478"/>
      <c r="AA129" s="2478"/>
      <c r="AB129" s="2478"/>
      <c r="AC129" s="2478"/>
      <c r="AD129" s="2478"/>
      <c r="AE129" s="2571"/>
      <c r="AF129" s="2571"/>
      <c r="AG129" s="1067"/>
      <c r="AH129" s="2571"/>
      <c r="AI129" s="1067"/>
      <c r="AJ129" s="2559"/>
      <c r="AK129" s="1031">
        <v>42804</v>
      </c>
      <c r="AL129" s="1036">
        <v>42906</v>
      </c>
      <c r="AM129" s="2525"/>
    </row>
    <row r="130" spans="1:39" ht="48.75" customHeight="1" x14ac:dyDescent="0.2">
      <c r="A130" s="957"/>
      <c r="B130" s="957"/>
      <c r="C130" s="958"/>
      <c r="D130" s="2457"/>
      <c r="E130" s="2539"/>
      <c r="F130" s="2540"/>
      <c r="G130" s="2457"/>
      <c r="H130" s="2467"/>
      <c r="I130" s="2468"/>
      <c r="J130" s="2478"/>
      <c r="K130" s="2357"/>
      <c r="L130" s="2546"/>
      <c r="M130" s="2478"/>
      <c r="N130" s="2427"/>
      <c r="O130" s="2505"/>
      <c r="P130" s="2357"/>
      <c r="Q130" s="2489"/>
      <c r="R130" s="2517"/>
      <c r="S130" s="2357"/>
      <c r="T130" s="2364"/>
      <c r="U130" s="972" t="s">
        <v>1305</v>
      </c>
      <c r="V130" s="992">
        <v>2000000</v>
      </c>
      <c r="W130" s="1066"/>
      <c r="X130" s="968"/>
      <c r="Y130" s="2499"/>
      <c r="Z130" s="2478"/>
      <c r="AA130" s="2478"/>
      <c r="AB130" s="2478"/>
      <c r="AC130" s="2478"/>
      <c r="AD130" s="2478"/>
      <c r="AE130" s="2571"/>
      <c r="AF130" s="2571"/>
      <c r="AG130" s="1067"/>
      <c r="AH130" s="2571"/>
      <c r="AI130" s="1067"/>
      <c r="AJ130" s="2559"/>
      <c r="AK130" s="1031">
        <v>42804</v>
      </c>
      <c r="AL130" s="1036">
        <v>42906</v>
      </c>
      <c r="AM130" s="2525"/>
    </row>
    <row r="131" spans="1:39" ht="42.75" x14ac:dyDescent="0.2">
      <c r="A131" s="957"/>
      <c r="B131" s="957"/>
      <c r="C131" s="958"/>
      <c r="D131" s="2457"/>
      <c r="E131" s="2539"/>
      <c r="F131" s="2540"/>
      <c r="G131" s="2457"/>
      <c r="H131" s="2467"/>
      <c r="I131" s="2468"/>
      <c r="J131" s="2479"/>
      <c r="K131" s="2357"/>
      <c r="L131" s="2547"/>
      <c r="M131" s="2479"/>
      <c r="N131" s="2427"/>
      <c r="O131" s="2505"/>
      <c r="P131" s="2357"/>
      <c r="Q131" s="2490"/>
      <c r="R131" s="2513"/>
      <c r="S131" s="2357"/>
      <c r="T131" s="2364"/>
      <c r="U131" s="972" t="s">
        <v>1306</v>
      </c>
      <c r="V131" s="992">
        <v>215000000</v>
      </c>
      <c r="W131" s="1066"/>
      <c r="X131" s="968"/>
      <c r="Y131" s="2499"/>
      <c r="Z131" s="2478"/>
      <c r="AA131" s="2478"/>
      <c r="AB131" s="2478"/>
      <c r="AC131" s="2478"/>
      <c r="AD131" s="2478"/>
      <c r="AE131" s="2571"/>
      <c r="AF131" s="2571"/>
      <c r="AG131" s="1067"/>
      <c r="AH131" s="2571"/>
      <c r="AI131" s="1067"/>
      <c r="AJ131" s="2559"/>
      <c r="AK131" s="1031">
        <v>42750</v>
      </c>
      <c r="AL131" s="1036">
        <v>42993</v>
      </c>
      <c r="AM131" s="2525"/>
    </row>
    <row r="132" spans="1:39" ht="42.75" x14ac:dyDescent="0.2">
      <c r="A132" s="957"/>
      <c r="B132" s="957"/>
      <c r="C132" s="958"/>
      <c r="D132" s="2457"/>
      <c r="E132" s="2539"/>
      <c r="F132" s="2540"/>
      <c r="G132" s="2457"/>
      <c r="H132" s="2467"/>
      <c r="I132" s="2468"/>
      <c r="J132" s="2477">
        <v>251</v>
      </c>
      <c r="K132" s="2356" t="s">
        <v>1307</v>
      </c>
      <c r="L132" s="2390" t="s">
        <v>1162</v>
      </c>
      <c r="M132" s="2477">
        <v>1</v>
      </c>
      <c r="N132" s="2427"/>
      <c r="O132" s="2505"/>
      <c r="P132" s="2357"/>
      <c r="Q132" s="2488">
        <f>+R132/505000000</f>
        <v>0.4074257425742574</v>
      </c>
      <c r="R132" s="2512">
        <v>205750000</v>
      </c>
      <c r="S132" s="2357"/>
      <c r="T132" s="2364"/>
      <c r="U132" s="50" t="s">
        <v>1308</v>
      </c>
      <c r="V132" s="992">
        <v>25000000</v>
      </c>
      <c r="W132" s="1066"/>
      <c r="X132" s="968"/>
      <c r="Y132" s="2499"/>
      <c r="Z132" s="2478"/>
      <c r="AA132" s="2478"/>
      <c r="AB132" s="2478"/>
      <c r="AC132" s="2478"/>
      <c r="AD132" s="2478"/>
      <c r="AE132" s="2571"/>
      <c r="AF132" s="2571"/>
      <c r="AG132" s="1067"/>
      <c r="AH132" s="2571"/>
      <c r="AI132" s="1067"/>
      <c r="AJ132" s="2559"/>
      <c r="AK132" s="1031">
        <v>42750</v>
      </c>
      <c r="AL132" s="1036">
        <v>42993</v>
      </c>
      <c r="AM132" s="2525"/>
    </row>
    <row r="133" spans="1:39" ht="28.5" x14ac:dyDescent="0.2">
      <c r="A133" s="957"/>
      <c r="B133" s="957"/>
      <c r="C133" s="958"/>
      <c r="D133" s="2457"/>
      <c r="E133" s="2539"/>
      <c r="F133" s="2540"/>
      <c r="G133" s="2457"/>
      <c r="H133" s="2467"/>
      <c r="I133" s="2468"/>
      <c r="J133" s="2478"/>
      <c r="K133" s="2357"/>
      <c r="L133" s="2391"/>
      <c r="M133" s="2478"/>
      <c r="N133" s="2427"/>
      <c r="O133" s="2505"/>
      <c r="P133" s="2357"/>
      <c r="Q133" s="2489"/>
      <c r="R133" s="2517"/>
      <c r="S133" s="2357"/>
      <c r="T133" s="2364"/>
      <c r="U133" s="50" t="s">
        <v>1309</v>
      </c>
      <c r="V133" s="992">
        <v>19500000</v>
      </c>
      <c r="W133" s="986">
        <v>20</v>
      </c>
      <c r="X133" s="968" t="s">
        <v>185</v>
      </c>
      <c r="Y133" s="2499"/>
      <c r="Z133" s="2478"/>
      <c r="AA133" s="2478"/>
      <c r="AB133" s="2478"/>
      <c r="AC133" s="2478"/>
      <c r="AD133" s="2478"/>
      <c r="AE133" s="2571"/>
      <c r="AF133" s="2571"/>
      <c r="AG133" s="1067"/>
      <c r="AH133" s="2571"/>
      <c r="AI133" s="1067"/>
      <c r="AJ133" s="2559"/>
      <c r="AK133" s="1031">
        <v>42750</v>
      </c>
      <c r="AL133" s="1036">
        <v>42993</v>
      </c>
      <c r="AM133" s="2525"/>
    </row>
    <row r="134" spans="1:39" ht="28.5" x14ac:dyDescent="0.2">
      <c r="A134" s="957"/>
      <c r="B134" s="957"/>
      <c r="C134" s="958"/>
      <c r="D134" s="2457"/>
      <c r="E134" s="2539"/>
      <c r="F134" s="2540"/>
      <c r="G134" s="2457"/>
      <c r="H134" s="2467"/>
      <c r="I134" s="2468"/>
      <c r="J134" s="2478"/>
      <c r="K134" s="2357"/>
      <c r="L134" s="2391"/>
      <c r="M134" s="2478"/>
      <c r="N134" s="2427"/>
      <c r="O134" s="2505"/>
      <c r="P134" s="2357"/>
      <c r="Q134" s="2489"/>
      <c r="R134" s="2517"/>
      <c r="S134" s="2357"/>
      <c r="T134" s="2364"/>
      <c r="U134" s="50" t="s">
        <v>1310</v>
      </c>
      <c r="V134" s="992">
        <v>80000000</v>
      </c>
      <c r="W134" s="986">
        <v>88</v>
      </c>
      <c r="X134" s="968" t="s">
        <v>313</v>
      </c>
      <c r="Y134" s="2499"/>
      <c r="Z134" s="2478"/>
      <c r="AA134" s="2478"/>
      <c r="AB134" s="2478"/>
      <c r="AC134" s="2478"/>
      <c r="AD134" s="2478"/>
      <c r="AE134" s="2571"/>
      <c r="AF134" s="2571"/>
      <c r="AG134" s="1067"/>
      <c r="AH134" s="2571"/>
      <c r="AI134" s="1067"/>
      <c r="AJ134" s="2559"/>
      <c r="AK134" s="1031">
        <v>42750</v>
      </c>
      <c r="AL134" s="1036">
        <v>42993</v>
      </c>
      <c r="AM134" s="2525"/>
    </row>
    <row r="135" spans="1:39" ht="46.5" customHeight="1" x14ac:dyDescent="0.2">
      <c r="A135" s="957"/>
      <c r="B135" s="957"/>
      <c r="C135" s="958"/>
      <c r="D135" s="2457"/>
      <c r="E135" s="2539"/>
      <c r="F135" s="2540"/>
      <c r="G135" s="2457"/>
      <c r="H135" s="2467"/>
      <c r="I135" s="2468"/>
      <c r="J135" s="2478"/>
      <c r="K135" s="2357"/>
      <c r="L135" s="2391"/>
      <c r="M135" s="2478"/>
      <c r="N135" s="2427"/>
      <c r="O135" s="2505"/>
      <c r="P135" s="2357"/>
      <c r="Q135" s="2489"/>
      <c r="R135" s="2517"/>
      <c r="S135" s="2357"/>
      <c r="T135" s="2364"/>
      <c r="U135" s="972" t="s">
        <v>1311</v>
      </c>
      <c r="V135" s="992">
        <v>8000000</v>
      </c>
      <c r="W135" s="1066"/>
      <c r="X135" s="968"/>
      <c r="Y135" s="2499"/>
      <c r="Z135" s="2478"/>
      <c r="AA135" s="2478"/>
      <c r="AB135" s="2478"/>
      <c r="AC135" s="2478"/>
      <c r="AD135" s="2478"/>
      <c r="AE135" s="2571"/>
      <c r="AF135" s="2571"/>
      <c r="AG135" s="1067"/>
      <c r="AH135" s="2571"/>
      <c r="AI135" s="1067"/>
      <c r="AJ135" s="2559"/>
      <c r="AK135" s="1031">
        <v>42804</v>
      </c>
      <c r="AL135" s="1036">
        <v>42906</v>
      </c>
      <c r="AM135" s="2525"/>
    </row>
    <row r="136" spans="1:39" ht="28.5" x14ac:dyDescent="0.2">
      <c r="A136" s="957"/>
      <c r="B136" s="957"/>
      <c r="C136" s="958"/>
      <c r="D136" s="2457"/>
      <c r="E136" s="2539"/>
      <c r="F136" s="2540"/>
      <c r="G136" s="2457"/>
      <c r="H136" s="2467"/>
      <c r="I136" s="2468"/>
      <c r="J136" s="2478"/>
      <c r="K136" s="2357"/>
      <c r="L136" s="2391"/>
      <c r="M136" s="2478"/>
      <c r="N136" s="2427"/>
      <c r="O136" s="2505"/>
      <c r="P136" s="2357"/>
      <c r="Q136" s="2489"/>
      <c r="R136" s="2517"/>
      <c r="S136" s="2357"/>
      <c r="T136" s="2364"/>
      <c r="U136" s="972" t="s">
        <v>1312</v>
      </c>
      <c r="V136" s="992">
        <v>60250000</v>
      </c>
      <c r="W136" s="1066"/>
      <c r="X136" s="968"/>
      <c r="Y136" s="2499"/>
      <c r="Z136" s="2478"/>
      <c r="AA136" s="2478"/>
      <c r="AB136" s="2478"/>
      <c r="AC136" s="2478"/>
      <c r="AD136" s="2478"/>
      <c r="AE136" s="2571"/>
      <c r="AF136" s="2571"/>
      <c r="AG136" s="1067"/>
      <c r="AH136" s="2571"/>
      <c r="AI136" s="1067"/>
      <c r="AJ136" s="2559"/>
      <c r="AK136" s="1031">
        <v>42750</v>
      </c>
      <c r="AL136" s="1036">
        <v>42993</v>
      </c>
      <c r="AM136" s="2525"/>
    </row>
    <row r="137" spans="1:39" ht="15" x14ac:dyDescent="0.2">
      <c r="A137" s="957"/>
      <c r="B137" s="957"/>
      <c r="C137" s="958"/>
      <c r="D137" s="2457"/>
      <c r="E137" s="2539"/>
      <c r="F137" s="2540"/>
      <c r="G137" s="2457"/>
      <c r="H137" s="2467"/>
      <c r="I137" s="2468"/>
      <c r="J137" s="2478"/>
      <c r="K137" s="2357"/>
      <c r="L137" s="2391"/>
      <c r="M137" s="2478"/>
      <c r="N137" s="2427"/>
      <c r="O137" s="2505"/>
      <c r="P137" s="2357"/>
      <c r="Q137" s="2489"/>
      <c r="R137" s="2517"/>
      <c r="S137" s="2357"/>
      <c r="T137" s="2364"/>
      <c r="U137" s="972" t="s">
        <v>1313</v>
      </c>
      <c r="V137" s="992">
        <v>5000000</v>
      </c>
      <c r="W137" s="1066"/>
      <c r="X137" s="968"/>
      <c r="Y137" s="2499"/>
      <c r="Z137" s="2478"/>
      <c r="AA137" s="2478"/>
      <c r="AB137" s="2478"/>
      <c r="AC137" s="2478"/>
      <c r="AD137" s="2478"/>
      <c r="AE137" s="2571"/>
      <c r="AF137" s="2571"/>
      <c r="AG137" s="1067"/>
      <c r="AH137" s="2571"/>
      <c r="AI137" s="1067"/>
      <c r="AJ137" s="2559"/>
      <c r="AK137" s="1031">
        <v>42750</v>
      </c>
      <c r="AL137" s="1036">
        <v>42993</v>
      </c>
      <c r="AM137" s="2525"/>
    </row>
    <row r="138" spans="1:39" ht="15" customHeight="1" x14ac:dyDescent="0.2">
      <c r="A138" s="957"/>
      <c r="B138" s="957"/>
      <c r="C138" s="958"/>
      <c r="D138" s="2457"/>
      <c r="E138" s="2539"/>
      <c r="F138" s="2540"/>
      <c r="G138" s="2457"/>
      <c r="H138" s="2467"/>
      <c r="I138" s="2468"/>
      <c r="J138" s="2479"/>
      <c r="K138" s="2357"/>
      <c r="L138" s="2392"/>
      <c r="M138" s="2479"/>
      <c r="N138" s="2427"/>
      <c r="O138" s="2505"/>
      <c r="P138" s="2357"/>
      <c r="Q138" s="2490"/>
      <c r="R138" s="2513"/>
      <c r="S138" s="2357"/>
      <c r="T138" s="2364"/>
      <c r="U138" s="972" t="s">
        <v>1304</v>
      </c>
      <c r="V138" s="992">
        <v>8000000</v>
      </c>
      <c r="W138" s="1066"/>
      <c r="X138" s="968"/>
      <c r="Y138" s="2499"/>
      <c r="Z138" s="2478"/>
      <c r="AA138" s="2478"/>
      <c r="AB138" s="2478"/>
      <c r="AC138" s="2478"/>
      <c r="AD138" s="2478"/>
      <c r="AE138" s="2571"/>
      <c r="AF138" s="2571"/>
      <c r="AG138" s="1067"/>
      <c r="AH138" s="2571"/>
      <c r="AI138" s="1067"/>
      <c r="AJ138" s="2559"/>
      <c r="AK138" s="1031">
        <v>42804</v>
      </c>
      <c r="AL138" s="1036">
        <v>42967</v>
      </c>
      <c r="AM138" s="2525"/>
    </row>
    <row r="139" spans="1:39" ht="42.75" x14ac:dyDescent="0.2">
      <c r="A139" s="957"/>
      <c r="B139" s="957"/>
      <c r="C139" s="958"/>
      <c r="D139" s="2457"/>
      <c r="E139" s="2539"/>
      <c r="F139" s="2540"/>
      <c r="G139" s="2457"/>
      <c r="H139" s="2467"/>
      <c r="I139" s="2468"/>
      <c r="J139" s="2477">
        <v>254</v>
      </c>
      <c r="K139" s="2366" t="s">
        <v>1314</v>
      </c>
      <c r="L139" s="2408" t="s">
        <v>16</v>
      </c>
      <c r="M139" s="2477">
        <v>1</v>
      </c>
      <c r="N139" s="2427"/>
      <c r="O139" s="2505"/>
      <c r="P139" s="2357"/>
      <c r="Q139" s="2488">
        <f>+R139/505000000</f>
        <v>4.9504950495049507E-2</v>
      </c>
      <c r="R139" s="2517">
        <v>25000000</v>
      </c>
      <c r="S139" s="2357"/>
      <c r="T139" s="2364"/>
      <c r="U139" s="981" t="s">
        <v>1315</v>
      </c>
      <c r="V139" s="1040">
        <v>15000000</v>
      </c>
      <c r="W139" s="1066"/>
      <c r="X139" s="968"/>
      <c r="Y139" s="2499"/>
      <c r="Z139" s="2478"/>
      <c r="AA139" s="2478"/>
      <c r="AB139" s="2478"/>
      <c r="AC139" s="2478"/>
      <c r="AD139" s="2478"/>
      <c r="AE139" s="2571"/>
      <c r="AF139" s="2571"/>
      <c r="AG139" s="1067"/>
      <c r="AH139" s="2571"/>
      <c r="AI139" s="1067"/>
      <c r="AJ139" s="2559"/>
      <c r="AK139" s="1031">
        <v>42750</v>
      </c>
      <c r="AL139" s="1036">
        <v>42993</v>
      </c>
      <c r="AM139" s="2525"/>
    </row>
    <row r="140" spans="1:39" ht="15" customHeight="1" x14ac:dyDescent="0.2">
      <c r="A140" s="957"/>
      <c r="B140" s="957"/>
      <c r="C140" s="958"/>
      <c r="D140" s="2457"/>
      <c r="E140" s="2539"/>
      <c r="F140" s="2540"/>
      <c r="G140" s="2457"/>
      <c r="H140" s="2467"/>
      <c r="I140" s="2468"/>
      <c r="J140" s="2478"/>
      <c r="K140" s="2366"/>
      <c r="L140" s="2427"/>
      <c r="M140" s="2478"/>
      <c r="N140" s="2427"/>
      <c r="O140" s="2505"/>
      <c r="P140" s="2357"/>
      <c r="Q140" s="2489"/>
      <c r="R140" s="2517"/>
      <c r="S140" s="2357"/>
      <c r="T140" s="2364"/>
      <c r="U140" s="972" t="s">
        <v>1316</v>
      </c>
      <c r="V140" s="1040">
        <v>5000000</v>
      </c>
      <c r="W140" s="1066"/>
      <c r="X140" s="968"/>
      <c r="Y140" s="2499"/>
      <c r="Z140" s="2478"/>
      <c r="AA140" s="2478"/>
      <c r="AB140" s="2478"/>
      <c r="AC140" s="2478"/>
      <c r="AD140" s="2478"/>
      <c r="AE140" s="2571"/>
      <c r="AF140" s="2571"/>
      <c r="AG140" s="1067"/>
      <c r="AH140" s="2571"/>
      <c r="AI140" s="1067"/>
      <c r="AJ140" s="2559"/>
      <c r="AK140" s="1031">
        <v>42804</v>
      </c>
      <c r="AL140" s="1036">
        <v>42906</v>
      </c>
      <c r="AM140" s="2525"/>
    </row>
    <row r="141" spans="1:39" ht="36.75" customHeight="1" thickBot="1" x14ac:dyDescent="0.25">
      <c r="A141" s="1069"/>
      <c r="B141" s="1069"/>
      <c r="C141" s="1070"/>
      <c r="D141" s="2536"/>
      <c r="E141" s="2541"/>
      <c r="F141" s="2542"/>
      <c r="G141" s="2536"/>
      <c r="H141" s="2543"/>
      <c r="I141" s="2544"/>
      <c r="J141" s="2564"/>
      <c r="K141" s="2568"/>
      <c r="L141" s="2566"/>
      <c r="M141" s="2564"/>
      <c r="N141" s="2566"/>
      <c r="O141" s="2567"/>
      <c r="P141" s="2561"/>
      <c r="Q141" s="2569"/>
      <c r="R141" s="2565"/>
      <c r="S141" s="2561"/>
      <c r="T141" s="2562"/>
      <c r="U141" s="1071" t="s">
        <v>1304</v>
      </c>
      <c r="V141" s="1072">
        <v>5000000</v>
      </c>
      <c r="W141" s="1073"/>
      <c r="X141" s="994"/>
      <c r="Y141" s="2563"/>
      <c r="Z141" s="2564"/>
      <c r="AA141" s="2564"/>
      <c r="AB141" s="2564"/>
      <c r="AC141" s="2564"/>
      <c r="AD141" s="2564"/>
      <c r="AE141" s="2572"/>
      <c r="AF141" s="2572"/>
      <c r="AG141" s="1074"/>
      <c r="AH141" s="2572"/>
      <c r="AI141" s="1074"/>
      <c r="AJ141" s="2560"/>
      <c r="AK141" s="1075">
        <v>42804</v>
      </c>
      <c r="AL141" s="1076">
        <v>42906</v>
      </c>
      <c r="AM141" s="2526"/>
    </row>
    <row r="142" spans="1:39" s="153" customFormat="1" ht="34.5" customHeight="1" x14ac:dyDescent="0.2">
      <c r="A142" s="957"/>
      <c r="B142" s="957"/>
      <c r="C142" s="958"/>
      <c r="D142" s="1007"/>
      <c r="E142" s="1077"/>
      <c r="F142" s="1078"/>
      <c r="G142" s="959">
        <v>86</v>
      </c>
      <c r="H142" s="81" t="s">
        <v>1317</v>
      </c>
      <c r="I142" s="81"/>
      <c r="J142" s="81"/>
      <c r="K142" s="960"/>
      <c r="L142" s="81"/>
      <c r="M142" s="81"/>
      <c r="N142" s="81"/>
      <c r="O142" s="81"/>
      <c r="P142" s="56"/>
      <c r="Q142" s="961"/>
      <c r="R142" s="962"/>
      <c r="S142" s="56"/>
      <c r="T142" s="960"/>
      <c r="U142" s="960"/>
      <c r="V142" s="963"/>
      <c r="W142" s="963"/>
      <c r="X142" s="1062"/>
      <c r="Y142" s="963"/>
      <c r="Z142" s="963"/>
      <c r="AA142" s="963"/>
      <c r="AB142" s="963"/>
      <c r="AC142" s="963"/>
      <c r="AD142" s="963"/>
      <c r="AE142" s="963"/>
      <c r="AF142" s="963"/>
      <c r="AG142" s="963"/>
      <c r="AH142" s="963"/>
      <c r="AI142" s="963"/>
      <c r="AJ142" s="963"/>
      <c r="AK142" s="963"/>
      <c r="AL142" s="963"/>
      <c r="AM142" s="1018"/>
    </row>
    <row r="143" spans="1:39" ht="47.25" customHeight="1" x14ac:dyDescent="0.2">
      <c r="A143" s="957"/>
      <c r="B143" s="957"/>
      <c r="C143" s="958"/>
      <c r="D143" s="2438"/>
      <c r="E143" s="1079"/>
      <c r="F143" s="1080"/>
      <c r="G143" s="2438"/>
      <c r="H143" s="2465"/>
      <c r="I143" s="2466"/>
      <c r="J143" s="2477">
        <v>255</v>
      </c>
      <c r="K143" s="2356" t="s">
        <v>1318</v>
      </c>
      <c r="L143" s="2390" t="s">
        <v>16</v>
      </c>
      <c r="M143" s="2477">
        <v>12</v>
      </c>
      <c r="N143" s="2390" t="s">
        <v>1319</v>
      </c>
      <c r="O143" s="2504" t="s">
        <v>1320</v>
      </c>
      <c r="P143" s="2356" t="s">
        <v>1321</v>
      </c>
      <c r="Q143" s="2510">
        <v>1</v>
      </c>
      <c r="R143" s="2492">
        <f>SUM(V143:V147)</f>
        <v>100500000</v>
      </c>
      <c r="S143" s="2356" t="s">
        <v>1322</v>
      </c>
      <c r="T143" s="2363" t="s">
        <v>1323</v>
      </c>
      <c r="U143" s="1044" t="s">
        <v>1324</v>
      </c>
      <c r="V143" s="992">
        <v>40000000</v>
      </c>
      <c r="W143" s="2588" t="s">
        <v>446</v>
      </c>
      <c r="X143" s="2514" t="s">
        <v>1325</v>
      </c>
      <c r="Y143" s="2585"/>
      <c r="Z143" s="2575"/>
      <c r="AA143" s="2575"/>
      <c r="AB143" s="2575"/>
      <c r="AC143" s="2360">
        <v>4200</v>
      </c>
      <c r="AD143" s="2575"/>
      <c r="AE143" s="2575"/>
      <c r="AF143" s="2575"/>
      <c r="AG143" s="1081"/>
      <c r="AH143" s="2575"/>
      <c r="AI143" s="1081"/>
      <c r="AJ143" s="2578"/>
      <c r="AK143" s="1031">
        <v>42750</v>
      </c>
      <c r="AL143" s="1036">
        <v>42993</v>
      </c>
      <c r="AM143" s="2524" t="s">
        <v>1302</v>
      </c>
    </row>
    <row r="144" spans="1:39" ht="15" x14ac:dyDescent="0.2">
      <c r="A144" s="957"/>
      <c r="B144" s="957"/>
      <c r="C144" s="958"/>
      <c r="D144" s="2457"/>
      <c r="E144" s="1082"/>
      <c r="F144" s="1083"/>
      <c r="G144" s="2457"/>
      <c r="H144" s="2467"/>
      <c r="I144" s="2468"/>
      <c r="J144" s="2478"/>
      <c r="K144" s="2357"/>
      <c r="L144" s="2391"/>
      <c r="M144" s="2478"/>
      <c r="N144" s="2427"/>
      <c r="O144" s="2505"/>
      <c r="P144" s="2357"/>
      <c r="Q144" s="2581"/>
      <c r="R144" s="2493"/>
      <c r="S144" s="2357"/>
      <c r="T144" s="2364"/>
      <c r="U144" s="1084" t="s">
        <v>1326</v>
      </c>
      <c r="V144" s="992">
        <v>13500000</v>
      </c>
      <c r="W144" s="2505"/>
      <c r="X144" s="2515"/>
      <c r="Y144" s="2586"/>
      <c r="Z144" s="2576"/>
      <c r="AA144" s="2576"/>
      <c r="AB144" s="2576"/>
      <c r="AC144" s="2361"/>
      <c r="AD144" s="2576"/>
      <c r="AE144" s="2576"/>
      <c r="AF144" s="2576"/>
      <c r="AG144" s="1085"/>
      <c r="AH144" s="2576"/>
      <c r="AI144" s="1085"/>
      <c r="AJ144" s="2579"/>
      <c r="AK144" s="1031">
        <v>42993</v>
      </c>
      <c r="AL144" s="1068">
        <v>43085</v>
      </c>
      <c r="AM144" s="2525"/>
    </row>
    <row r="145" spans="1:39" ht="28.5" x14ac:dyDescent="0.2">
      <c r="A145" s="957"/>
      <c r="B145" s="957"/>
      <c r="C145" s="958"/>
      <c r="D145" s="2457"/>
      <c r="E145" s="1082"/>
      <c r="F145" s="1083"/>
      <c r="G145" s="2457"/>
      <c r="H145" s="2467"/>
      <c r="I145" s="2468"/>
      <c r="J145" s="2478"/>
      <c r="K145" s="2357"/>
      <c r="L145" s="2391"/>
      <c r="M145" s="2478"/>
      <c r="N145" s="2427"/>
      <c r="O145" s="2505"/>
      <c r="P145" s="2357"/>
      <c r="Q145" s="2581"/>
      <c r="R145" s="2493"/>
      <c r="S145" s="2357"/>
      <c r="T145" s="2364"/>
      <c r="U145" s="1084" t="s">
        <v>1327</v>
      </c>
      <c r="V145" s="992">
        <v>25000000</v>
      </c>
      <c r="W145" s="2505"/>
      <c r="X145" s="2515"/>
      <c r="Y145" s="2586"/>
      <c r="Z145" s="2576"/>
      <c r="AA145" s="2576"/>
      <c r="AB145" s="2576"/>
      <c r="AC145" s="2361"/>
      <c r="AD145" s="2576"/>
      <c r="AE145" s="2576"/>
      <c r="AF145" s="2576"/>
      <c r="AG145" s="1085"/>
      <c r="AH145" s="2576"/>
      <c r="AI145" s="1085"/>
      <c r="AJ145" s="2579"/>
      <c r="AK145" s="1031">
        <v>42809</v>
      </c>
      <c r="AL145" s="1036">
        <v>42967</v>
      </c>
      <c r="AM145" s="2525"/>
    </row>
    <row r="146" spans="1:39" ht="28.5" x14ac:dyDescent="0.2">
      <c r="A146" s="957"/>
      <c r="B146" s="957"/>
      <c r="C146" s="958"/>
      <c r="D146" s="2457"/>
      <c r="E146" s="1082"/>
      <c r="F146" s="1083"/>
      <c r="G146" s="2457"/>
      <c r="H146" s="2467"/>
      <c r="I146" s="2468"/>
      <c r="J146" s="2478"/>
      <c r="K146" s="2357"/>
      <c r="L146" s="2391"/>
      <c r="M146" s="2478"/>
      <c r="N146" s="2427"/>
      <c r="O146" s="2505"/>
      <c r="P146" s="2357"/>
      <c r="Q146" s="2581"/>
      <c r="R146" s="2493"/>
      <c r="S146" s="2357"/>
      <c r="T146" s="2364"/>
      <c r="U146" s="972" t="s">
        <v>1328</v>
      </c>
      <c r="V146" s="992">
        <v>5000000</v>
      </c>
      <c r="W146" s="2505"/>
      <c r="X146" s="2515"/>
      <c r="Y146" s="2586"/>
      <c r="Z146" s="2576"/>
      <c r="AA146" s="2576"/>
      <c r="AB146" s="2576"/>
      <c r="AC146" s="2361"/>
      <c r="AD146" s="2576"/>
      <c r="AE146" s="2576"/>
      <c r="AF146" s="2576"/>
      <c r="AG146" s="1085"/>
      <c r="AH146" s="2576"/>
      <c r="AI146" s="1085"/>
      <c r="AJ146" s="2579"/>
      <c r="AK146" s="1031">
        <v>42750</v>
      </c>
      <c r="AL146" s="1036">
        <v>42993</v>
      </c>
      <c r="AM146" s="2525"/>
    </row>
    <row r="147" spans="1:39" ht="42.75" x14ac:dyDescent="0.2">
      <c r="A147" s="957"/>
      <c r="B147" s="957"/>
      <c r="C147" s="958"/>
      <c r="D147" s="2457"/>
      <c r="E147" s="1082"/>
      <c r="F147" s="1083"/>
      <c r="G147" s="2457"/>
      <c r="H147" s="2467"/>
      <c r="I147" s="2468"/>
      <c r="J147" s="2478"/>
      <c r="K147" s="2357"/>
      <c r="L147" s="2391"/>
      <c r="M147" s="2478"/>
      <c r="N147" s="2427"/>
      <c r="O147" s="2505"/>
      <c r="P147" s="2357"/>
      <c r="Q147" s="2581"/>
      <c r="R147" s="2493"/>
      <c r="S147" s="2357"/>
      <c r="T147" s="2364"/>
      <c r="U147" s="990" t="s">
        <v>1329</v>
      </c>
      <c r="V147" s="1040">
        <v>17000000</v>
      </c>
      <c r="W147" s="2505"/>
      <c r="X147" s="2515"/>
      <c r="Y147" s="2586"/>
      <c r="Z147" s="2576"/>
      <c r="AA147" s="2576"/>
      <c r="AB147" s="2576"/>
      <c r="AC147" s="2361"/>
      <c r="AD147" s="2576"/>
      <c r="AE147" s="2576"/>
      <c r="AF147" s="2576"/>
      <c r="AG147" s="1085"/>
      <c r="AH147" s="2576"/>
      <c r="AI147" s="1085"/>
      <c r="AJ147" s="2580"/>
      <c r="AK147" s="1086">
        <v>42750</v>
      </c>
      <c r="AL147" s="1087">
        <v>42993</v>
      </c>
      <c r="AM147" s="2526"/>
    </row>
    <row r="148" spans="1:39" s="513" customFormat="1" ht="29.25" customHeight="1" x14ac:dyDescent="0.2">
      <c r="A148" s="944">
        <v>5</v>
      </c>
      <c r="B148" s="567" t="s">
        <v>122</v>
      </c>
      <c r="C148" s="567"/>
      <c r="D148" s="567"/>
      <c r="E148" s="567"/>
      <c r="F148" s="567"/>
      <c r="G148" s="567"/>
      <c r="H148" s="567"/>
      <c r="I148" s="567"/>
      <c r="J148" s="567"/>
      <c r="K148" s="945"/>
      <c r="L148" s="567"/>
      <c r="M148" s="567"/>
      <c r="N148" s="567"/>
      <c r="O148" s="567"/>
      <c r="P148" s="568"/>
      <c r="Q148" s="946"/>
      <c r="R148" s="947"/>
      <c r="S148" s="568"/>
      <c r="T148" s="945"/>
      <c r="U148" s="945"/>
      <c r="V148" s="948"/>
      <c r="W148" s="948"/>
      <c r="X148" s="1088"/>
      <c r="Y148" s="948"/>
      <c r="Z148" s="948"/>
      <c r="AA148" s="948"/>
      <c r="AB148" s="948"/>
      <c r="AC148" s="948"/>
      <c r="AD148" s="948"/>
      <c r="AE148" s="948"/>
      <c r="AF148" s="948"/>
      <c r="AG148" s="948"/>
      <c r="AH148" s="948"/>
      <c r="AI148" s="948"/>
      <c r="AJ148" s="948"/>
      <c r="AK148" s="948"/>
      <c r="AL148" s="948"/>
      <c r="AM148" s="1089"/>
    </row>
    <row r="149" spans="1:39" s="153" customFormat="1" ht="26.25" customHeight="1" x14ac:dyDescent="0.2">
      <c r="A149" s="2346"/>
      <c r="B149" s="2346"/>
      <c r="C149" s="2347"/>
      <c r="D149" s="951">
        <v>26</v>
      </c>
      <c r="E149" s="579" t="s">
        <v>215</v>
      </c>
      <c r="F149" s="579"/>
      <c r="G149" s="579"/>
      <c r="H149" s="579"/>
      <c r="I149" s="579"/>
      <c r="J149" s="579"/>
      <c r="K149" s="952"/>
      <c r="L149" s="579"/>
      <c r="M149" s="579"/>
      <c r="N149" s="579"/>
      <c r="O149" s="579"/>
      <c r="P149" s="580"/>
      <c r="Q149" s="953"/>
      <c r="R149" s="954"/>
      <c r="S149" s="580"/>
      <c r="T149" s="952"/>
      <c r="U149" s="952"/>
      <c r="V149" s="955"/>
      <c r="W149" s="955"/>
      <c r="X149" s="1013"/>
      <c r="Y149" s="955"/>
      <c r="Z149" s="955"/>
      <c r="AA149" s="955"/>
      <c r="AB149" s="955"/>
      <c r="AC149" s="955"/>
      <c r="AD149" s="955"/>
      <c r="AE149" s="955"/>
      <c r="AF149" s="955"/>
      <c r="AG149" s="955"/>
      <c r="AH149" s="955"/>
      <c r="AI149" s="955"/>
      <c r="AJ149" s="955"/>
      <c r="AK149" s="955"/>
      <c r="AL149" s="955"/>
      <c r="AM149" s="586"/>
    </row>
    <row r="150" spans="1:39" s="153" customFormat="1" ht="25.5" customHeight="1" x14ac:dyDescent="0.2">
      <c r="A150" s="2349"/>
      <c r="B150" s="2349"/>
      <c r="C150" s="2350"/>
      <c r="D150" s="1007"/>
      <c r="E150" s="1077"/>
      <c r="F150" s="1078"/>
      <c r="G150" s="959">
        <v>84</v>
      </c>
      <c r="H150" s="81" t="s">
        <v>1330</v>
      </c>
      <c r="I150" s="81"/>
      <c r="J150" s="81"/>
      <c r="K150" s="960"/>
      <c r="L150" s="81"/>
      <c r="M150" s="81"/>
      <c r="N150" s="81"/>
      <c r="O150" s="81"/>
      <c r="P150" s="81"/>
      <c r="Q150" s="961"/>
      <c r="R150" s="962"/>
      <c r="S150" s="56"/>
      <c r="T150" s="960"/>
      <c r="U150" s="960"/>
      <c r="V150" s="963"/>
      <c r="W150" s="963"/>
      <c r="X150" s="1017"/>
      <c r="Y150" s="963"/>
      <c r="Z150" s="963"/>
      <c r="AA150" s="963"/>
      <c r="AB150" s="963"/>
      <c r="AC150" s="963"/>
      <c r="AD150" s="963"/>
      <c r="AE150" s="963"/>
      <c r="AF150" s="963"/>
      <c r="AG150" s="963"/>
      <c r="AH150" s="963"/>
      <c r="AI150" s="963"/>
      <c r="AJ150" s="963"/>
      <c r="AK150" s="963"/>
      <c r="AL150" s="963"/>
      <c r="AM150" s="1018"/>
    </row>
    <row r="151" spans="1:39" ht="42.75" customHeight="1" x14ac:dyDescent="0.2">
      <c r="A151" s="2349"/>
      <c r="B151" s="2349"/>
      <c r="C151" s="2350"/>
      <c r="D151" s="2573"/>
      <c r="E151" s="2574"/>
      <c r="F151" s="2574"/>
      <c r="G151" s="2438"/>
      <c r="H151" s="2465"/>
      <c r="I151" s="2466"/>
      <c r="J151" s="2360">
        <v>247</v>
      </c>
      <c r="K151" s="2356" t="s">
        <v>1331</v>
      </c>
      <c r="L151" s="2390" t="s">
        <v>1332</v>
      </c>
      <c r="M151" s="2477">
        <v>1</v>
      </c>
      <c r="N151" s="2408" t="s">
        <v>1333</v>
      </c>
      <c r="O151" s="2504" t="s">
        <v>1334</v>
      </c>
      <c r="P151" s="2356" t="s">
        <v>1335</v>
      </c>
      <c r="Q151" s="2510">
        <v>1</v>
      </c>
      <c r="R151" s="2492">
        <f>SUM(V151:V155)</f>
        <v>40000000</v>
      </c>
      <c r="S151" s="2507" t="s">
        <v>1336</v>
      </c>
      <c r="T151" s="2363" t="s">
        <v>1337</v>
      </c>
      <c r="U151" s="981" t="s">
        <v>1338</v>
      </c>
      <c r="V151" s="992">
        <v>27000000</v>
      </c>
      <c r="W151" s="2582">
        <v>20</v>
      </c>
      <c r="X151" s="1090"/>
      <c r="Y151" s="2585"/>
      <c r="Z151" s="2575"/>
      <c r="AA151" s="2575"/>
      <c r="AB151" s="2575"/>
      <c r="AC151" s="2360">
        <v>700</v>
      </c>
      <c r="AD151" s="2575"/>
      <c r="AE151" s="2575"/>
      <c r="AF151" s="2575"/>
      <c r="AG151" s="1081"/>
      <c r="AH151" s="2575"/>
      <c r="AI151" s="1081"/>
      <c r="AJ151" s="2578"/>
      <c r="AK151" s="1031">
        <v>42750</v>
      </c>
      <c r="AL151" s="1036">
        <v>42993</v>
      </c>
      <c r="AM151" s="2524" t="s">
        <v>1302</v>
      </c>
    </row>
    <row r="152" spans="1:39" ht="24" customHeight="1" x14ac:dyDescent="0.2">
      <c r="A152" s="2349"/>
      <c r="B152" s="2349"/>
      <c r="C152" s="2350"/>
      <c r="D152" s="2573"/>
      <c r="E152" s="2574"/>
      <c r="F152" s="2574"/>
      <c r="G152" s="2457"/>
      <c r="H152" s="2467"/>
      <c r="I152" s="2468"/>
      <c r="J152" s="2361"/>
      <c r="K152" s="2357"/>
      <c r="L152" s="2391"/>
      <c r="M152" s="2478"/>
      <c r="N152" s="2427"/>
      <c r="O152" s="2505"/>
      <c r="P152" s="2357"/>
      <c r="Q152" s="2581"/>
      <c r="R152" s="2493"/>
      <c r="S152" s="2508"/>
      <c r="T152" s="2364"/>
      <c r="U152" s="972" t="s">
        <v>1339</v>
      </c>
      <c r="V152" s="992">
        <v>6000000</v>
      </c>
      <c r="W152" s="2583"/>
      <c r="X152" s="1091"/>
      <c r="Y152" s="2586"/>
      <c r="Z152" s="2576"/>
      <c r="AA152" s="2576"/>
      <c r="AB152" s="2576"/>
      <c r="AC152" s="2361"/>
      <c r="AD152" s="2576"/>
      <c r="AE152" s="2576"/>
      <c r="AF152" s="2576"/>
      <c r="AG152" s="1085"/>
      <c r="AH152" s="2576"/>
      <c r="AI152" s="1085"/>
      <c r="AJ152" s="2579"/>
      <c r="AK152" s="1031">
        <v>42809</v>
      </c>
      <c r="AL152" s="1036">
        <v>42967</v>
      </c>
      <c r="AM152" s="2525"/>
    </row>
    <row r="153" spans="1:39" ht="71.25" x14ac:dyDescent="0.2">
      <c r="A153" s="2349"/>
      <c r="B153" s="2349"/>
      <c r="C153" s="2350"/>
      <c r="D153" s="2573"/>
      <c r="E153" s="2574"/>
      <c r="F153" s="2574"/>
      <c r="G153" s="2457"/>
      <c r="H153" s="2467"/>
      <c r="I153" s="2468"/>
      <c r="J153" s="2361"/>
      <c r="K153" s="2357"/>
      <c r="L153" s="2391"/>
      <c r="M153" s="2478"/>
      <c r="N153" s="2427"/>
      <c r="O153" s="2505"/>
      <c r="P153" s="2357"/>
      <c r="Q153" s="2581"/>
      <c r="R153" s="2493"/>
      <c r="S153" s="2508"/>
      <c r="T153" s="2364"/>
      <c r="U153" s="972" t="s">
        <v>1340</v>
      </c>
      <c r="V153" s="992">
        <v>3000000</v>
      </c>
      <c r="W153" s="2583"/>
      <c r="X153" s="987" t="s">
        <v>185</v>
      </c>
      <c r="Y153" s="2586"/>
      <c r="Z153" s="2576"/>
      <c r="AA153" s="2576"/>
      <c r="AB153" s="2576"/>
      <c r="AC153" s="2361"/>
      <c r="AD153" s="2576"/>
      <c r="AE153" s="2576"/>
      <c r="AF153" s="2576"/>
      <c r="AG153" s="1085"/>
      <c r="AH153" s="2576"/>
      <c r="AI153" s="1085"/>
      <c r="AJ153" s="2579"/>
      <c r="AK153" s="1031">
        <v>42809</v>
      </c>
      <c r="AL153" s="1036">
        <v>42967</v>
      </c>
      <c r="AM153" s="2525"/>
    </row>
    <row r="154" spans="1:39" ht="71.25" x14ac:dyDescent="0.2">
      <c r="A154" s="2349"/>
      <c r="B154" s="2349"/>
      <c r="C154" s="2350"/>
      <c r="D154" s="2573"/>
      <c r="E154" s="2574"/>
      <c r="F154" s="2574"/>
      <c r="G154" s="2457"/>
      <c r="H154" s="2467"/>
      <c r="I154" s="2468"/>
      <c r="J154" s="2361"/>
      <c r="K154" s="2357"/>
      <c r="L154" s="2391"/>
      <c r="M154" s="2478"/>
      <c r="N154" s="2427"/>
      <c r="O154" s="2505"/>
      <c r="P154" s="2357"/>
      <c r="Q154" s="2581"/>
      <c r="R154" s="2493"/>
      <c r="S154" s="2508"/>
      <c r="T154" s="2364"/>
      <c r="U154" s="972" t="s">
        <v>1341</v>
      </c>
      <c r="V154" s="992">
        <v>3000000</v>
      </c>
      <c r="W154" s="2583"/>
      <c r="X154" s="987"/>
      <c r="Y154" s="2586"/>
      <c r="Z154" s="2576"/>
      <c r="AA154" s="2576"/>
      <c r="AB154" s="2576"/>
      <c r="AC154" s="2361"/>
      <c r="AD154" s="2576"/>
      <c r="AE154" s="2576"/>
      <c r="AF154" s="2576"/>
      <c r="AG154" s="1085"/>
      <c r="AH154" s="2576"/>
      <c r="AI154" s="1085"/>
      <c r="AJ154" s="2579"/>
      <c r="AK154" s="1031">
        <v>42809</v>
      </c>
      <c r="AL154" s="1036">
        <v>42967</v>
      </c>
      <c r="AM154" s="2525"/>
    </row>
    <row r="155" spans="1:39" ht="27.75" customHeight="1" x14ac:dyDescent="0.2">
      <c r="A155" s="2352"/>
      <c r="B155" s="2352"/>
      <c r="C155" s="2353"/>
      <c r="D155" s="2573"/>
      <c r="E155" s="2574"/>
      <c r="F155" s="2574"/>
      <c r="G155" s="2439"/>
      <c r="H155" s="2469"/>
      <c r="I155" s="2470"/>
      <c r="J155" s="2473"/>
      <c r="K155" s="2362"/>
      <c r="L155" s="2392"/>
      <c r="M155" s="2479"/>
      <c r="N155" s="2409"/>
      <c r="O155" s="2506"/>
      <c r="P155" s="2362"/>
      <c r="Q155" s="2511"/>
      <c r="R155" s="2494"/>
      <c r="S155" s="2509"/>
      <c r="T155" s="2365"/>
      <c r="U155" s="972" t="s">
        <v>1342</v>
      </c>
      <c r="V155" s="992">
        <v>1000000</v>
      </c>
      <c r="W155" s="2584"/>
      <c r="X155" s="1092"/>
      <c r="Y155" s="2587"/>
      <c r="Z155" s="2577"/>
      <c r="AA155" s="2577"/>
      <c r="AB155" s="2577"/>
      <c r="AC155" s="2473"/>
      <c r="AD155" s="2577"/>
      <c r="AE155" s="2577"/>
      <c r="AF155" s="2577"/>
      <c r="AG155" s="1093"/>
      <c r="AH155" s="2577"/>
      <c r="AI155" s="1093"/>
      <c r="AJ155" s="2580"/>
      <c r="AK155" s="1031">
        <v>42750</v>
      </c>
      <c r="AL155" s="1036">
        <v>42993</v>
      </c>
      <c r="AM155" s="2526"/>
    </row>
    <row r="156" spans="1:39" ht="26.25" customHeight="1" x14ac:dyDescent="0.2">
      <c r="A156" s="1094"/>
      <c r="B156" s="1095"/>
      <c r="C156" s="1095"/>
      <c r="D156" s="1095"/>
      <c r="E156" s="1095"/>
      <c r="F156" s="1095"/>
      <c r="G156" s="1095"/>
      <c r="H156" s="1095"/>
      <c r="I156" s="1095"/>
      <c r="J156" s="1095"/>
      <c r="K156" s="1096"/>
      <c r="L156" s="1097"/>
      <c r="M156" s="1097"/>
      <c r="N156" s="1097"/>
      <c r="O156" s="1098"/>
      <c r="P156" s="1099"/>
      <c r="Q156" s="1100" t="s">
        <v>120</v>
      </c>
      <c r="R156" s="1101">
        <f>SUM(R14:R155)</f>
        <v>11363981388</v>
      </c>
      <c r="S156" s="1102"/>
      <c r="T156" s="1103"/>
      <c r="U156" s="1104"/>
      <c r="V156" s="1101">
        <f>SUM(V14:V155)</f>
        <v>11363981388</v>
      </c>
      <c r="W156" s="1105"/>
      <c r="X156" s="1106"/>
      <c r="Y156" s="1095"/>
      <c r="Z156" s="1095"/>
      <c r="AA156" s="1095"/>
      <c r="AB156" s="1095"/>
      <c r="AC156" s="1095"/>
      <c r="AD156" s="1095"/>
      <c r="AE156" s="1095"/>
      <c r="AF156" s="1095"/>
      <c r="AG156" s="1098"/>
      <c r="AH156" s="1095"/>
      <c r="AI156" s="1098"/>
      <c r="AJ156" s="1098"/>
      <c r="AK156" s="1107"/>
      <c r="AL156" s="1108"/>
      <c r="AM156" s="1109"/>
    </row>
    <row r="157" spans="1:39" x14ac:dyDescent="0.2">
      <c r="A157" s="1110"/>
      <c r="B157" s="1110"/>
      <c r="C157" s="1110"/>
      <c r="D157" s="1110"/>
      <c r="E157" s="1110"/>
      <c r="F157" s="1110"/>
      <c r="G157" s="1110"/>
      <c r="H157" s="1110"/>
      <c r="I157" s="1110"/>
      <c r="J157" s="1110"/>
      <c r="K157" s="1111"/>
      <c r="L157" s="1112"/>
      <c r="M157" s="1112"/>
      <c r="N157" s="1112"/>
      <c r="O157" s="1113"/>
      <c r="P157" s="1114"/>
      <c r="Q157" s="1115"/>
      <c r="R157" s="1112"/>
      <c r="S157" s="1112"/>
      <c r="T157" s="1111"/>
      <c r="U157" s="1111"/>
      <c r="V157" s="1116"/>
      <c r="W157" s="1117"/>
      <c r="X157" s="1118"/>
      <c r="Y157" s="1110"/>
      <c r="Z157" s="1110"/>
      <c r="AA157" s="1110"/>
      <c r="AB157" s="1110"/>
      <c r="AC157" s="1110"/>
      <c r="AD157" s="1110"/>
      <c r="AE157" s="1110"/>
      <c r="AF157" s="1110"/>
      <c r="AG157" s="1113"/>
      <c r="AH157" s="1110"/>
      <c r="AI157" s="1113"/>
      <c r="AJ157" s="1113"/>
      <c r="AK157" s="1119"/>
      <c r="AL157" s="1120"/>
      <c r="AM157" s="1121"/>
    </row>
    <row r="158" spans="1:39" x14ac:dyDescent="0.2">
      <c r="A158" s="1110"/>
      <c r="B158" s="1110"/>
      <c r="C158" s="1110"/>
      <c r="D158" s="1110"/>
      <c r="E158" s="1110"/>
      <c r="F158" s="1110"/>
      <c r="G158" s="1110"/>
      <c r="H158" s="1110"/>
      <c r="I158" s="1110"/>
      <c r="J158" s="1110"/>
      <c r="K158" s="1111"/>
      <c r="L158" s="1112"/>
      <c r="M158" s="1112"/>
      <c r="N158" s="1112"/>
      <c r="O158" s="1113"/>
      <c r="P158" s="1114"/>
      <c r="Q158" s="1115"/>
      <c r="R158" s="1112"/>
      <c r="S158" s="1112"/>
      <c r="T158" s="1111"/>
      <c r="U158" s="1111"/>
      <c r="V158" s="1116"/>
      <c r="W158" s="1117"/>
      <c r="X158" s="1118"/>
      <c r="Y158" s="1110"/>
      <c r="Z158" s="1110"/>
      <c r="AA158" s="1110"/>
      <c r="AB158" s="1110"/>
      <c r="AC158" s="1110"/>
      <c r="AD158" s="1110"/>
      <c r="AE158" s="1110"/>
      <c r="AF158" s="1110"/>
      <c r="AG158" s="1113"/>
      <c r="AH158" s="1110"/>
      <c r="AI158" s="1113"/>
      <c r="AJ158" s="1113"/>
      <c r="AK158" s="1119"/>
      <c r="AL158" s="1120"/>
      <c r="AM158" s="1121"/>
    </row>
    <row r="159" spans="1:39" x14ac:dyDescent="0.2">
      <c r="A159" s="1110"/>
      <c r="B159" s="1110"/>
      <c r="C159" s="1110"/>
      <c r="D159" s="1110"/>
      <c r="E159" s="1110"/>
      <c r="F159" s="1110"/>
      <c r="G159" s="1110"/>
      <c r="H159" s="1110"/>
      <c r="I159" s="1110"/>
      <c r="J159" s="1110"/>
      <c r="K159" s="1122"/>
      <c r="L159" s="1112"/>
      <c r="M159" s="1112"/>
      <c r="N159" s="1112"/>
      <c r="O159" s="1113"/>
      <c r="P159" s="1114"/>
      <c r="Q159" s="1115"/>
      <c r="R159" s="1112"/>
      <c r="S159" s="1112"/>
      <c r="T159" s="1111"/>
      <c r="U159" s="1111"/>
      <c r="V159" s="1116"/>
      <c r="W159" s="1117"/>
      <c r="X159" s="1118"/>
      <c r="Y159" s="1110"/>
      <c r="Z159" s="1110"/>
      <c r="AA159" s="1110"/>
      <c r="AB159" s="1110"/>
      <c r="AC159" s="1110"/>
      <c r="AD159" s="1110"/>
      <c r="AE159" s="1110"/>
      <c r="AF159" s="1110"/>
      <c r="AG159" s="1113"/>
      <c r="AH159" s="1110"/>
      <c r="AI159" s="1113"/>
      <c r="AJ159" s="1113"/>
      <c r="AK159" s="1119"/>
      <c r="AL159" s="1120"/>
      <c r="AM159" s="1121"/>
    </row>
    <row r="160" spans="1:39" x14ac:dyDescent="0.2">
      <c r="A160" s="1110"/>
      <c r="B160" s="1110"/>
      <c r="C160" s="1110"/>
      <c r="D160" s="1110"/>
      <c r="E160" s="1110"/>
      <c r="F160" s="1110"/>
      <c r="G160" s="1110"/>
      <c r="H160" s="1110"/>
      <c r="I160" s="1110"/>
      <c r="J160" s="1110"/>
      <c r="K160" s="1111"/>
      <c r="L160" s="1112"/>
      <c r="M160" s="1112"/>
      <c r="N160" s="1112"/>
      <c r="O160" s="1113"/>
      <c r="P160" s="1114"/>
      <c r="Q160" s="1115"/>
      <c r="R160" s="1112"/>
      <c r="S160" s="1112"/>
      <c r="T160" s="1111"/>
      <c r="U160" s="1111"/>
      <c r="V160" s="1116"/>
      <c r="W160" s="1117"/>
      <c r="X160" s="1118"/>
      <c r="Y160" s="1110"/>
      <c r="Z160" s="1110"/>
      <c r="AA160" s="1110"/>
      <c r="AB160" s="1110"/>
      <c r="AC160" s="1110"/>
      <c r="AD160" s="1110"/>
      <c r="AE160" s="1110"/>
      <c r="AF160" s="1110"/>
      <c r="AG160" s="1113"/>
      <c r="AH160" s="1110"/>
      <c r="AI160" s="1113"/>
      <c r="AJ160" s="1113"/>
      <c r="AK160" s="1119"/>
      <c r="AL160" s="1120"/>
      <c r="AM160" s="1121"/>
    </row>
    <row r="161" spans="1:39" x14ac:dyDescent="0.2">
      <c r="W161" s="1127"/>
      <c r="AJ161" s="966"/>
    </row>
    <row r="162" spans="1:39" s="1129" customFormat="1" x14ac:dyDescent="0.2">
      <c r="A162" s="943"/>
      <c r="B162" s="943"/>
      <c r="C162" s="943"/>
      <c r="D162" s="943"/>
      <c r="E162" s="943"/>
      <c r="F162" s="943"/>
      <c r="G162" s="943"/>
      <c r="H162" s="943"/>
      <c r="I162" s="943"/>
      <c r="J162" s="943"/>
      <c r="K162" s="1123"/>
      <c r="L162" s="970"/>
      <c r="M162" s="970"/>
      <c r="N162" s="970"/>
      <c r="O162" s="966"/>
      <c r="P162" s="1124"/>
      <c r="Q162" s="1125"/>
      <c r="R162" s="970"/>
      <c r="S162" s="970"/>
      <c r="T162" s="1123"/>
      <c r="U162" s="1123"/>
      <c r="V162" s="1126"/>
      <c r="W162" s="1132"/>
      <c r="X162" s="1128"/>
      <c r="Y162" s="943"/>
      <c r="Z162" s="943"/>
      <c r="AA162" s="943"/>
      <c r="AB162" s="943"/>
      <c r="AC162" s="943"/>
      <c r="AD162" s="943"/>
      <c r="AE162" s="943"/>
      <c r="AF162" s="943"/>
      <c r="AG162" s="966"/>
      <c r="AH162" s="943"/>
      <c r="AI162" s="966"/>
      <c r="AJ162" s="966"/>
      <c r="AL162" s="1130"/>
      <c r="AM162" s="1131"/>
    </row>
    <row r="163" spans="1:39" s="1129" customFormat="1" x14ac:dyDescent="0.2">
      <c r="A163" s="943"/>
      <c r="B163" s="943"/>
      <c r="C163" s="943"/>
      <c r="D163" s="943"/>
      <c r="E163" s="943"/>
      <c r="F163" s="943"/>
      <c r="G163" s="943"/>
      <c r="H163" s="943"/>
      <c r="I163" s="943"/>
      <c r="J163" s="943"/>
      <c r="K163" s="1123"/>
      <c r="L163" s="970"/>
      <c r="M163" s="970"/>
      <c r="N163" s="970"/>
      <c r="O163" s="966"/>
      <c r="P163" s="1124"/>
      <c r="Q163" s="1125"/>
      <c r="R163" s="970"/>
      <c r="S163" s="970"/>
      <c r="T163" s="1123"/>
      <c r="U163" s="1123"/>
      <c r="V163" s="1126"/>
      <c r="W163" s="1132"/>
      <c r="X163" s="1128"/>
      <c r="Y163" s="943"/>
      <c r="Z163" s="943"/>
      <c r="AA163" s="943"/>
      <c r="AB163" s="943"/>
      <c r="AC163" s="943"/>
      <c r="AD163" s="943"/>
      <c r="AE163" s="943"/>
      <c r="AF163" s="943"/>
      <c r="AG163" s="966"/>
      <c r="AH163" s="943"/>
      <c r="AI163" s="966"/>
      <c r="AJ163" s="966"/>
      <c r="AL163" s="1130"/>
      <c r="AM163" s="1131"/>
    </row>
    <row r="164" spans="1:39" s="1129" customFormat="1" x14ac:dyDescent="0.2">
      <c r="A164" s="943"/>
      <c r="B164" s="943"/>
      <c r="C164" s="943"/>
      <c r="D164" s="943"/>
      <c r="E164" s="943"/>
      <c r="F164" s="943"/>
      <c r="G164" s="943"/>
      <c r="H164" s="943"/>
      <c r="I164" s="943"/>
      <c r="J164" s="943"/>
      <c r="K164" s="1123"/>
      <c r="L164" s="970"/>
      <c r="M164" s="970"/>
      <c r="N164" s="970"/>
      <c r="O164" s="966"/>
      <c r="P164" s="1124"/>
      <c r="Q164" s="1125"/>
      <c r="R164" s="970"/>
      <c r="S164" s="970"/>
      <c r="T164" s="1123"/>
      <c r="U164" s="1123"/>
      <c r="V164" s="1126"/>
      <c r="W164" s="1132"/>
      <c r="X164" s="1128"/>
      <c r="Y164" s="943"/>
      <c r="Z164" s="943"/>
      <c r="AA164" s="943"/>
      <c r="AB164" s="943"/>
      <c r="AC164" s="943"/>
      <c r="AD164" s="943"/>
      <c r="AE164" s="943"/>
      <c r="AF164" s="943"/>
      <c r="AG164" s="966"/>
      <c r="AH164" s="943"/>
      <c r="AI164" s="966"/>
      <c r="AJ164" s="966"/>
      <c r="AL164" s="1130"/>
      <c r="AM164" s="1131"/>
    </row>
    <row r="165" spans="1:39" s="1129" customFormat="1" ht="15" x14ac:dyDescent="0.25">
      <c r="A165" s="943"/>
      <c r="B165" s="943"/>
      <c r="C165" s="943"/>
      <c r="D165" s="1730" t="s">
        <v>1944</v>
      </c>
      <c r="E165" s="1731"/>
      <c r="F165" s="1731"/>
      <c r="G165" s="1731"/>
      <c r="H165" s="943"/>
      <c r="I165" s="943"/>
      <c r="J165" s="943"/>
      <c r="K165" s="1123"/>
      <c r="L165" s="970"/>
      <c r="M165" s="970"/>
      <c r="N165" s="970"/>
      <c r="O165" s="966"/>
      <c r="P165" s="1124"/>
      <c r="Q165" s="1125"/>
      <c r="R165" s="970"/>
      <c r="S165" s="970"/>
      <c r="T165" s="1123"/>
      <c r="U165" s="1123"/>
      <c r="V165" s="1126"/>
      <c r="W165" s="1132"/>
      <c r="X165" s="1128"/>
      <c r="Y165" s="943"/>
      <c r="Z165" s="943"/>
      <c r="AA165" s="943"/>
      <c r="AB165" s="943"/>
      <c r="AC165" s="943"/>
      <c r="AD165" s="943"/>
      <c r="AE165" s="943"/>
      <c r="AF165" s="943"/>
      <c r="AG165" s="966"/>
      <c r="AH165" s="943"/>
      <c r="AI165" s="966"/>
      <c r="AJ165" s="966"/>
      <c r="AL165" s="1130"/>
      <c r="AM165" s="1131"/>
    </row>
    <row r="166" spans="1:39" s="1129" customFormat="1" x14ac:dyDescent="0.2">
      <c r="A166" s="943"/>
      <c r="B166" s="943"/>
      <c r="C166" s="943"/>
      <c r="D166" s="943" t="s">
        <v>1945</v>
      </c>
      <c r="E166" s="943"/>
      <c r="F166" s="943"/>
      <c r="G166" s="943"/>
      <c r="H166" s="943"/>
      <c r="I166" s="943"/>
      <c r="J166" s="943"/>
      <c r="K166" s="1123"/>
      <c r="L166" s="970"/>
      <c r="M166" s="970"/>
      <c r="N166" s="970"/>
      <c r="O166" s="966"/>
      <c r="P166" s="1124"/>
      <c r="Q166" s="1125"/>
      <c r="R166" s="970"/>
      <c r="S166" s="970"/>
      <c r="T166" s="1123"/>
      <c r="U166" s="1123"/>
      <c r="V166" s="1126"/>
      <c r="W166" s="1132"/>
      <c r="X166" s="1128"/>
      <c r="Y166" s="943"/>
      <c r="Z166" s="943"/>
      <c r="AA166" s="943"/>
      <c r="AB166" s="943"/>
      <c r="AC166" s="943"/>
      <c r="AD166" s="943"/>
      <c r="AE166" s="943"/>
      <c r="AF166" s="943"/>
      <c r="AG166" s="966"/>
      <c r="AH166" s="943"/>
      <c r="AI166" s="966"/>
      <c r="AJ166" s="966"/>
      <c r="AL166" s="1130"/>
      <c r="AM166" s="1131"/>
    </row>
    <row r="167" spans="1:39" s="1129" customFormat="1" x14ac:dyDescent="0.2">
      <c r="A167" s="943"/>
      <c r="B167" s="943"/>
      <c r="C167" s="943"/>
      <c r="D167" s="943"/>
      <c r="E167" s="943"/>
      <c r="F167" s="943"/>
      <c r="G167" s="943"/>
      <c r="H167" s="943"/>
      <c r="I167" s="943"/>
      <c r="J167" s="943"/>
      <c r="K167" s="1123"/>
      <c r="L167" s="970"/>
      <c r="M167" s="970"/>
      <c r="N167" s="970"/>
      <c r="O167" s="966"/>
      <c r="P167" s="1124"/>
      <c r="Q167" s="1125"/>
      <c r="R167" s="970"/>
      <c r="S167" s="970"/>
      <c r="T167" s="1123"/>
      <c r="U167" s="1123"/>
      <c r="V167" s="1126"/>
      <c r="W167" s="1132"/>
      <c r="X167" s="1128"/>
      <c r="Y167" s="943"/>
      <c r="Z167" s="943"/>
      <c r="AA167" s="943"/>
      <c r="AB167" s="943"/>
      <c r="AC167" s="943"/>
      <c r="AD167" s="943"/>
      <c r="AE167" s="943"/>
      <c r="AF167" s="943"/>
      <c r="AG167" s="966"/>
      <c r="AH167" s="943"/>
      <c r="AI167" s="966"/>
      <c r="AJ167" s="966"/>
      <c r="AL167" s="1130"/>
      <c r="AM167" s="1131"/>
    </row>
    <row r="168" spans="1:39" s="1129" customFormat="1" x14ac:dyDescent="0.2">
      <c r="A168" s="943"/>
      <c r="B168" s="943"/>
      <c r="C168" s="943"/>
      <c r="D168" s="943"/>
      <c r="E168" s="943"/>
      <c r="F168" s="943"/>
      <c r="G168" s="943"/>
      <c r="H168" s="943"/>
      <c r="I168" s="943"/>
      <c r="J168" s="943"/>
      <c r="K168" s="1123"/>
      <c r="L168" s="970"/>
      <c r="M168" s="970"/>
      <c r="N168" s="970"/>
      <c r="O168" s="966"/>
      <c r="P168" s="1124"/>
      <c r="Q168" s="1125"/>
      <c r="R168" s="970"/>
      <c r="S168" s="970"/>
      <c r="T168" s="1123"/>
      <c r="U168" s="1123"/>
      <c r="V168" s="1126"/>
      <c r="W168" s="1132"/>
      <c r="X168" s="1128"/>
      <c r="Y168" s="943"/>
      <c r="Z168" s="943"/>
      <c r="AA168" s="943"/>
      <c r="AB168" s="943"/>
      <c r="AC168" s="943"/>
      <c r="AD168" s="943"/>
      <c r="AE168" s="943"/>
      <c r="AF168" s="943"/>
      <c r="AG168" s="966"/>
      <c r="AH168" s="943"/>
      <c r="AI168" s="966"/>
      <c r="AJ168" s="966"/>
      <c r="AL168" s="1130"/>
      <c r="AM168" s="1131"/>
    </row>
    <row r="169" spans="1:39" s="1129" customFormat="1" x14ac:dyDescent="0.2">
      <c r="A169" s="943"/>
      <c r="B169" s="943"/>
      <c r="C169" s="943"/>
      <c r="D169" s="943"/>
      <c r="E169" s="943"/>
      <c r="F169" s="943"/>
      <c r="G169" s="943"/>
      <c r="H169" s="943"/>
      <c r="I169" s="943"/>
      <c r="J169" s="943"/>
      <c r="K169" s="1123"/>
      <c r="L169" s="970"/>
      <c r="M169" s="970"/>
      <c r="N169" s="970"/>
      <c r="O169" s="966"/>
      <c r="P169" s="1124"/>
      <c r="Q169" s="1125"/>
      <c r="R169" s="970"/>
      <c r="S169" s="970"/>
      <c r="T169" s="1123"/>
      <c r="U169" s="1123"/>
      <c r="V169" s="1126"/>
      <c r="W169" s="1132"/>
      <c r="X169" s="1128"/>
      <c r="Y169" s="943"/>
      <c r="Z169" s="943"/>
      <c r="AA169" s="943"/>
      <c r="AB169" s="943"/>
      <c r="AC169" s="943"/>
      <c r="AD169" s="943"/>
      <c r="AE169" s="943"/>
      <c r="AF169" s="943"/>
      <c r="AG169" s="966"/>
      <c r="AH169" s="943"/>
      <c r="AI169" s="966"/>
      <c r="AJ169" s="966"/>
      <c r="AL169" s="1130"/>
      <c r="AM169" s="1131"/>
    </row>
    <row r="170" spans="1:39" s="1129" customFormat="1" x14ac:dyDescent="0.2">
      <c r="A170" s="943"/>
      <c r="B170" s="943"/>
      <c r="C170" s="943"/>
      <c r="D170" s="943"/>
      <c r="E170" s="943"/>
      <c r="F170" s="943"/>
      <c r="G170" s="943"/>
      <c r="H170" s="943"/>
      <c r="I170" s="943"/>
      <c r="J170" s="943"/>
      <c r="K170" s="1123"/>
      <c r="L170" s="970"/>
      <c r="M170" s="970"/>
      <c r="N170" s="970"/>
      <c r="O170" s="966"/>
      <c r="P170" s="1124"/>
      <c r="Q170" s="1125"/>
      <c r="R170" s="970"/>
      <c r="S170" s="970"/>
      <c r="T170" s="1123"/>
      <c r="U170" s="1123"/>
      <c r="V170" s="1126"/>
      <c r="W170" s="1132"/>
      <c r="X170" s="1128"/>
      <c r="Y170" s="943"/>
      <c r="Z170" s="943"/>
      <c r="AA170" s="943"/>
      <c r="AB170" s="943"/>
      <c r="AC170" s="943"/>
      <c r="AD170" s="943"/>
      <c r="AE170" s="943"/>
      <c r="AF170" s="943"/>
      <c r="AG170" s="966"/>
      <c r="AH170" s="943"/>
      <c r="AI170" s="966"/>
      <c r="AJ170" s="966"/>
      <c r="AL170" s="1130"/>
      <c r="AM170" s="1131"/>
    </row>
    <row r="171" spans="1:39" s="1129" customFormat="1" x14ac:dyDescent="0.2">
      <c r="A171" s="943"/>
      <c r="B171" s="943"/>
      <c r="C171" s="943"/>
      <c r="D171" s="943"/>
      <c r="E171" s="943"/>
      <c r="F171" s="943"/>
      <c r="G171" s="943"/>
      <c r="H171" s="943"/>
      <c r="I171" s="943"/>
      <c r="J171" s="943"/>
      <c r="K171" s="1123"/>
      <c r="L171" s="970"/>
      <c r="M171" s="970"/>
      <c r="N171" s="970"/>
      <c r="O171" s="966"/>
      <c r="P171" s="1124"/>
      <c r="Q171" s="1125"/>
      <c r="R171" s="970"/>
      <c r="S171" s="970"/>
      <c r="T171" s="1123"/>
      <c r="U171" s="1123"/>
      <c r="V171" s="1126"/>
      <c r="W171" s="1132"/>
      <c r="X171" s="1128"/>
      <c r="Y171" s="943"/>
      <c r="Z171" s="943"/>
      <c r="AA171" s="943"/>
      <c r="AB171" s="943"/>
      <c r="AC171" s="943"/>
      <c r="AD171" s="943"/>
      <c r="AE171" s="943"/>
      <c r="AF171" s="943"/>
      <c r="AG171" s="966"/>
      <c r="AH171" s="943"/>
      <c r="AI171" s="966"/>
      <c r="AJ171" s="966"/>
      <c r="AL171" s="1130"/>
      <c r="AM171" s="1131"/>
    </row>
    <row r="172" spans="1:39" s="1129" customFormat="1" x14ac:dyDescent="0.2">
      <c r="A172" s="943"/>
      <c r="B172" s="943"/>
      <c r="C172" s="943"/>
      <c r="D172" s="943"/>
      <c r="E172" s="943"/>
      <c r="F172" s="943"/>
      <c r="G172" s="943"/>
      <c r="H172" s="943"/>
      <c r="I172" s="943"/>
      <c r="J172" s="943"/>
      <c r="K172" s="1123"/>
      <c r="L172" s="970"/>
      <c r="M172" s="970"/>
      <c r="N172" s="970"/>
      <c r="O172" s="966"/>
      <c r="P172" s="1124"/>
      <c r="Q172" s="1125"/>
      <c r="R172" s="970"/>
      <c r="S172" s="970"/>
      <c r="T172" s="1123"/>
      <c r="U172" s="1123"/>
      <c r="V172" s="1126"/>
      <c r="W172" s="1132"/>
      <c r="X172" s="1128"/>
      <c r="Y172" s="943"/>
      <c r="Z172" s="943"/>
      <c r="AA172" s="943"/>
      <c r="AB172" s="943"/>
      <c r="AC172" s="943"/>
      <c r="AD172" s="943"/>
      <c r="AE172" s="943"/>
      <c r="AF172" s="943"/>
      <c r="AG172" s="966"/>
      <c r="AH172" s="943"/>
      <c r="AI172" s="966"/>
      <c r="AJ172" s="966"/>
      <c r="AL172" s="1130"/>
      <c r="AM172" s="1131"/>
    </row>
    <row r="173" spans="1:39" s="1129" customFormat="1" x14ac:dyDescent="0.2">
      <c r="A173" s="943"/>
      <c r="B173" s="943"/>
      <c r="C173" s="943"/>
      <c r="D173" s="943"/>
      <c r="E173" s="943"/>
      <c r="F173" s="943"/>
      <c r="G173" s="943"/>
      <c r="H173" s="943"/>
      <c r="I173" s="943"/>
      <c r="J173" s="943"/>
      <c r="K173" s="1123"/>
      <c r="L173" s="970"/>
      <c r="M173" s="970"/>
      <c r="N173" s="970"/>
      <c r="O173" s="966"/>
      <c r="P173" s="1124"/>
      <c r="Q173" s="1125"/>
      <c r="R173" s="970"/>
      <c r="S173" s="970"/>
      <c r="T173" s="1123"/>
      <c r="U173" s="1123"/>
      <c r="V173" s="1126"/>
      <c r="W173" s="1132"/>
      <c r="X173" s="1128"/>
      <c r="Y173" s="943"/>
      <c r="Z173" s="943"/>
      <c r="AA173" s="943"/>
      <c r="AB173" s="943"/>
      <c r="AC173" s="943"/>
      <c r="AD173" s="943"/>
      <c r="AE173" s="943"/>
      <c r="AF173" s="943"/>
      <c r="AG173" s="966"/>
      <c r="AH173" s="943"/>
      <c r="AI173" s="966"/>
      <c r="AJ173" s="966"/>
      <c r="AL173" s="1130"/>
      <c r="AM173" s="1131"/>
    </row>
    <row r="174" spans="1:39" s="1129" customFormat="1" x14ac:dyDescent="0.2">
      <c r="A174" s="943"/>
      <c r="B174" s="943"/>
      <c r="C174" s="943"/>
      <c r="D174" s="943"/>
      <c r="E174" s="943"/>
      <c r="F174" s="943"/>
      <c r="G174" s="943"/>
      <c r="H174" s="943"/>
      <c r="I174" s="943"/>
      <c r="J174" s="943"/>
      <c r="K174" s="1123"/>
      <c r="L174" s="970"/>
      <c r="M174" s="970"/>
      <c r="N174" s="970"/>
      <c r="O174" s="966"/>
      <c r="P174" s="1124"/>
      <c r="Q174" s="1125"/>
      <c r="R174" s="970"/>
      <c r="S174" s="970"/>
      <c r="T174" s="1123"/>
      <c r="U174" s="1123"/>
      <c r="V174" s="1126"/>
      <c r="W174" s="1132"/>
      <c r="X174" s="1128"/>
      <c r="Y174" s="943"/>
      <c r="Z174" s="943"/>
      <c r="AA174" s="943"/>
      <c r="AB174" s="943"/>
      <c r="AC174" s="943"/>
      <c r="AD174" s="943"/>
      <c r="AE174" s="943"/>
      <c r="AF174" s="943"/>
      <c r="AG174" s="966"/>
      <c r="AH174" s="943"/>
      <c r="AI174" s="966"/>
      <c r="AJ174" s="966"/>
      <c r="AL174" s="1130"/>
      <c r="AM174" s="1131"/>
    </row>
    <row r="175" spans="1:39" s="1129" customFormat="1" x14ac:dyDescent="0.2">
      <c r="A175" s="943"/>
      <c r="B175" s="943"/>
      <c r="C175" s="943"/>
      <c r="D175" s="943"/>
      <c r="E175" s="943"/>
      <c r="F175" s="943"/>
      <c r="G175" s="943"/>
      <c r="H175" s="943"/>
      <c r="I175" s="943"/>
      <c r="J175" s="943"/>
      <c r="K175" s="1123"/>
      <c r="L175" s="970"/>
      <c r="M175" s="970"/>
      <c r="N175" s="970"/>
      <c r="O175" s="966"/>
      <c r="P175" s="1124"/>
      <c r="Q175" s="1125"/>
      <c r="R175" s="970"/>
      <c r="S175" s="970"/>
      <c r="T175" s="1123"/>
      <c r="U175" s="1123"/>
      <c r="V175" s="1126"/>
      <c r="W175" s="1132"/>
      <c r="X175" s="1128"/>
      <c r="Y175" s="943"/>
      <c r="Z175" s="943"/>
      <c r="AA175" s="943"/>
      <c r="AB175" s="943"/>
      <c r="AC175" s="943"/>
      <c r="AD175" s="943"/>
      <c r="AE175" s="943"/>
      <c r="AF175" s="943"/>
      <c r="AG175" s="966"/>
      <c r="AH175" s="943"/>
      <c r="AI175" s="966"/>
      <c r="AJ175" s="966"/>
      <c r="AL175" s="1130"/>
      <c r="AM175" s="1131"/>
    </row>
    <row r="176" spans="1:39" s="1129" customFormat="1" x14ac:dyDescent="0.2">
      <c r="A176" s="943"/>
      <c r="B176" s="943"/>
      <c r="C176" s="943"/>
      <c r="D176" s="943"/>
      <c r="E176" s="943"/>
      <c r="F176" s="943"/>
      <c r="G176" s="943"/>
      <c r="H176" s="943"/>
      <c r="I176" s="943"/>
      <c r="J176" s="943"/>
      <c r="K176" s="1123"/>
      <c r="L176" s="970"/>
      <c r="M176" s="970"/>
      <c r="N176" s="970"/>
      <c r="O176" s="966"/>
      <c r="P176" s="1124"/>
      <c r="Q176" s="1125"/>
      <c r="R176" s="970"/>
      <c r="S176" s="970"/>
      <c r="T176" s="1123"/>
      <c r="U176" s="1123"/>
      <c r="V176" s="1126"/>
      <c r="W176" s="1132"/>
      <c r="X176" s="1128"/>
      <c r="Y176" s="943"/>
      <c r="Z176" s="943"/>
      <c r="AA176" s="943"/>
      <c r="AB176" s="943"/>
      <c r="AC176" s="943"/>
      <c r="AD176" s="943"/>
      <c r="AE176" s="943"/>
      <c r="AF176" s="943"/>
      <c r="AG176" s="966"/>
      <c r="AH176" s="943"/>
      <c r="AI176" s="966"/>
      <c r="AJ176" s="966"/>
      <c r="AL176" s="1130"/>
      <c r="AM176" s="1131"/>
    </row>
    <row r="177" spans="1:39" s="1129" customFormat="1" x14ac:dyDescent="0.2">
      <c r="A177" s="943"/>
      <c r="B177" s="943"/>
      <c r="C177" s="943"/>
      <c r="D177" s="943"/>
      <c r="E177" s="943"/>
      <c r="F177" s="943"/>
      <c r="G177" s="943"/>
      <c r="H177" s="943"/>
      <c r="I177" s="943"/>
      <c r="J177" s="943"/>
      <c r="K177" s="1123"/>
      <c r="L177" s="970"/>
      <c r="M177" s="970"/>
      <c r="N177" s="970"/>
      <c r="O177" s="966"/>
      <c r="P177" s="1124"/>
      <c r="Q177" s="1125"/>
      <c r="R177" s="970"/>
      <c r="S177" s="970"/>
      <c r="T177" s="1123"/>
      <c r="U177" s="1123"/>
      <c r="V177" s="1126"/>
      <c r="W177" s="1132"/>
      <c r="X177" s="1128"/>
      <c r="Y177" s="943"/>
      <c r="Z177" s="943"/>
      <c r="AA177" s="943"/>
      <c r="AB177" s="943"/>
      <c r="AC177" s="943"/>
      <c r="AD177" s="943"/>
      <c r="AE177" s="943"/>
      <c r="AF177" s="943"/>
      <c r="AG177" s="966"/>
      <c r="AH177" s="943"/>
      <c r="AI177" s="966"/>
      <c r="AJ177" s="966"/>
      <c r="AL177" s="1130"/>
      <c r="AM177" s="1131"/>
    </row>
    <row r="178" spans="1:39" s="1129" customFormat="1" x14ac:dyDescent="0.2">
      <c r="A178" s="943"/>
      <c r="B178" s="943"/>
      <c r="C178" s="943"/>
      <c r="D178" s="943"/>
      <c r="E178" s="943"/>
      <c r="F178" s="943"/>
      <c r="G178" s="943"/>
      <c r="H178" s="943"/>
      <c r="I178" s="943"/>
      <c r="J178" s="943"/>
      <c r="K178" s="1123"/>
      <c r="L178" s="970"/>
      <c r="M178" s="970"/>
      <c r="N178" s="970"/>
      <c r="O178" s="966"/>
      <c r="P178" s="1124"/>
      <c r="Q178" s="1125"/>
      <c r="R178" s="970"/>
      <c r="S178" s="970"/>
      <c r="T178" s="1123"/>
      <c r="U178" s="1123"/>
      <c r="V178" s="1126"/>
      <c r="W178" s="1132"/>
      <c r="X178" s="1128"/>
      <c r="Y178" s="943"/>
      <c r="Z178" s="943"/>
      <c r="AA178" s="943"/>
      <c r="AB178" s="943"/>
      <c r="AC178" s="943"/>
      <c r="AD178" s="943"/>
      <c r="AE178" s="943"/>
      <c r="AF178" s="943"/>
      <c r="AG178" s="966"/>
      <c r="AH178" s="943"/>
      <c r="AI178" s="966"/>
      <c r="AJ178" s="966"/>
      <c r="AL178" s="1130"/>
      <c r="AM178" s="1131"/>
    </row>
    <row r="179" spans="1:39" s="1129" customFormat="1" x14ac:dyDescent="0.2">
      <c r="A179" s="943"/>
      <c r="B179" s="943"/>
      <c r="C179" s="943"/>
      <c r="D179" s="943"/>
      <c r="E179" s="943"/>
      <c r="F179" s="943"/>
      <c r="G179" s="943"/>
      <c r="H179" s="943"/>
      <c r="I179" s="943"/>
      <c r="J179" s="943"/>
      <c r="K179" s="1123"/>
      <c r="L179" s="970"/>
      <c r="M179" s="970"/>
      <c r="N179" s="970"/>
      <c r="O179" s="966"/>
      <c r="P179" s="1124"/>
      <c r="Q179" s="1125"/>
      <c r="R179" s="970"/>
      <c r="S179" s="970"/>
      <c r="T179" s="1123"/>
      <c r="U179" s="1123"/>
      <c r="V179" s="1126"/>
      <c r="W179" s="1132"/>
      <c r="X179" s="1128"/>
      <c r="Y179" s="943"/>
      <c r="Z179" s="943"/>
      <c r="AA179" s="943"/>
      <c r="AB179" s="943"/>
      <c r="AC179" s="943"/>
      <c r="AD179" s="943"/>
      <c r="AE179" s="943"/>
      <c r="AF179" s="943"/>
      <c r="AG179" s="966"/>
      <c r="AH179" s="943"/>
      <c r="AI179" s="966"/>
      <c r="AJ179" s="966"/>
      <c r="AL179" s="1130"/>
      <c r="AM179" s="1131"/>
    </row>
    <row r="180" spans="1:39" s="1129" customFormat="1" x14ac:dyDescent="0.2">
      <c r="A180" s="943"/>
      <c r="B180" s="943"/>
      <c r="C180" s="943"/>
      <c r="D180" s="943"/>
      <c r="E180" s="943"/>
      <c r="F180" s="943"/>
      <c r="G180" s="943"/>
      <c r="H180" s="943"/>
      <c r="I180" s="943"/>
      <c r="J180" s="943"/>
      <c r="K180" s="1123"/>
      <c r="L180" s="970"/>
      <c r="M180" s="970"/>
      <c r="N180" s="970"/>
      <c r="O180" s="966"/>
      <c r="P180" s="1124"/>
      <c r="Q180" s="1125"/>
      <c r="R180" s="970"/>
      <c r="S180" s="970"/>
      <c r="T180" s="1123"/>
      <c r="U180" s="1123"/>
      <c r="V180" s="1126"/>
      <c r="W180" s="1132"/>
      <c r="X180" s="1128"/>
      <c r="Y180" s="943"/>
      <c r="Z180" s="943"/>
      <c r="AA180" s="943"/>
      <c r="AB180" s="943"/>
      <c r="AC180" s="943"/>
      <c r="AD180" s="943"/>
      <c r="AE180" s="943"/>
      <c r="AF180" s="943"/>
      <c r="AG180" s="966"/>
      <c r="AH180" s="943"/>
      <c r="AI180" s="966"/>
      <c r="AJ180" s="966"/>
      <c r="AL180" s="1130"/>
      <c r="AM180" s="1131"/>
    </row>
    <row r="181" spans="1:39" s="1129" customFormat="1" x14ac:dyDescent="0.2">
      <c r="A181" s="943"/>
      <c r="B181" s="943"/>
      <c r="C181" s="943"/>
      <c r="D181" s="943"/>
      <c r="E181" s="943"/>
      <c r="F181" s="943"/>
      <c r="G181" s="943"/>
      <c r="H181" s="943"/>
      <c r="I181" s="943"/>
      <c r="J181" s="943"/>
      <c r="K181" s="1123"/>
      <c r="L181" s="970"/>
      <c r="M181" s="970"/>
      <c r="N181" s="970"/>
      <c r="O181" s="966"/>
      <c r="P181" s="1124"/>
      <c r="Q181" s="1125"/>
      <c r="R181" s="970"/>
      <c r="S181" s="970"/>
      <c r="T181" s="1123"/>
      <c r="U181" s="1123"/>
      <c r="V181" s="1126"/>
      <c r="W181" s="1132"/>
      <c r="X181" s="1128"/>
      <c r="Y181" s="943"/>
      <c r="Z181" s="943"/>
      <c r="AA181" s="943"/>
      <c r="AB181" s="943"/>
      <c r="AC181" s="943"/>
      <c r="AD181" s="943"/>
      <c r="AE181" s="943"/>
      <c r="AF181" s="943"/>
      <c r="AG181" s="966"/>
      <c r="AH181" s="943"/>
      <c r="AI181" s="966"/>
      <c r="AJ181" s="966"/>
      <c r="AL181" s="1130"/>
      <c r="AM181" s="1131"/>
    </row>
    <row r="182" spans="1:39" s="1129" customFormat="1" x14ac:dyDescent="0.2">
      <c r="A182" s="943"/>
      <c r="B182" s="943"/>
      <c r="C182" s="943"/>
      <c r="D182" s="943"/>
      <c r="E182" s="943"/>
      <c r="F182" s="943"/>
      <c r="G182" s="943"/>
      <c r="H182" s="943"/>
      <c r="I182" s="943"/>
      <c r="J182" s="943"/>
      <c r="K182" s="1123"/>
      <c r="L182" s="970"/>
      <c r="M182" s="970"/>
      <c r="N182" s="970"/>
      <c r="O182" s="966"/>
      <c r="P182" s="1124"/>
      <c r="Q182" s="1125"/>
      <c r="R182" s="970"/>
      <c r="S182" s="970"/>
      <c r="T182" s="1123"/>
      <c r="U182" s="1123"/>
      <c r="V182" s="1126"/>
      <c r="W182" s="1132"/>
      <c r="X182" s="1128"/>
      <c r="Y182" s="943"/>
      <c r="Z182" s="943"/>
      <c r="AA182" s="943"/>
      <c r="AB182" s="943"/>
      <c r="AC182" s="943"/>
      <c r="AD182" s="943"/>
      <c r="AE182" s="943"/>
      <c r="AF182" s="943"/>
      <c r="AG182" s="966"/>
      <c r="AH182" s="943"/>
      <c r="AI182" s="966"/>
      <c r="AJ182" s="966"/>
      <c r="AL182" s="1130"/>
      <c r="AM182" s="1131"/>
    </row>
    <row r="183" spans="1:39" s="1129" customFormat="1" x14ac:dyDescent="0.2">
      <c r="A183" s="943"/>
      <c r="B183" s="943"/>
      <c r="C183" s="943"/>
      <c r="D183" s="943"/>
      <c r="E183" s="943"/>
      <c r="F183" s="943"/>
      <c r="G183" s="943"/>
      <c r="H183" s="943"/>
      <c r="I183" s="943"/>
      <c r="J183" s="943"/>
      <c r="K183" s="1123"/>
      <c r="L183" s="970"/>
      <c r="M183" s="970"/>
      <c r="N183" s="970"/>
      <c r="O183" s="966"/>
      <c r="P183" s="1124"/>
      <c r="Q183" s="1125"/>
      <c r="R183" s="970"/>
      <c r="S183" s="970"/>
      <c r="T183" s="1123"/>
      <c r="U183" s="1123"/>
      <c r="V183" s="1126"/>
      <c r="W183" s="1132"/>
      <c r="X183" s="1128"/>
      <c r="Y183" s="943"/>
      <c r="Z183" s="943"/>
      <c r="AA183" s="943"/>
      <c r="AB183" s="943"/>
      <c r="AC183" s="943"/>
      <c r="AD183" s="943"/>
      <c r="AE183" s="943"/>
      <c r="AF183" s="943"/>
      <c r="AG183" s="966"/>
      <c r="AH183" s="943"/>
      <c r="AI183" s="966"/>
      <c r="AJ183" s="966"/>
      <c r="AL183" s="1130"/>
      <c r="AM183" s="1131"/>
    </row>
    <row r="184" spans="1:39" s="1129" customFormat="1" x14ac:dyDescent="0.2">
      <c r="A184" s="943"/>
      <c r="B184" s="943"/>
      <c r="C184" s="943"/>
      <c r="D184" s="943"/>
      <c r="E184" s="943"/>
      <c r="F184" s="943"/>
      <c r="G184" s="943"/>
      <c r="H184" s="943"/>
      <c r="I184" s="943"/>
      <c r="J184" s="943"/>
      <c r="K184" s="1123"/>
      <c r="L184" s="970"/>
      <c r="M184" s="970"/>
      <c r="N184" s="970"/>
      <c r="O184" s="966"/>
      <c r="P184" s="1124"/>
      <c r="Q184" s="1125"/>
      <c r="R184" s="970"/>
      <c r="S184" s="970"/>
      <c r="T184" s="1123"/>
      <c r="U184" s="1123"/>
      <c r="V184" s="1126"/>
      <c r="W184" s="1132"/>
      <c r="X184" s="1128"/>
      <c r="Y184" s="943"/>
      <c r="Z184" s="943"/>
      <c r="AA184" s="943"/>
      <c r="AB184" s="943"/>
      <c r="AC184" s="943"/>
      <c r="AD184" s="943"/>
      <c r="AE184" s="943"/>
      <c r="AF184" s="943"/>
      <c r="AG184" s="966"/>
      <c r="AH184" s="943"/>
      <c r="AI184" s="966"/>
      <c r="AJ184" s="966"/>
      <c r="AL184" s="1130"/>
      <c r="AM184" s="1131"/>
    </row>
    <row r="185" spans="1:39" s="1129" customFormat="1" x14ac:dyDescent="0.2">
      <c r="A185" s="943"/>
      <c r="B185" s="943"/>
      <c r="C185" s="943"/>
      <c r="D185" s="943"/>
      <c r="E185" s="943"/>
      <c r="F185" s="943"/>
      <c r="G185" s="943"/>
      <c r="H185" s="943"/>
      <c r="I185" s="943"/>
      <c r="J185" s="943"/>
      <c r="K185" s="1123"/>
      <c r="L185" s="970"/>
      <c r="M185" s="970"/>
      <c r="N185" s="970"/>
      <c r="O185" s="966"/>
      <c r="P185" s="1124"/>
      <c r="Q185" s="1125"/>
      <c r="R185" s="970"/>
      <c r="S185" s="970"/>
      <c r="T185" s="1123"/>
      <c r="U185" s="1123"/>
      <c r="V185" s="1126"/>
      <c r="W185" s="1132"/>
      <c r="X185" s="1128"/>
      <c r="Y185" s="943"/>
      <c r="Z185" s="943"/>
      <c r="AA185" s="943"/>
      <c r="AB185" s="943"/>
      <c r="AC185" s="943"/>
      <c r="AD185" s="943"/>
      <c r="AE185" s="943"/>
      <c r="AF185" s="943"/>
      <c r="AG185" s="966"/>
      <c r="AH185" s="943"/>
      <c r="AI185" s="966"/>
      <c r="AJ185" s="966"/>
      <c r="AL185" s="1130"/>
      <c r="AM185" s="1131"/>
    </row>
    <row r="186" spans="1:39" s="1129" customFormat="1" x14ac:dyDescent="0.2">
      <c r="A186" s="943"/>
      <c r="B186" s="943"/>
      <c r="C186" s="943"/>
      <c r="D186" s="943"/>
      <c r="E186" s="943"/>
      <c r="F186" s="943"/>
      <c r="G186" s="943"/>
      <c r="H186" s="943"/>
      <c r="I186" s="943"/>
      <c r="J186" s="943"/>
      <c r="K186" s="1123"/>
      <c r="L186" s="970"/>
      <c r="M186" s="970"/>
      <c r="N186" s="970"/>
      <c r="O186" s="966"/>
      <c r="P186" s="1124"/>
      <c r="Q186" s="1125"/>
      <c r="R186" s="970"/>
      <c r="S186" s="970"/>
      <c r="T186" s="1123"/>
      <c r="U186" s="1123"/>
      <c r="V186" s="1126"/>
      <c r="W186" s="1132"/>
      <c r="X186" s="1128"/>
      <c r="Y186" s="943"/>
      <c r="Z186" s="943"/>
      <c r="AA186" s="943"/>
      <c r="AB186" s="943"/>
      <c r="AC186" s="943"/>
      <c r="AD186" s="943"/>
      <c r="AE186" s="943"/>
      <c r="AF186" s="943"/>
      <c r="AG186" s="966"/>
      <c r="AH186" s="943"/>
      <c r="AI186" s="966"/>
      <c r="AJ186" s="966"/>
      <c r="AL186" s="1130"/>
      <c r="AM186" s="1131"/>
    </row>
    <row r="187" spans="1:39" s="1129" customFormat="1" x14ac:dyDescent="0.2">
      <c r="A187" s="943"/>
      <c r="B187" s="943"/>
      <c r="C187" s="943"/>
      <c r="D187" s="943"/>
      <c r="E187" s="943"/>
      <c r="F187" s="943"/>
      <c r="G187" s="943"/>
      <c r="H187" s="943"/>
      <c r="I187" s="943"/>
      <c r="J187" s="943"/>
      <c r="K187" s="1123"/>
      <c r="L187" s="970"/>
      <c r="M187" s="970"/>
      <c r="N187" s="970"/>
      <c r="O187" s="966"/>
      <c r="P187" s="1124"/>
      <c r="Q187" s="1125"/>
      <c r="R187" s="970"/>
      <c r="S187" s="970"/>
      <c r="T187" s="1123"/>
      <c r="U187" s="1123"/>
      <c r="V187" s="1126"/>
      <c r="W187" s="1132"/>
      <c r="X187" s="1128"/>
      <c r="Y187" s="943"/>
      <c r="Z187" s="943"/>
      <c r="AA187" s="943"/>
      <c r="AB187" s="943"/>
      <c r="AC187" s="943"/>
      <c r="AD187" s="943"/>
      <c r="AE187" s="943"/>
      <c r="AF187" s="943"/>
      <c r="AG187" s="966"/>
      <c r="AH187" s="943"/>
      <c r="AI187" s="966"/>
      <c r="AJ187" s="966"/>
      <c r="AL187" s="1130"/>
      <c r="AM187" s="1131"/>
    </row>
    <row r="188" spans="1:39" s="1129" customFormat="1" x14ac:dyDescent="0.2">
      <c r="A188" s="943"/>
      <c r="B188" s="943"/>
      <c r="C188" s="943"/>
      <c r="D188" s="943"/>
      <c r="E188" s="943"/>
      <c r="F188" s="943"/>
      <c r="G188" s="943"/>
      <c r="H188" s="943"/>
      <c r="I188" s="943"/>
      <c r="J188" s="943"/>
      <c r="K188" s="1123"/>
      <c r="L188" s="970"/>
      <c r="M188" s="970"/>
      <c r="N188" s="970"/>
      <c r="O188" s="966"/>
      <c r="P188" s="1124"/>
      <c r="Q188" s="1125"/>
      <c r="R188" s="970"/>
      <c r="S188" s="970"/>
      <c r="T188" s="1123"/>
      <c r="U188" s="1123"/>
      <c r="V188" s="1126"/>
      <c r="W188" s="1132"/>
      <c r="X188" s="1128"/>
      <c r="Y188" s="943"/>
      <c r="Z188" s="943"/>
      <c r="AA188" s="943"/>
      <c r="AB188" s="943"/>
      <c r="AC188" s="943"/>
      <c r="AD188" s="943"/>
      <c r="AE188" s="943"/>
      <c r="AF188" s="943"/>
      <c r="AG188" s="966"/>
      <c r="AH188" s="943"/>
      <c r="AI188" s="966"/>
      <c r="AJ188" s="966"/>
      <c r="AL188" s="1130"/>
      <c r="AM188" s="1131"/>
    </row>
    <row r="189" spans="1:39" s="1129" customFormat="1" x14ac:dyDescent="0.2">
      <c r="A189" s="943"/>
      <c r="B189" s="943"/>
      <c r="C189" s="943"/>
      <c r="D189" s="943"/>
      <c r="E189" s="943"/>
      <c r="F189" s="943"/>
      <c r="G189" s="943"/>
      <c r="H189" s="943"/>
      <c r="I189" s="943"/>
      <c r="J189" s="943"/>
      <c r="K189" s="1123"/>
      <c r="L189" s="970"/>
      <c r="M189" s="970"/>
      <c r="N189" s="970"/>
      <c r="O189" s="966"/>
      <c r="P189" s="1124"/>
      <c r="Q189" s="1125"/>
      <c r="R189" s="970"/>
      <c r="S189" s="970"/>
      <c r="T189" s="1123"/>
      <c r="U189" s="1123"/>
      <c r="V189" s="1126"/>
      <c r="W189" s="1132"/>
      <c r="X189" s="1128"/>
      <c r="Y189" s="943"/>
      <c r="Z189" s="943"/>
      <c r="AA189" s="943"/>
      <c r="AB189" s="943"/>
      <c r="AC189" s="943"/>
      <c r="AD189" s="943"/>
      <c r="AE189" s="943"/>
      <c r="AF189" s="943"/>
      <c r="AG189" s="966"/>
      <c r="AH189" s="943"/>
      <c r="AI189" s="966"/>
      <c r="AJ189" s="966"/>
      <c r="AL189" s="1130"/>
      <c r="AM189" s="1131"/>
    </row>
    <row r="190" spans="1:39" s="1129" customFormat="1" x14ac:dyDescent="0.2">
      <c r="A190" s="943"/>
      <c r="B190" s="943"/>
      <c r="C190" s="943"/>
      <c r="D190" s="943"/>
      <c r="E190" s="943"/>
      <c r="F190" s="943"/>
      <c r="G190" s="943"/>
      <c r="H190" s="943"/>
      <c r="I190" s="943"/>
      <c r="J190" s="943"/>
      <c r="K190" s="1123"/>
      <c r="L190" s="970"/>
      <c r="M190" s="970"/>
      <c r="N190" s="970"/>
      <c r="O190" s="966"/>
      <c r="P190" s="1124"/>
      <c r="Q190" s="1125"/>
      <c r="R190" s="970"/>
      <c r="S190" s="970"/>
      <c r="T190" s="1123"/>
      <c r="U190" s="1123"/>
      <c r="V190" s="1126"/>
      <c r="W190" s="1132"/>
      <c r="X190" s="1128"/>
      <c r="Y190" s="943"/>
      <c r="Z190" s="943"/>
      <c r="AA190" s="943"/>
      <c r="AB190" s="943"/>
      <c r="AC190" s="943"/>
      <c r="AD190" s="943"/>
      <c r="AE190" s="943"/>
      <c r="AF190" s="943"/>
      <c r="AG190" s="966"/>
      <c r="AH190" s="943"/>
      <c r="AI190" s="966"/>
      <c r="AJ190" s="966"/>
      <c r="AL190" s="1130"/>
      <c r="AM190" s="1131"/>
    </row>
    <row r="191" spans="1:39" s="1129" customFormat="1" x14ac:dyDescent="0.2">
      <c r="A191" s="943"/>
      <c r="B191" s="943"/>
      <c r="C191" s="943"/>
      <c r="D191" s="943"/>
      <c r="E191" s="943"/>
      <c r="F191" s="943"/>
      <c r="G191" s="943"/>
      <c r="H191" s="943"/>
      <c r="I191" s="943"/>
      <c r="J191" s="943"/>
      <c r="K191" s="1123"/>
      <c r="L191" s="970"/>
      <c r="M191" s="970"/>
      <c r="N191" s="970"/>
      <c r="O191" s="966"/>
      <c r="P191" s="1124"/>
      <c r="Q191" s="1125"/>
      <c r="R191" s="970"/>
      <c r="S191" s="970"/>
      <c r="T191" s="1123"/>
      <c r="U191" s="1123"/>
      <c r="V191" s="1126"/>
      <c r="W191" s="1132"/>
      <c r="X191" s="1128"/>
      <c r="Y191" s="943"/>
      <c r="Z191" s="943"/>
      <c r="AA191" s="943"/>
      <c r="AB191" s="943"/>
      <c r="AC191" s="943"/>
      <c r="AD191" s="943"/>
      <c r="AE191" s="943"/>
      <c r="AF191" s="943"/>
      <c r="AG191" s="966"/>
      <c r="AH191" s="943"/>
      <c r="AI191" s="966"/>
      <c r="AJ191" s="966"/>
      <c r="AL191" s="1130"/>
      <c r="AM191" s="1131"/>
    </row>
    <row r="192" spans="1:39" s="1129" customFormat="1" x14ac:dyDescent="0.2">
      <c r="A192" s="943"/>
      <c r="B192" s="943"/>
      <c r="C192" s="943"/>
      <c r="D192" s="943"/>
      <c r="E192" s="943"/>
      <c r="F192" s="943"/>
      <c r="G192" s="943"/>
      <c r="H192" s="943"/>
      <c r="I192" s="943"/>
      <c r="J192" s="943"/>
      <c r="K192" s="1123"/>
      <c r="L192" s="970"/>
      <c r="M192" s="970"/>
      <c r="N192" s="970"/>
      <c r="O192" s="966"/>
      <c r="P192" s="1124"/>
      <c r="Q192" s="1125"/>
      <c r="R192" s="970"/>
      <c r="S192" s="970"/>
      <c r="T192" s="1123"/>
      <c r="U192" s="1123"/>
      <c r="V192" s="1126"/>
      <c r="W192" s="1132"/>
      <c r="X192" s="1128"/>
      <c r="Y192" s="943"/>
      <c r="Z192" s="943"/>
      <c r="AA192" s="943"/>
      <c r="AB192" s="943"/>
      <c r="AC192" s="943"/>
      <c r="AD192" s="943"/>
      <c r="AE192" s="943"/>
      <c r="AF192" s="943"/>
      <c r="AG192" s="966"/>
      <c r="AH192" s="943"/>
      <c r="AI192" s="966"/>
      <c r="AJ192" s="966"/>
      <c r="AL192" s="1130"/>
      <c r="AM192" s="1131"/>
    </row>
    <row r="193" spans="1:39" s="1129" customFormat="1" x14ac:dyDescent="0.2">
      <c r="A193" s="943"/>
      <c r="B193" s="943"/>
      <c r="C193" s="943"/>
      <c r="D193" s="943"/>
      <c r="E193" s="943"/>
      <c r="F193" s="943"/>
      <c r="G193" s="943"/>
      <c r="H193" s="943"/>
      <c r="I193" s="943"/>
      <c r="J193" s="943"/>
      <c r="K193" s="1123"/>
      <c r="L193" s="970"/>
      <c r="M193" s="970"/>
      <c r="N193" s="970"/>
      <c r="O193" s="966"/>
      <c r="P193" s="1124"/>
      <c r="Q193" s="1125"/>
      <c r="R193" s="970"/>
      <c r="S193" s="970"/>
      <c r="T193" s="1123"/>
      <c r="U193" s="1123"/>
      <c r="V193" s="1126"/>
      <c r="W193" s="1132"/>
      <c r="X193" s="1128"/>
      <c r="Y193" s="943"/>
      <c r="Z193" s="943"/>
      <c r="AA193" s="943"/>
      <c r="AB193" s="943"/>
      <c r="AC193" s="943"/>
      <c r="AD193" s="943"/>
      <c r="AE193" s="943"/>
      <c r="AF193" s="943"/>
      <c r="AG193" s="966"/>
      <c r="AH193" s="943"/>
      <c r="AI193" s="966"/>
      <c r="AJ193" s="966"/>
      <c r="AL193" s="1130"/>
      <c r="AM193" s="1131"/>
    </row>
    <row r="194" spans="1:39" s="1129" customFormat="1" x14ac:dyDescent="0.2">
      <c r="A194" s="943"/>
      <c r="B194" s="943"/>
      <c r="C194" s="943"/>
      <c r="D194" s="943"/>
      <c r="E194" s="943"/>
      <c r="F194" s="943"/>
      <c r="G194" s="943"/>
      <c r="H194" s="943"/>
      <c r="I194" s="943"/>
      <c r="J194" s="943"/>
      <c r="K194" s="1123"/>
      <c r="L194" s="970"/>
      <c r="M194" s="970"/>
      <c r="N194" s="970"/>
      <c r="O194" s="966"/>
      <c r="P194" s="1124"/>
      <c r="Q194" s="1125"/>
      <c r="R194" s="970"/>
      <c r="S194" s="970"/>
      <c r="T194" s="1123"/>
      <c r="U194" s="1123"/>
      <c r="V194" s="1126"/>
      <c r="W194" s="1132"/>
      <c r="X194" s="1128"/>
      <c r="Y194" s="943"/>
      <c r="Z194" s="943"/>
      <c r="AA194" s="943"/>
      <c r="AB194" s="943"/>
      <c r="AC194" s="943"/>
      <c r="AD194" s="943"/>
      <c r="AE194" s="943"/>
      <c r="AF194" s="943"/>
      <c r="AG194" s="966"/>
      <c r="AH194" s="943"/>
      <c r="AI194" s="966"/>
      <c r="AJ194" s="966"/>
      <c r="AL194" s="1130"/>
      <c r="AM194" s="1131"/>
    </row>
    <row r="195" spans="1:39" s="1129" customFormat="1" x14ac:dyDescent="0.2">
      <c r="A195" s="943"/>
      <c r="B195" s="943"/>
      <c r="C195" s="943"/>
      <c r="D195" s="943"/>
      <c r="E195" s="943"/>
      <c r="F195" s="943"/>
      <c r="G195" s="943"/>
      <c r="H195" s="943"/>
      <c r="I195" s="943"/>
      <c r="J195" s="943"/>
      <c r="K195" s="1123"/>
      <c r="L195" s="970"/>
      <c r="M195" s="970"/>
      <c r="N195" s="970"/>
      <c r="O195" s="966"/>
      <c r="P195" s="1124"/>
      <c r="Q195" s="1125"/>
      <c r="R195" s="970"/>
      <c r="S195" s="970"/>
      <c r="T195" s="1123"/>
      <c r="U195" s="1123"/>
      <c r="V195" s="1126"/>
      <c r="W195" s="1132"/>
      <c r="X195" s="1128"/>
      <c r="Y195" s="943"/>
      <c r="Z195" s="943"/>
      <c r="AA195" s="943"/>
      <c r="AB195" s="943"/>
      <c r="AC195" s="943"/>
      <c r="AD195" s="943"/>
      <c r="AE195" s="943"/>
      <c r="AF195" s="943"/>
      <c r="AG195" s="966"/>
      <c r="AH195" s="943"/>
      <c r="AI195" s="966"/>
      <c r="AJ195" s="966"/>
      <c r="AL195" s="1130"/>
      <c r="AM195" s="1131"/>
    </row>
    <row r="196" spans="1:39" s="1129" customFormat="1" x14ac:dyDescent="0.2">
      <c r="A196" s="943"/>
      <c r="B196" s="943"/>
      <c r="C196" s="943"/>
      <c r="D196" s="943"/>
      <c r="E196" s="943"/>
      <c r="F196" s="943"/>
      <c r="G196" s="943"/>
      <c r="H196" s="943"/>
      <c r="I196" s="943"/>
      <c r="J196" s="943"/>
      <c r="K196" s="1123"/>
      <c r="L196" s="970"/>
      <c r="M196" s="970"/>
      <c r="N196" s="970"/>
      <c r="O196" s="966"/>
      <c r="P196" s="1124"/>
      <c r="Q196" s="1125"/>
      <c r="R196" s="970"/>
      <c r="S196" s="970"/>
      <c r="T196" s="1123"/>
      <c r="U196" s="1123"/>
      <c r="V196" s="1126"/>
      <c r="W196" s="1132"/>
      <c r="X196" s="1128"/>
      <c r="Y196" s="943"/>
      <c r="Z196" s="943"/>
      <c r="AA196" s="943"/>
      <c r="AB196" s="943"/>
      <c r="AC196" s="943"/>
      <c r="AD196" s="943"/>
      <c r="AE196" s="943"/>
      <c r="AF196" s="943"/>
      <c r="AG196" s="966"/>
      <c r="AH196" s="943"/>
      <c r="AI196" s="966"/>
      <c r="AJ196" s="966"/>
      <c r="AL196" s="1130"/>
      <c r="AM196" s="1131"/>
    </row>
    <row r="197" spans="1:39" s="1129" customFormat="1" x14ac:dyDescent="0.2">
      <c r="A197" s="943"/>
      <c r="B197" s="943"/>
      <c r="C197" s="943"/>
      <c r="D197" s="943"/>
      <c r="E197" s="943"/>
      <c r="F197" s="943"/>
      <c r="G197" s="943"/>
      <c r="H197" s="943"/>
      <c r="I197" s="943"/>
      <c r="J197" s="943"/>
      <c r="K197" s="1123"/>
      <c r="L197" s="970"/>
      <c r="M197" s="970"/>
      <c r="N197" s="970"/>
      <c r="O197" s="966"/>
      <c r="P197" s="1124"/>
      <c r="Q197" s="1125"/>
      <c r="R197" s="970"/>
      <c r="S197" s="970"/>
      <c r="T197" s="1123"/>
      <c r="U197" s="1123"/>
      <c r="V197" s="1126"/>
      <c r="W197" s="1132"/>
      <c r="X197" s="1128"/>
      <c r="Y197" s="943"/>
      <c r="Z197" s="943"/>
      <c r="AA197" s="943"/>
      <c r="AB197" s="943"/>
      <c r="AC197" s="943"/>
      <c r="AD197" s="943"/>
      <c r="AE197" s="943"/>
      <c r="AF197" s="943"/>
      <c r="AG197" s="966"/>
      <c r="AH197" s="943"/>
      <c r="AI197" s="966"/>
      <c r="AJ197" s="966"/>
      <c r="AL197" s="1130"/>
      <c r="AM197" s="1131"/>
    </row>
    <row r="198" spans="1:39" s="1129" customFormat="1" x14ac:dyDescent="0.2">
      <c r="A198" s="943"/>
      <c r="B198" s="943"/>
      <c r="C198" s="943"/>
      <c r="D198" s="943"/>
      <c r="E198" s="943"/>
      <c r="F198" s="943"/>
      <c r="G198" s="943"/>
      <c r="H198" s="943"/>
      <c r="I198" s="943"/>
      <c r="J198" s="943"/>
      <c r="K198" s="1123"/>
      <c r="L198" s="970"/>
      <c r="M198" s="970"/>
      <c r="N198" s="970"/>
      <c r="O198" s="966"/>
      <c r="P198" s="1124"/>
      <c r="Q198" s="1125"/>
      <c r="R198" s="970"/>
      <c r="S198" s="970"/>
      <c r="T198" s="1123"/>
      <c r="U198" s="1123"/>
      <c r="V198" s="1126"/>
      <c r="W198" s="1132"/>
      <c r="X198" s="1128"/>
      <c r="Y198" s="943"/>
      <c r="Z198" s="943"/>
      <c r="AA198" s="943"/>
      <c r="AB198" s="943"/>
      <c r="AC198" s="943"/>
      <c r="AD198" s="943"/>
      <c r="AE198" s="943"/>
      <c r="AF198" s="943"/>
      <c r="AG198" s="966"/>
      <c r="AH198" s="943"/>
      <c r="AI198" s="966"/>
      <c r="AJ198" s="966"/>
      <c r="AL198" s="1130"/>
      <c r="AM198" s="1131"/>
    </row>
    <row r="199" spans="1:39" s="1129" customFormat="1" x14ac:dyDescent="0.2">
      <c r="A199" s="943"/>
      <c r="B199" s="943"/>
      <c r="C199" s="943"/>
      <c r="D199" s="943"/>
      <c r="E199" s="943"/>
      <c r="F199" s="943"/>
      <c r="G199" s="943"/>
      <c r="H199" s="943"/>
      <c r="I199" s="943"/>
      <c r="J199" s="943"/>
      <c r="K199" s="1123"/>
      <c r="L199" s="970"/>
      <c r="M199" s="970"/>
      <c r="N199" s="970"/>
      <c r="O199" s="966"/>
      <c r="P199" s="1124"/>
      <c r="Q199" s="1125"/>
      <c r="R199" s="970"/>
      <c r="S199" s="970"/>
      <c r="T199" s="1123"/>
      <c r="U199" s="1123"/>
      <c r="V199" s="1126"/>
      <c r="W199" s="1132"/>
      <c r="X199" s="1128"/>
      <c r="Y199" s="943"/>
      <c r="Z199" s="943"/>
      <c r="AA199" s="943"/>
      <c r="AB199" s="943"/>
      <c r="AC199" s="943"/>
      <c r="AD199" s="943"/>
      <c r="AE199" s="943"/>
      <c r="AF199" s="943"/>
      <c r="AG199" s="966"/>
      <c r="AH199" s="943"/>
      <c r="AI199" s="966"/>
      <c r="AJ199" s="966"/>
      <c r="AL199" s="1130"/>
      <c r="AM199" s="1131"/>
    </row>
    <row r="200" spans="1:39" s="1129" customFormat="1" x14ac:dyDescent="0.2">
      <c r="A200" s="943"/>
      <c r="B200" s="943"/>
      <c r="C200" s="943"/>
      <c r="D200" s="943"/>
      <c r="E200" s="943"/>
      <c r="F200" s="943"/>
      <c r="G200" s="943"/>
      <c r="H200" s="943"/>
      <c r="I200" s="943"/>
      <c r="J200" s="943"/>
      <c r="K200" s="1123"/>
      <c r="L200" s="970"/>
      <c r="M200" s="970"/>
      <c r="N200" s="970"/>
      <c r="O200" s="966"/>
      <c r="P200" s="1124"/>
      <c r="Q200" s="1125"/>
      <c r="R200" s="970"/>
      <c r="S200" s="970"/>
      <c r="T200" s="1123"/>
      <c r="U200" s="1123"/>
      <c r="V200" s="1126"/>
      <c r="W200" s="1132"/>
      <c r="X200" s="1128"/>
      <c r="Y200" s="943"/>
      <c r="Z200" s="943"/>
      <c r="AA200" s="943"/>
      <c r="AB200" s="943"/>
      <c r="AC200" s="943"/>
      <c r="AD200" s="943"/>
      <c r="AE200" s="943"/>
      <c r="AF200" s="943"/>
      <c r="AG200" s="966"/>
      <c r="AH200" s="943"/>
      <c r="AI200" s="966"/>
      <c r="AJ200" s="966"/>
      <c r="AL200" s="1130"/>
      <c r="AM200" s="1131"/>
    </row>
    <row r="201" spans="1:39" s="1129" customFormat="1" x14ac:dyDescent="0.2">
      <c r="A201" s="943"/>
      <c r="B201" s="943"/>
      <c r="C201" s="943"/>
      <c r="D201" s="943"/>
      <c r="E201" s="943"/>
      <c r="F201" s="943"/>
      <c r="G201" s="943"/>
      <c r="H201" s="943"/>
      <c r="I201" s="943"/>
      <c r="J201" s="943"/>
      <c r="K201" s="1123"/>
      <c r="L201" s="970"/>
      <c r="M201" s="970"/>
      <c r="N201" s="970"/>
      <c r="O201" s="966"/>
      <c r="P201" s="1124"/>
      <c r="Q201" s="1125"/>
      <c r="R201" s="970"/>
      <c r="S201" s="970"/>
      <c r="T201" s="1123"/>
      <c r="U201" s="1123"/>
      <c r="V201" s="1126"/>
      <c r="W201" s="1132"/>
      <c r="X201" s="1128"/>
      <c r="Y201" s="943"/>
      <c r="Z201" s="943"/>
      <c r="AA201" s="943"/>
      <c r="AB201" s="943"/>
      <c r="AC201" s="943"/>
      <c r="AD201" s="943"/>
      <c r="AE201" s="943"/>
      <c r="AF201" s="943"/>
      <c r="AG201" s="966"/>
      <c r="AH201" s="943"/>
      <c r="AI201" s="966"/>
      <c r="AJ201" s="966"/>
      <c r="AL201" s="1130"/>
      <c r="AM201" s="1131"/>
    </row>
    <row r="202" spans="1:39" s="1129" customFormat="1" x14ac:dyDescent="0.2">
      <c r="A202" s="943"/>
      <c r="B202" s="943"/>
      <c r="C202" s="943"/>
      <c r="D202" s="943"/>
      <c r="E202" s="943"/>
      <c r="F202" s="943"/>
      <c r="G202" s="943"/>
      <c r="H202" s="943"/>
      <c r="I202" s="943"/>
      <c r="J202" s="943"/>
      <c r="K202" s="1123"/>
      <c r="L202" s="970"/>
      <c r="M202" s="970"/>
      <c r="N202" s="970"/>
      <c r="O202" s="966"/>
      <c r="P202" s="1124"/>
      <c r="Q202" s="1125"/>
      <c r="R202" s="970"/>
      <c r="S202" s="970"/>
      <c r="T202" s="1123"/>
      <c r="U202" s="1123"/>
      <c r="V202" s="1126"/>
      <c r="W202" s="1132"/>
      <c r="X202" s="1128"/>
      <c r="Y202" s="943"/>
      <c r="Z202" s="943"/>
      <c r="AA202" s="943"/>
      <c r="AB202" s="943"/>
      <c r="AC202" s="943"/>
      <c r="AD202" s="943"/>
      <c r="AE202" s="943"/>
      <c r="AF202" s="943"/>
      <c r="AG202" s="966"/>
      <c r="AH202" s="943"/>
      <c r="AI202" s="966"/>
      <c r="AJ202" s="966"/>
      <c r="AL202" s="1130"/>
      <c r="AM202" s="1131"/>
    </row>
    <row r="203" spans="1:39" s="1129" customFormat="1" x14ac:dyDescent="0.2">
      <c r="A203" s="943"/>
      <c r="B203" s="943"/>
      <c r="C203" s="943"/>
      <c r="D203" s="943"/>
      <c r="E203" s="943"/>
      <c r="F203" s="943"/>
      <c r="G203" s="943"/>
      <c r="H203" s="943"/>
      <c r="I203" s="943"/>
      <c r="J203" s="943"/>
      <c r="K203" s="1123"/>
      <c r="L203" s="970"/>
      <c r="M203" s="970"/>
      <c r="N203" s="970"/>
      <c r="O203" s="966"/>
      <c r="P203" s="1124"/>
      <c r="Q203" s="1125"/>
      <c r="R203" s="970"/>
      <c r="S203" s="970"/>
      <c r="T203" s="1123"/>
      <c r="U203" s="1123"/>
      <c r="V203" s="1126"/>
      <c r="W203" s="1132"/>
      <c r="X203" s="1128"/>
      <c r="Y203" s="943"/>
      <c r="Z203" s="943"/>
      <c r="AA203" s="943"/>
      <c r="AB203" s="943"/>
      <c r="AC203" s="943"/>
      <c r="AD203" s="943"/>
      <c r="AE203" s="943"/>
      <c r="AF203" s="943"/>
      <c r="AG203" s="966"/>
      <c r="AH203" s="943"/>
      <c r="AI203" s="966"/>
      <c r="AJ203" s="966"/>
      <c r="AL203" s="1130"/>
      <c r="AM203" s="1131"/>
    </row>
    <row r="204" spans="1:39" s="1129" customFormat="1" x14ac:dyDescent="0.2">
      <c r="A204" s="943"/>
      <c r="B204" s="943"/>
      <c r="C204" s="943"/>
      <c r="D204" s="943"/>
      <c r="E204" s="943"/>
      <c r="F204" s="943"/>
      <c r="G204" s="943"/>
      <c r="H204" s="943"/>
      <c r="I204" s="943"/>
      <c r="J204" s="943"/>
      <c r="K204" s="1123"/>
      <c r="L204" s="970"/>
      <c r="M204" s="970"/>
      <c r="N204" s="970"/>
      <c r="O204" s="966"/>
      <c r="P204" s="1124"/>
      <c r="Q204" s="1125"/>
      <c r="R204" s="970"/>
      <c r="S204" s="970"/>
      <c r="T204" s="1123"/>
      <c r="U204" s="1123"/>
      <c r="V204" s="1126"/>
      <c r="W204" s="1132"/>
      <c r="X204" s="1128"/>
      <c r="Y204" s="943"/>
      <c r="Z204" s="943"/>
      <c r="AA204" s="943"/>
      <c r="AB204" s="943"/>
      <c r="AC204" s="943"/>
      <c r="AD204" s="943"/>
      <c r="AE204" s="943"/>
      <c r="AF204" s="943"/>
      <c r="AG204" s="966"/>
      <c r="AH204" s="943"/>
      <c r="AI204" s="966"/>
      <c r="AJ204" s="966"/>
      <c r="AL204" s="1130"/>
      <c r="AM204" s="1131"/>
    </row>
    <row r="205" spans="1:39" s="1129" customFormat="1" x14ac:dyDescent="0.2">
      <c r="A205" s="943"/>
      <c r="B205" s="943"/>
      <c r="C205" s="943"/>
      <c r="D205" s="943"/>
      <c r="E205" s="943"/>
      <c r="F205" s="943"/>
      <c r="G205" s="943"/>
      <c r="H205" s="943"/>
      <c r="I205" s="943"/>
      <c r="J205" s="943"/>
      <c r="K205" s="1123"/>
      <c r="L205" s="970"/>
      <c r="M205" s="970"/>
      <c r="N205" s="970"/>
      <c r="O205" s="966"/>
      <c r="P205" s="1124"/>
      <c r="Q205" s="1125"/>
      <c r="R205" s="970"/>
      <c r="S205" s="970"/>
      <c r="T205" s="1123"/>
      <c r="U205" s="1123"/>
      <c r="V205" s="1126"/>
      <c r="W205" s="1132"/>
      <c r="X205" s="1128"/>
      <c r="Y205" s="943"/>
      <c r="Z205" s="943"/>
      <c r="AA205" s="943"/>
      <c r="AB205" s="943"/>
      <c r="AC205" s="943"/>
      <c r="AD205" s="943"/>
      <c r="AE205" s="943"/>
      <c r="AF205" s="943"/>
      <c r="AG205" s="966"/>
      <c r="AH205" s="943"/>
      <c r="AI205" s="966"/>
      <c r="AJ205" s="966"/>
      <c r="AL205" s="1130"/>
      <c r="AM205" s="1131"/>
    </row>
    <row r="206" spans="1:39" s="1129" customFormat="1" x14ac:dyDescent="0.2">
      <c r="A206" s="943"/>
      <c r="B206" s="943"/>
      <c r="C206" s="943"/>
      <c r="D206" s="943"/>
      <c r="E206" s="943"/>
      <c r="F206" s="943"/>
      <c r="G206" s="943"/>
      <c r="H206" s="943"/>
      <c r="I206" s="943"/>
      <c r="J206" s="943"/>
      <c r="K206" s="1123"/>
      <c r="L206" s="970"/>
      <c r="M206" s="970"/>
      <c r="N206" s="970"/>
      <c r="O206" s="966"/>
      <c r="P206" s="1124"/>
      <c r="Q206" s="1125"/>
      <c r="R206" s="970"/>
      <c r="S206" s="970"/>
      <c r="T206" s="1123"/>
      <c r="U206" s="1123"/>
      <c r="V206" s="1126"/>
      <c r="W206" s="1132"/>
      <c r="X206" s="1128"/>
      <c r="Y206" s="943"/>
      <c r="Z206" s="943"/>
      <c r="AA206" s="943"/>
      <c r="AB206" s="943"/>
      <c r="AC206" s="943"/>
      <c r="AD206" s="943"/>
      <c r="AE206" s="943"/>
      <c r="AF206" s="943"/>
      <c r="AG206" s="966"/>
      <c r="AH206" s="943"/>
      <c r="AI206" s="966"/>
      <c r="AJ206" s="966"/>
      <c r="AL206" s="1130"/>
      <c r="AM206" s="1131"/>
    </row>
    <row r="207" spans="1:39" s="1129" customFormat="1" x14ac:dyDescent="0.2">
      <c r="A207" s="943"/>
      <c r="B207" s="943"/>
      <c r="C207" s="943"/>
      <c r="D207" s="943"/>
      <c r="E207" s="943"/>
      <c r="F207" s="943"/>
      <c r="G207" s="943"/>
      <c r="H207" s="943"/>
      <c r="I207" s="943"/>
      <c r="J207" s="943"/>
      <c r="K207" s="1123"/>
      <c r="L207" s="970"/>
      <c r="M207" s="970"/>
      <c r="N207" s="970"/>
      <c r="O207" s="966"/>
      <c r="P207" s="1124"/>
      <c r="Q207" s="1125"/>
      <c r="R207" s="970"/>
      <c r="S207" s="970"/>
      <c r="T207" s="1123"/>
      <c r="U207" s="1123"/>
      <c r="V207" s="1126"/>
      <c r="W207" s="1132"/>
      <c r="X207" s="1128"/>
      <c r="Y207" s="943"/>
      <c r="Z207" s="943"/>
      <c r="AA207" s="943"/>
      <c r="AB207" s="943"/>
      <c r="AC207" s="943"/>
      <c r="AD207" s="943"/>
      <c r="AE207" s="943"/>
      <c r="AF207" s="943"/>
      <c r="AG207" s="966"/>
      <c r="AH207" s="943"/>
      <c r="AI207" s="966"/>
      <c r="AJ207" s="966"/>
      <c r="AL207" s="1130"/>
      <c r="AM207" s="1131"/>
    </row>
    <row r="208" spans="1:39" s="1129" customFormat="1" x14ac:dyDescent="0.2">
      <c r="A208" s="943"/>
      <c r="B208" s="943"/>
      <c r="C208" s="943"/>
      <c r="D208" s="943"/>
      <c r="E208" s="943"/>
      <c r="F208" s="943"/>
      <c r="G208" s="943"/>
      <c r="H208" s="943"/>
      <c r="I208" s="943"/>
      <c r="J208" s="943"/>
      <c r="K208" s="1123"/>
      <c r="L208" s="970"/>
      <c r="M208" s="970"/>
      <c r="N208" s="970"/>
      <c r="O208" s="966"/>
      <c r="P208" s="1124"/>
      <c r="Q208" s="1125"/>
      <c r="R208" s="970"/>
      <c r="S208" s="970"/>
      <c r="T208" s="1123"/>
      <c r="U208" s="1123"/>
      <c r="V208" s="1126"/>
      <c r="W208" s="1132"/>
      <c r="X208" s="1128"/>
      <c r="Y208" s="943"/>
      <c r="Z208" s="943"/>
      <c r="AA208" s="943"/>
      <c r="AB208" s="943"/>
      <c r="AC208" s="943"/>
      <c r="AD208" s="943"/>
      <c r="AE208" s="943"/>
      <c r="AF208" s="943"/>
      <c r="AG208" s="966"/>
      <c r="AH208" s="943"/>
      <c r="AI208" s="966"/>
      <c r="AJ208" s="966"/>
      <c r="AL208" s="1130"/>
      <c r="AM208" s="1131"/>
    </row>
    <row r="209" spans="1:39" s="1129" customFormat="1" x14ac:dyDescent="0.2">
      <c r="A209" s="943"/>
      <c r="B209" s="943"/>
      <c r="C209" s="943"/>
      <c r="D209" s="943"/>
      <c r="E209" s="943"/>
      <c r="F209" s="943"/>
      <c r="G209" s="943"/>
      <c r="H209" s="943"/>
      <c r="I209" s="943"/>
      <c r="J209" s="943"/>
      <c r="K209" s="1123"/>
      <c r="L209" s="970"/>
      <c r="M209" s="970"/>
      <c r="N209" s="970"/>
      <c r="O209" s="966"/>
      <c r="P209" s="1124"/>
      <c r="Q209" s="1125"/>
      <c r="R209" s="970"/>
      <c r="S209" s="970"/>
      <c r="T209" s="1123"/>
      <c r="U209" s="1123"/>
      <c r="V209" s="1126"/>
      <c r="W209" s="1132"/>
      <c r="X209" s="1128"/>
      <c r="Y209" s="943"/>
      <c r="Z209" s="943"/>
      <c r="AA209" s="943"/>
      <c r="AB209" s="943"/>
      <c r="AC209" s="943"/>
      <c r="AD209" s="943"/>
      <c r="AE209" s="943"/>
      <c r="AF209" s="943"/>
      <c r="AG209" s="966"/>
      <c r="AH209" s="943"/>
      <c r="AI209" s="966"/>
      <c r="AJ209" s="966"/>
      <c r="AL209" s="1130"/>
      <c r="AM209" s="1131"/>
    </row>
    <row r="210" spans="1:39" s="1129" customFormat="1" x14ac:dyDescent="0.2">
      <c r="A210" s="943"/>
      <c r="B210" s="943"/>
      <c r="C210" s="943"/>
      <c r="D210" s="943"/>
      <c r="E210" s="943"/>
      <c r="F210" s="943"/>
      <c r="G210" s="943"/>
      <c r="H210" s="943"/>
      <c r="I210" s="943"/>
      <c r="J210" s="943"/>
      <c r="K210" s="1123"/>
      <c r="L210" s="970"/>
      <c r="M210" s="970"/>
      <c r="N210" s="970"/>
      <c r="O210" s="966"/>
      <c r="P210" s="1124"/>
      <c r="Q210" s="1125"/>
      <c r="R210" s="970"/>
      <c r="S210" s="970"/>
      <c r="T210" s="1123"/>
      <c r="U210" s="1123"/>
      <c r="V210" s="1126"/>
      <c r="W210" s="1132"/>
      <c r="X210" s="1128"/>
      <c r="Y210" s="943"/>
      <c r="Z210" s="943"/>
      <c r="AA210" s="943"/>
      <c r="AB210" s="943"/>
      <c r="AC210" s="943"/>
      <c r="AD210" s="943"/>
      <c r="AE210" s="943"/>
      <c r="AF210" s="943"/>
      <c r="AG210" s="966"/>
      <c r="AH210" s="943"/>
      <c r="AI210" s="966"/>
      <c r="AJ210" s="966"/>
      <c r="AL210" s="1130"/>
      <c r="AM210" s="1131"/>
    </row>
    <row r="211" spans="1:39" s="1129" customFormat="1" x14ac:dyDescent="0.2">
      <c r="A211" s="943"/>
      <c r="B211" s="943"/>
      <c r="C211" s="943"/>
      <c r="D211" s="943"/>
      <c r="E211" s="943"/>
      <c r="F211" s="943"/>
      <c r="G211" s="943"/>
      <c r="H211" s="943"/>
      <c r="I211" s="943"/>
      <c r="J211" s="943"/>
      <c r="K211" s="1123"/>
      <c r="L211" s="970"/>
      <c r="M211" s="970"/>
      <c r="N211" s="970"/>
      <c r="O211" s="966"/>
      <c r="P211" s="1124"/>
      <c r="Q211" s="1125"/>
      <c r="R211" s="970"/>
      <c r="S211" s="970"/>
      <c r="T211" s="1123"/>
      <c r="U211" s="1123"/>
      <c r="V211" s="1126"/>
      <c r="W211" s="1132"/>
      <c r="X211" s="1128"/>
      <c r="Y211" s="943"/>
      <c r="Z211" s="943"/>
      <c r="AA211" s="943"/>
      <c r="AB211" s="943"/>
      <c r="AC211" s="943"/>
      <c r="AD211" s="943"/>
      <c r="AE211" s="943"/>
      <c r="AF211" s="943"/>
      <c r="AG211" s="966"/>
      <c r="AH211" s="943"/>
      <c r="AI211" s="966"/>
      <c r="AJ211" s="966"/>
      <c r="AL211" s="1130"/>
      <c r="AM211" s="1131"/>
    </row>
    <row r="212" spans="1:39" s="1129" customFormat="1" x14ac:dyDescent="0.2">
      <c r="A212" s="943"/>
      <c r="B212" s="943"/>
      <c r="C212" s="943"/>
      <c r="D212" s="943"/>
      <c r="E212" s="943"/>
      <c r="F212" s="943"/>
      <c r="G212" s="943"/>
      <c r="H212" s="943"/>
      <c r="I212" s="943"/>
      <c r="J212" s="943"/>
      <c r="K212" s="1123"/>
      <c r="L212" s="970"/>
      <c r="M212" s="970"/>
      <c r="N212" s="970"/>
      <c r="O212" s="966"/>
      <c r="P212" s="1124"/>
      <c r="Q212" s="1125"/>
      <c r="R212" s="970"/>
      <c r="S212" s="970"/>
      <c r="T212" s="1123"/>
      <c r="U212" s="1123"/>
      <c r="V212" s="1126"/>
      <c r="W212" s="1132"/>
      <c r="X212" s="1128"/>
      <c r="Y212" s="943"/>
      <c r="Z212" s="943"/>
      <c r="AA212" s="943"/>
      <c r="AB212" s="943"/>
      <c r="AC212" s="943"/>
      <c r="AD212" s="943"/>
      <c r="AE212" s="943"/>
      <c r="AF212" s="943"/>
      <c r="AG212" s="966"/>
      <c r="AH212" s="943"/>
      <c r="AI212" s="966"/>
      <c r="AJ212" s="966"/>
      <c r="AL212" s="1130"/>
      <c r="AM212" s="1131"/>
    </row>
    <row r="213" spans="1:39" s="1129" customFormat="1" x14ac:dyDescent="0.2">
      <c r="A213" s="943"/>
      <c r="B213" s="943"/>
      <c r="C213" s="943"/>
      <c r="D213" s="943"/>
      <c r="E213" s="943"/>
      <c r="F213" s="943"/>
      <c r="G213" s="943"/>
      <c r="H213" s="943"/>
      <c r="I213" s="943"/>
      <c r="J213" s="943"/>
      <c r="K213" s="1123"/>
      <c r="L213" s="970"/>
      <c r="M213" s="970"/>
      <c r="N213" s="970"/>
      <c r="O213" s="966"/>
      <c r="P213" s="1124"/>
      <c r="Q213" s="1125"/>
      <c r="R213" s="970"/>
      <c r="S213" s="970"/>
      <c r="T213" s="1123"/>
      <c r="U213" s="1123"/>
      <c r="V213" s="1126"/>
      <c r="W213" s="1132"/>
      <c r="X213" s="1128"/>
      <c r="Y213" s="943"/>
      <c r="Z213" s="943"/>
      <c r="AA213" s="943"/>
      <c r="AB213" s="943"/>
      <c r="AC213" s="943"/>
      <c r="AD213" s="943"/>
      <c r="AE213" s="943"/>
      <c r="AF213" s="943"/>
      <c r="AG213" s="966"/>
      <c r="AH213" s="943"/>
      <c r="AI213" s="966"/>
      <c r="AJ213" s="966"/>
      <c r="AL213" s="1130"/>
      <c r="AM213" s="1131"/>
    </row>
    <row r="214" spans="1:39" s="1129" customFormat="1" x14ac:dyDescent="0.2">
      <c r="A214" s="943"/>
      <c r="B214" s="943"/>
      <c r="C214" s="943"/>
      <c r="D214" s="943"/>
      <c r="E214" s="943"/>
      <c r="F214" s="943"/>
      <c r="G214" s="943"/>
      <c r="H214" s="943"/>
      <c r="I214" s="943"/>
      <c r="J214" s="943"/>
      <c r="K214" s="1123"/>
      <c r="L214" s="970"/>
      <c r="M214" s="970"/>
      <c r="N214" s="970"/>
      <c r="O214" s="966"/>
      <c r="P214" s="1124"/>
      <c r="Q214" s="1125"/>
      <c r="R214" s="970"/>
      <c r="S214" s="970"/>
      <c r="T214" s="1123"/>
      <c r="U214" s="1123"/>
      <c r="V214" s="1126"/>
      <c r="W214" s="1132"/>
      <c r="X214" s="1128"/>
      <c r="Y214" s="943"/>
      <c r="Z214" s="943"/>
      <c r="AA214" s="943"/>
      <c r="AB214" s="943"/>
      <c r="AC214" s="943"/>
      <c r="AD214" s="943"/>
      <c r="AE214" s="943"/>
      <c r="AF214" s="943"/>
      <c r="AG214" s="966"/>
      <c r="AH214" s="943"/>
      <c r="AI214" s="966"/>
      <c r="AJ214" s="966"/>
      <c r="AL214" s="1130"/>
      <c r="AM214" s="1131"/>
    </row>
  </sheetData>
  <mergeCells count="435">
    <mergeCell ref="AM143:AM147"/>
    <mergeCell ref="Q143:Q147"/>
    <mergeCell ref="R143:R147"/>
    <mergeCell ref="S143:S147"/>
    <mergeCell ref="AH143:AH147"/>
    <mergeCell ref="AJ143:AJ147"/>
    <mergeCell ref="AB143:AB147"/>
    <mergeCell ref="AC143:AC147"/>
    <mergeCell ref="AD143:AD147"/>
    <mergeCell ref="Z143:Z147"/>
    <mergeCell ref="AA143:AA147"/>
    <mergeCell ref="AE143:AE147"/>
    <mergeCell ref="AF143:AF147"/>
    <mergeCell ref="T143:T147"/>
    <mergeCell ref="W143:W147"/>
    <mergeCell ref="X143:X147"/>
    <mergeCell ref="Y143:Y147"/>
    <mergeCell ref="AM151:AM155"/>
    <mergeCell ref="AE151:AE155"/>
    <mergeCell ref="AF151:AF155"/>
    <mergeCell ref="AH151:AH155"/>
    <mergeCell ref="AJ151:AJ155"/>
    <mergeCell ref="AC151:AC155"/>
    <mergeCell ref="AD151:AD155"/>
    <mergeCell ref="Q151:Q155"/>
    <mergeCell ref="R151:R155"/>
    <mergeCell ref="S151:S155"/>
    <mergeCell ref="T151:T155"/>
    <mergeCell ref="W151:W155"/>
    <mergeCell ref="Y151:Y155"/>
    <mergeCell ref="Z151:Z155"/>
    <mergeCell ref="AA151:AA155"/>
    <mergeCell ref="AB151:AB155"/>
    <mergeCell ref="AA127:AA141"/>
    <mergeCell ref="AB127:AB141"/>
    <mergeCell ref="AC127:AC141"/>
    <mergeCell ref="AD127:AD141"/>
    <mergeCell ref="AE127:AE141"/>
    <mergeCell ref="M7:M10"/>
    <mergeCell ref="A1:AK4"/>
    <mergeCell ref="A149:C155"/>
    <mergeCell ref="D151:D155"/>
    <mergeCell ref="E151:F155"/>
    <mergeCell ref="G151:G155"/>
    <mergeCell ref="H151:I155"/>
    <mergeCell ref="J151:J155"/>
    <mergeCell ref="K151:K155"/>
    <mergeCell ref="N143:N147"/>
    <mergeCell ref="O143:O147"/>
    <mergeCell ref="D143:D147"/>
    <mergeCell ref="G143:G147"/>
    <mergeCell ref="H143:I147"/>
    <mergeCell ref="J143:J147"/>
    <mergeCell ref="K143:K147"/>
    <mergeCell ref="AF127:AF141"/>
    <mergeCell ref="AH127:AH141"/>
    <mergeCell ref="N121:N124"/>
    <mergeCell ref="O121:O124"/>
    <mergeCell ref="P121:P124"/>
    <mergeCell ref="Q121:Q123"/>
    <mergeCell ref="R121:R123"/>
    <mergeCell ref="P143:P147"/>
    <mergeCell ref="L151:L155"/>
    <mergeCell ref="M151:M155"/>
    <mergeCell ref="N151:N155"/>
    <mergeCell ref="O151:O155"/>
    <mergeCell ref="P151:P155"/>
    <mergeCell ref="L143:L147"/>
    <mergeCell ref="M143:M147"/>
    <mergeCell ref="AM127:AM141"/>
    <mergeCell ref="J132:J138"/>
    <mergeCell ref="K132:K138"/>
    <mergeCell ref="L132:L138"/>
    <mergeCell ref="M132:M138"/>
    <mergeCell ref="Q132:Q138"/>
    <mergeCell ref="R132:R138"/>
    <mergeCell ref="AJ127:AJ141"/>
    <mergeCell ref="R127:R131"/>
    <mergeCell ref="S127:S141"/>
    <mergeCell ref="T127:T141"/>
    <mergeCell ref="Y127:Y141"/>
    <mergeCell ref="Z127:Z141"/>
    <mergeCell ref="R139:R141"/>
    <mergeCell ref="M127:M131"/>
    <mergeCell ref="N127:N141"/>
    <mergeCell ref="O127:O141"/>
    <mergeCell ref="P127:P141"/>
    <mergeCell ref="Q127:Q131"/>
    <mergeCell ref="J139:J141"/>
    <mergeCell ref="K139:K141"/>
    <mergeCell ref="L139:L141"/>
    <mergeCell ref="M139:M141"/>
    <mergeCell ref="Q139:Q141"/>
    <mergeCell ref="AM121:AM124"/>
    <mergeCell ref="D126:D141"/>
    <mergeCell ref="E126:F141"/>
    <mergeCell ref="G127:G141"/>
    <mergeCell ref="H127:I141"/>
    <mergeCell ref="J127:J131"/>
    <mergeCell ref="K127:K131"/>
    <mergeCell ref="L127:L131"/>
    <mergeCell ref="AH121:AH124"/>
    <mergeCell ref="AJ121:AJ124"/>
    <mergeCell ref="AC121:AC124"/>
    <mergeCell ref="AD121:AD124"/>
    <mergeCell ref="AE121:AE124"/>
    <mergeCell ref="AF121:AF124"/>
    <mergeCell ref="Z121:Z124"/>
    <mergeCell ref="G121:G124"/>
    <mergeCell ref="H121:I124"/>
    <mergeCell ref="J121:J123"/>
    <mergeCell ref="K121:K123"/>
    <mergeCell ref="L121:L123"/>
    <mergeCell ref="M121:M123"/>
    <mergeCell ref="D100:D124"/>
    <mergeCell ref="E100:F124"/>
    <mergeCell ref="G100:G119"/>
    <mergeCell ref="S100:S119"/>
    <mergeCell ref="R105:R110"/>
    <mergeCell ref="AB121:AB124"/>
    <mergeCell ref="S121:S124"/>
    <mergeCell ref="T121:T124"/>
    <mergeCell ref="W121:W124"/>
    <mergeCell ref="X121:X124"/>
    <mergeCell ref="Y121:Y124"/>
    <mergeCell ref="Y100:Y119"/>
    <mergeCell ref="Z100:Z119"/>
    <mergeCell ref="AA121:AA124"/>
    <mergeCell ref="L111:L112"/>
    <mergeCell ref="M111:M112"/>
    <mergeCell ref="Q111:Q112"/>
    <mergeCell ref="R111:R112"/>
    <mergeCell ref="J105:J110"/>
    <mergeCell ref="K105:K110"/>
    <mergeCell ref="L105:L110"/>
    <mergeCell ref="M105:M110"/>
    <mergeCell ref="Q105:Q110"/>
    <mergeCell ref="O100:O119"/>
    <mergeCell ref="P100:P119"/>
    <mergeCell ref="Q100:Q101"/>
    <mergeCell ref="R100:R101"/>
    <mergeCell ref="AF100:AF119"/>
    <mergeCell ref="AH100:AH119"/>
    <mergeCell ref="AA100:AA119"/>
    <mergeCell ref="AB100:AB119"/>
    <mergeCell ref="AC100:AC119"/>
    <mergeCell ref="AM100:AM119"/>
    <mergeCell ref="J102:J104"/>
    <mergeCell ref="K102:K104"/>
    <mergeCell ref="L102:L104"/>
    <mergeCell ref="M102:M104"/>
    <mergeCell ref="Q102:Q104"/>
    <mergeCell ref="R102:R104"/>
    <mergeCell ref="AD100:AD119"/>
    <mergeCell ref="AE100:AE119"/>
    <mergeCell ref="J113:J119"/>
    <mergeCell ref="K113:K119"/>
    <mergeCell ref="L113:L119"/>
    <mergeCell ref="M113:M119"/>
    <mergeCell ref="Q113:Q119"/>
    <mergeCell ref="R113:R119"/>
    <mergeCell ref="T100:T119"/>
    <mergeCell ref="W100:W119"/>
    <mergeCell ref="X100:X119"/>
    <mergeCell ref="N100:N119"/>
    <mergeCell ref="H100:I119"/>
    <mergeCell ref="J100:J101"/>
    <mergeCell ref="K100:K101"/>
    <mergeCell ref="L100:L101"/>
    <mergeCell ref="M100:M101"/>
    <mergeCell ref="AE91:AE97"/>
    <mergeCell ref="Z91:Z97"/>
    <mergeCell ref="AA91:AA97"/>
    <mergeCell ref="AB91:AB97"/>
    <mergeCell ref="R91:R92"/>
    <mergeCell ref="S91:S97"/>
    <mergeCell ref="T91:T97"/>
    <mergeCell ref="W91:W97"/>
    <mergeCell ref="X91:X97"/>
    <mergeCell ref="Y91:Y97"/>
    <mergeCell ref="M91:M92"/>
    <mergeCell ref="J93:J97"/>
    <mergeCell ref="K93:K97"/>
    <mergeCell ref="L93:L97"/>
    <mergeCell ref="M93:M97"/>
    <mergeCell ref="Q93:Q97"/>
    <mergeCell ref="R93:R97"/>
    <mergeCell ref="J111:J112"/>
    <mergeCell ref="K111:K112"/>
    <mergeCell ref="AF91:AF97"/>
    <mergeCell ref="AH91:AH97"/>
    <mergeCell ref="AJ91:AJ97"/>
    <mergeCell ref="AC91:AC97"/>
    <mergeCell ref="AD91:AD97"/>
    <mergeCell ref="N91:N97"/>
    <mergeCell ref="O91:O97"/>
    <mergeCell ref="P91:P97"/>
    <mergeCell ref="Q91:Q92"/>
    <mergeCell ref="AC78:AC89"/>
    <mergeCell ref="W78:W89"/>
    <mergeCell ref="X78:X89"/>
    <mergeCell ref="Y78:Y89"/>
    <mergeCell ref="Z78:Z89"/>
    <mergeCell ref="O78:O89"/>
    <mergeCell ref="P78:P89"/>
    <mergeCell ref="Q78:Q79"/>
    <mergeCell ref="R78:R79"/>
    <mergeCell ref="S78:S89"/>
    <mergeCell ref="T78:T89"/>
    <mergeCell ref="R84:R89"/>
    <mergeCell ref="AM90:AM97"/>
    <mergeCell ref="G91:G97"/>
    <mergeCell ref="H91:I97"/>
    <mergeCell ref="J91:J92"/>
    <mergeCell ref="K91:K92"/>
    <mergeCell ref="L91:L92"/>
    <mergeCell ref="J84:J89"/>
    <mergeCell ref="K84:K89"/>
    <mergeCell ref="L84:L89"/>
    <mergeCell ref="M84:M89"/>
    <mergeCell ref="Q84:Q89"/>
    <mergeCell ref="AM78:AM89"/>
    <mergeCell ref="J80:J83"/>
    <mergeCell ref="K80:K83"/>
    <mergeCell ref="L80:L83"/>
    <mergeCell ref="M80:M83"/>
    <mergeCell ref="Q80:Q83"/>
    <mergeCell ref="R80:R83"/>
    <mergeCell ref="AI78:AI89"/>
    <mergeCell ref="AJ78:AJ89"/>
    <mergeCell ref="AD78:AD89"/>
    <mergeCell ref="AE78:AE89"/>
    <mergeCell ref="AF78:AF89"/>
    <mergeCell ref="AH78:AH89"/>
    <mergeCell ref="G78:G89"/>
    <mergeCell ref="H78:I89"/>
    <mergeCell ref="J78:J79"/>
    <mergeCell ref="K78:K79"/>
    <mergeCell ref="L78:L79"/>
    <mergeCell ref="M78:M79"/>
    <mergeCell ref="N78:N89"/>
    <mergeCell ref="AA57:AA76"/>
    <mergeCell ref="AB57:AB76"/>
    <mergeCell ref="Q57:Q63"/>
    <mergeCell ref="R57:R63"/>
    <mergeCell ref="S57:S76"/>
    <mergeCell ref="T57:T76"/>
    <mergeCell ref="Y57:Y76"/>
    <mergeCell ref="Q70:Q71"/>
    <mergeCell ref="R70:R71"/>
    <mergeCell ref="AA78:AA89"/>
    <mergeCell ref="AB78:AB89"/>
    <mergeCell ref="AF57:AF76"/>
    <mergeCell ref="AH57:AH76"/>
    <mergeCell ref="J72:J76"/>
    <mergeCell ref="K72:K76"/>
    <mergeCell ref="L72:L76"/>
    <mergeCell ref="M72:M76"/>
    <mergeCell ref="Q72:Q76"/>
    <mergeCell ref="R72:R76"/>
    <mergeCell ref="M64:M65"/>
    <mergeCell ref="L70:L71"/>
    <mergeCell ref="L64:L65"/>
    <mergeCell ref="AC57:AC76"/>
    <mergeCell ref="AD57:AD76"/>
    <mergeCell ref="AE57:AE76"/>
    <mergeCell ref="Z57:Z76"/>
    <mergeCell ref="J66:J69"/>
    <mergeCell ref="K66:K69"/>
    <mergeCell ref="L66:L69"/>
    <mergeCell ref="M66:M69"/>
    <mergeCell ref="Q66:Q69"/>
    <mergeCell ref="R66:R69"/>
    <mergeCell ref="AM57:AM77"/>
    <mergeCell ref="AK62:AK63"/>
    <mergeCell ref="AL62:AL63"/>
    <mergeCell ref="AK68:AK69"/>
    <mergeCell ref="AL68:AL69"/>
    <mergeCell ref="M70:M71"/>
    <mergeCell ref="AB42:AB54"/>
    <mergeCell ref="D57:D97"/>
    <mergeCell ref="E57:F97"/>
    <mergeCell ref="G57:G76"/>
    <mergeCell ref="H57:I76"/>
    <mergeCell ref="J57:J63"/>
    <mergeCell ref="K57:K63"/>
    <mergeCell ref="J64:J65"/>
    <mergeCell ref="K64:K65"/>
    <mergeCell ref="J70:J71"/>
    <mergeCell ref="K70:K71"/>
    <mergeCell ref="Q64:Q65"/>
    <mergeCell ref="R64:R65"/>
    <mergeCell ref="L57:L63"/>
    <mergeCell ref="M57:M63"/>
    <mergeCell ref="N57:N76"/>
    <mergeCell ref="O57:O76"/>
    <mergeCell ref="P57:P76"/>
    <mergeCell ref="AD42:AD54"/>
    <mergeCell ref="AE42:AE54"/>
    <mergeCell ref="AF42:AF54"/>
    <mergeCell ref="AH42:AH54"/>
    <mergeCell ref="AA42:AA54"/>
    <mergeCell ref="U52:U53"/>
    <mergeCell ref="V52:V53"/>
    <mergeCell ref="AK52:AK53"/>
    <mergeCell ref="AL52:AL53"/>
    <mergeCell ref="AK50:AK51"/>
    <mergeCell ref="AL50:AL51"/>
    <mergeCell ref="U50:U51"/>
    <mergeCell ref="V50:V51"/>
    <mergeCell ref="J50:J53"/>
    <mergeCell ref="K50:K53"/>
    <mergeCell ref="L50:L53"/>
    <mergeCell ref="M50:M53"/>
    <mergeCell ref="Q50:Q53"/>
    <mergeCell ref="J44:J49"/>
    <mergeCell ref="K44:K49"/>
    <mergeCell ref="L44:L49"/>
    <mergeCell ref="M44:M49"/>
    <mergeCell ref="N44:N49"/>
    <mergeCell ref="Q42:Q43"/>
    <mergeCell ref="R42:R43"/>
    <mergeCell ref="S42:S54"/>
    <mergeCell ref="Q44:Q49"/>
    <mergeCell ref="R44:R49"/>
    <mergeCell ref="R50:R53"/>
    <mergeCell ref="AC42:AC54"/>
    <mergeCell ref="T42:T54"/>
    <mergeCell ref="W42:W46"/>
    <mergeCell ref="X42:X43"/>
    <mergeCell ref="Y42:Y54"/>
    <mergeCell ref="Z42:Z54"/>
    <mergeCell ref="U44:U45"/>
    <mergeCell ref="V44:V45"/>
    <mergeCell ref="W50:W54"/>
    <mergeCell ref="G42:G54"/>
    <mergeCell ref="H42:I54"/>
    <mergeCell ref="J42:J43"/>
    <mergeCell ref="K42:K43"/>
    <mergeCell ref="L42:L43"/>
    <mergeCell ref="M42:M43"/>
    <mergeCell ref="AM14:AM40"/>
    <mergeCell ref="AK14:AK15"/>
    <mergeCell ref="AL14:AL15"/>
    <mergeCell ref="Y14:Y40"/>
    <mergeCell ref="Z14:Z40"/>
    <mergeCell ref="AA14:AA40"/>
    <mergeCell ref="N42:N43"/>
    <mergeCell ref="O42:O54"/>
    <mergeCell ref="P42:P54"/>
    <mergeCell ref="AB14:AB40"/>
    <mergeCell ref="AC14:AC40"/>
    <mergeCell ref="AD14:AD40"/>
    <mergeCell ref="AM41:AM54"/>
    <mergeCell ref="AK44:AK45"/>
    <mergeCell ref="AL44:AL45"/>
    <mergeCell ref="AI14:AI40"/>
    <mergeCell ref="AJ14:AJ40"/>
    <mergeCell ref="J36:J40"/>
    <mergeCell ref="AE14:AE40"/>
    <mergeCell ref="AF14:AF40"/>
    <mergeCell ref="AG14:AG40"/>
    <mergeCell ref="AH14:AH40"/>
    <mergeCell ref="N14:N40"/>
    <mergeCell ref="O14:O40"/>
    <mergeCell ref="P14:P40"/>
    <mergeCell ref="Q14:Q15"/>
    <mergeCell ref="R14:R15"/>
    <mergeCell ref="L17:L20"/>
    <mergeCell ref="M17:M20"/>
    <mergeCell ref="Q17:Q20"/>
    <mergeCell ref="R17:R20"/>
    <mergeCell ref="K36:K40"/>
    <mergeCell ref="L36:L40"/>
    <mergeCell ref="M36:M40"/>
    <mergeCell ref="Q36:Q40"/>
    <mergeCell ref="R36:R40"/>
    <mergeCell ref="D13:F54"/>
    <mergeCell ref="G14:I40"/>
    <mergeCell ref="J14:J15"/>
    <mergeCell ref="K14:K15"/>
    <mergeCell ref="L14:L15"/>
    <mergeCell ref="M14:M15"/>
    <mergeCell ref="AJ8:AJ10"/>
    <mergeCell ref="S14:S40"/>
    <mergeCell ref="T14:T40"/>
    <mergeCell ref="U14:U15"/>
    <mergeCell ref="V14:V15"/>
    <mergeCell ref="AF8:AF10"/>
    <mergeCell ref="AG8:AG10"/>
    <mergeCell ref="AH8:AH10"/>
    <mergeCell ref="AI8:AI10"/>
    <mergeCell ref="V7:V10"/>
    <mergeCell ref="J21:J35"/>
    <mergeCell ref="K21:K35"/>
    <mergeCell ref="L21:L35"/>
    <mergeCell ref="M21:M35"/>
    <mergeCell ref="Q21:Q35"/>
    <mergeCell ref="R21:R35"/>
    <mergeCell ref="J17:J20"/>
    <mergeCell ref="K17:K20"/>
    <mergeCell ref="Z8:Z10"/>
    <mergeCell ref="AA8:AA10"/>
    <mergeCell ref="AB8:AB10"/>
    <mergeCell ref="AC8:AC10"/>
    <mergeCell ref="AD8:AD10"/>
    <mergeCell ref="AE8:AE10"/>
    <mergeCell ref="W7:W10"/>
    <mergeCell ref="X7:X10"/>
    <mergeCell ref="Y7:AD7"/>
    <mergeCell ref="AE7:AJ7"/>
    <mergeCell ref="A5:M6"/>
    <mergeCell ref="N5:AM5"/>
    <mergeCell ref="Y6:AM6"/>
    <mergeCell ref="A7:A10"/>
    <mergeCell ref="B7:C10"/>
    <mergeCell ref="D7:D10"/>
    <mergeCell ref="E7:F10"/>
    <mergeCell ref="G7:G10"/>
    <mergeCell ref="H7:I10"/>
    <mergeCell ref="P7:P10"/>
    <mergeCell ref="Q7:Q10"/>
    <mergeCell ref="R7:R10"/>
    <mergeCell ref="S7:S10"/>
    <mergeCell ref="T7:T10"/>
    <mergeCell ref="U7:U10"/>
    <mergeCell ref="J7:J10"/>
    <mergeCell ref="K7:K10"/>
    <mergeCell ref="L7:L10"/>
    <mergeCell ref="N7:N10"/>
    <mergeCell ref="O7:O10"/>
    <mergeCell ref="AM7:AM10"/>
    <mergeCell ref="Y8:Y10"/>
    <mergeCell ref="AK7:AK10"/>
    <mergeCell ref="AL7:AL10"/>
  </mergeCells>
  <pageMargins left="0.7" right="0.7" top="0.75" bottom="0.75" header="0.3" footer="0.3"/>
  <pageSetup paperSize="190" scale="68" orientation="landscape" verticalDpi="0" r:id="rId1"/>
  <rowBreaks count="5" manualBreakCount="5">
    <brk id="20" max="33" man="1"/>
    <brk id="56" max="16383" man="1"/>
    <brk id="77" max="16383" man="1"/>
    <brk id="99" max="16383" man="1"/>
    <brk id="122" max="3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showGridLines="0" zoomScale="70" zoomScaleNormal="70" workbookViewId="0">
      <selection activeCell="A3" sqref="A3:AI3"/>
    </sheetView>
  </sheetViews>
  <sheetFormatPr baseColWidth="10" defaultColWidth="11.42578125" defaultRowHeight="14.25" x14ac:dyDescent="0.2"/>
  <cols>
    <col min="1" max="1" width="11" style="34" customWidth="1"/>
    <col min="2" max="2" width="16.5703125" style="34" bestFit="1" customWidth="1"/>
    <col min="3" max="3" width="11.5703125" style="34" bestFit="1" customWidth="1"/>
    <col min="4" max="4" width="17.140625" style="34" customWidth="1"/>
    <col min="5" max="5" width="11.42578125" style="34" hidden="1" customWidth="1"/>
    <col min="6" max="6" width="10.5703125" style="34" customWidth="1"/>
    <col min="7" max="7" width="20.5703125" style="34" customWidth="1"/>
    <col min="8" max="8" width="14.42578125" style="34" customWidth="1"/>
    <col min="9" max="9" width="19" style="34" customWidth="1"/>
    <col min="10" max="10" width="14.85546875" style="34" customWidth="1"/>
    <col min="11" max="11" width="12.5703125" style="34" customWidth="1"/>
    <col min="12" max="12" width="21.42578125" style="34" customWidth="1"/>
    <col min="13" max="13" width="11.7109375" style="34" customWidth="1"/>
    <col min="14" max="14" width="21.5703125" style="34" customWidth="1"/>
    <col min="15" max="15" width="11.5703125" style="34" bestFit="1" customWidth="1"/>
    <col min="16" max="16" width="24.42578125" style="565" customWidth="1"/>
    <col min="17" max="17" width="26.85546875" style="34" customWidth="1"/>
    <col min="18" max="18" width="27.42578125" style="34" customWidth="1"/>
    <col min="19" max="19" width="25" style="562" customWidth="1"/>
    <col min="20" max="20" width="24.42578125" style="1173" customWidth="1"/>
    <col min="21" max="21" width="14.7109375" style="34" customWidth="1"/>
    <col min="22" max="22" width="16.140625" style="34" customWidth="1"/>
    <col min="23" max="23" width="12.7109375" style="34" customWidth="1"/>
    <col min="24" max="24" width="11.42578125" style="34"/>
    <col min="25" max="26" width="11.5703125" style="34" bestFit="1" customWidth="1"/>
    <col min="27" max="27" width="11.42578125" style="34" customWidth="1"/>
    <col min="28" max="30" width="11.5703125" style="34" bestFit="1" customWidth="1"/>
    <col min="31" max="33" width="11.42578125" style="34"/>
    <col min="34" max="34" width="11.5703125" style="34" bestFit="1" customWidth="1"/>
    <col min="35" max="36" width="22.7109375" style="561" customWidth="1"/>
    <col min="37" max="37" width="28.7109375" style="153" customWidth="1"/>
    <col min="38" max="16384" width="11.42578125" style="34"/>
  </cols>
  <sheetData>
    <row r="1" spans="1:49" ht="15" customHeight="1" x14ac:dyDescent="0.25">
      <c r="A1" s="2627" t="s">
        <v>1786</v>
      </c>
      <c r="B1" s="2627"/>
      <c r="C1" s="2627"/>
      <c r="D1" s="2627"/>
      <c r="E1" s="2627"/>
      <c r="F1" s="2627"/>
      <c r="G1" s="2627"/>
      <c r="H1" s="2627"/>
      <c r="I1" s="2627"/>
      <c r="J1" s="2627"/>
      <c r="K1" s="2627"/>
      <c r="L1" s="2627"/>
      <c r="M1" s="2627"/>
      <c r="N1" s="2627"/>
      <c r="O1" s="2627"/>
      <c r="P1" s="2627"/>
      <c r="Q1" s="2627"/>
      <c r="R1" s="2627"/>
      <c r="S1" s="2627"/>
      <c r="T1" s="2627"/>
      <c r="U1" s="2627"/>
      <c r="V1" s="2627"/>
      <c r="W1" s="2627"/>
      <c r="X1" s="2627"/>
      <c r="Y1" s="2627"/>
      <c r="Z1" s="2627"/>
      <c r="AA1" s="2627"/>
      <c r="AB1" s="2627"/>
      <c r="AC1" s="2627"/>
      <c r="AD1" s="2627"/>
      <c r="AE1" s="2627"/>
      <c r="AF1" s="2627"/>
      <c r="AG1" s="2627"/>
      <c r="AH1" s="2627"/>
      <c r="AI1" s="2628"/>
      <c r="AJ1" s="769" t="s">
        <v>0</v>
      </c>
      <c r="AK1" s="245" t="s">
        <v>1784</v>
      </c>
    </row>
    <row r="2" spans="1:49" ht="15" x14ac:dyDescent="0.25">
      <c r="A2" s="2627"/>
      <c r="B2" s="2627"/>
      <c r="C2" s="2627"/>
      <c r="D2" s="2627"/>
      <c r="E2" s="2627"/>
      <c r="F2" s="2627"/>
      <c r="G2" s="2627"/>
      <c r="H2" s="2627"/>
      <c r="I2" s="2627"/>
      <c r="J2" s="2627"/>
      <c r="K2" s="2627"/>
      <c r="L2" s="2627"/>
      <c r="M2" s="2627"/>
      <c r="N2" s="2627"/>
      <c r="O2" s="2627"/>
      <c r="P2" s="2627"/>
      <c r="Q2" s="2627"/>
      <c r="R2" s="2627"/>
      <c r="S2" s="2627"/>
      <c r="T2" s="2627"/>
      <c r="U2" s="2627"/>
      <c r="V2" s="2627"/>
      <c r="W2" s="2627"/>
      <c r="X2" s="2627"/>
      <c r="Y2" s="2627"/>
      <c r="Z2" s="2627"/>
      <c r="AA2" s="2627"/>
      <c r="AB2" s="2627"/>
      <c r="AC2" s="2627"/>
      <c r="AD2" s="2627"/>
      <c r="AE2" s="2627"/>
      <c r="AF2" s="2627"/>
      <c r="AG2" s="2627"/>
      <c r="AH2" s="2627"/>
      <c r="AI2" s="2628"/>
      <c r="AJ2" s="770" t="s">
        <v>1</v>
      </c>
      <c r="AK2" s="246">
        <v>5</v>
      </c>
    </row>
    <row r="3" spans="1:49" ht="21" customHeight="1" x14ac:dyDescent="0.25">
      <c r="A3" s="2627" t="s">
        <v>214</v>
      </c>
      <c r="B3" s="2627"/>
      <c r="C3" s="2627"/>
      <c r="D3" s="2627"/>
      <c r="E3" s="2627"/>
      <c r="F3" s="2627"/>
      <c r="G3" s="2627"/>
      <c r="H3" s="2627"/>
      <c r="I3" s="2627"/>
      <c r="J3" s="2627"/>
      <c r="K3" s="2627"/>
      <c r="L3" s="2627"/>
      <c r="M3" s="2627"/>
      <c r="N3" s="2627"/>
      <c r="O3" s="2627"/>
      <c r="P3" s="2627"/>
      <c r="Q3" s="2627"/>
      <c r="R3" s="2627"/>
      <c r="S3" s="2627"/>
      <c r="T3" s="2627"/>
      <c r="U3" s="2627"/>
      <c r="V3" s="2627"/>
      <c r="W3" s="2627"/>
      <c r="X3" s="2627"/>
      <c r="Y3" s="2627"/>
      <c r="Z3" s="2627"/>
      <c r="AA3" s="2627"/>
      <c r="AB3" s="2627"/>
      <c r="AC3" s="2627"/>
      <c r="AD3" s="2627"/>
      <c r="AE3" s="2627"/>
      <c r="AF3" s="2627"/>
      <c r="AG3" s="2627"/>
      <c r="AH3" s="2627"/>
      <c r="AI3" s="2628"/>
      <c r="AJ3" s="769" t="s">
        <v>2</v>
      </c>
      <c r="AK3" s="247" t="s">
        <v>1785</v>
      </c>
    </row>
    <row r="4" spans="1:49" s="36" customFormat="1" ht="21" customHeight="1" x14ac:dyDescent="0.2">
      <c r="A4" s="2629" t="s">
        <v>119</v>
      </c>
      <c r="B4" s="2629"/>
      <c r="C4" s="2629"/>
      <c r="D4" s="2629"/>
      <c r="E4" s="2629"/>
      <c r="F4" s="2629"/>
      <c r="G4" s="2629"/>
      <c r="H4" s="2629"/>
      <c r="I4" s="2629"/>
      <c r="J4" s="2629"/>
      <c r="K4" s="2629"/>
      <c r="L4" s="2629"/>
      <c r="M4" s="2629"/>
      <c r="N4" s="2629"/>
      <c r="O4" s="2629"/>
      <c r="P4" s="2629"/>
      <c r="Q4" s="2629"/>
      <c r="R4" s="2629"/>
      <c r="S4" s="2629"/>
      <c r="T4" s="2629"/>
      <c r="U4" s="2629"/>
      <c r="V4" s="2629"/>
      <c r="W4" s="2629"/>
      <c r="X4" s="2629"/>
      <c r="Y4" s="2629"/>
      <c r="Z4" s="2629"/>
      <c r="AA4" s="2629"/>
      <c r="AB4" s="2629"/>
      <c r="AC4" s="2629"/>
      <c r="AD4" s="2629"/>
      <c r="AE4" s="2629"/>
      <c r="AF4" s="2629"/>
      <c r="AG4" s="2629"/>
      <c r="AH4" s="2629"/>
      <c r="AI4" s="2630"/>
      <c r="AJ4" s="772" t="s">
        <v>3</v>
      </c>
      <c r="AK4" s="248" t="s">
        <v>4</v>
      </c>
    </row>
    <row r="5" spans="1:49" ht="15" customHeight="1" x14ac:dyDescent="0.2">
      <c r="A5" s="2595" t="s">
        <v>5</v>
      </c>
      <c r="B5" s="2591"/>
      <c r="C5" s="2591"/>
      <c r="D5" s="2591"/>
      <c r="E5" s="2591"/>
      <c r="F5" s="2591"/>
      <c r="G5" s="2591"/>
      <c r="H5" s="2591"/>
      <c r="I5" s="2591"/>
      <c r="J5" s="2591"/>
      <c r="K5" s="2591"/>
      <c r="L5" s="2595" t="s">
        <v>6</v>
      </c>
      <c r="M5" s="2591"/>
      <c r="N5" s="2591"/>
      <c r="O5" s="2591"/>
      <c r="P5" s="2591"/>
      <c r="Q5" s="2591"/>
      <c r="R5" s="2591"/>
      <c r="S5" s="2591"/>
      <c r="T5" s="2591"/>
      <c r="U5" s="2591"/>
      <c r="V5" s="2592"/>
      <c r="W5" s="2595" t="s">
        <v>7</v>
      </c>
      <c r="X5" s="2591"/>
      <c r="Y5" s="2591"/>
      <c r="Z5" s="2591"/>
      <c r="AA5" s="2591"/>
      <c r="AB5" s="2591"/>
      <c r="AC5" s="2591"/>
      <c r="AD5" s="2591"/>
      <c r="AE5" s="2591"/>
      <c r="AF5" s="2591"/>
      <c r="AG5" s="2591"/>
      <c r="AH5" s="2591"/>
      <c r="AI5" s="2591"/>
      <c r="AJ5" s="2591"/>
      <c r="AK5" s="2592"/>
    </row>
    <row r="6" spans="1:49" ht="14.45" customHeight="1" x14ac:dyDescent="0.2">
      <c r="A6" s="2596"/>
      <c r="B6" s="2597"/>
      <c r="C6" s="2597"/>
      <c r="D6" s="2597"/>
      <c r="E6" s="2597"/>
      <c r="F6" s="2597"/>
      <c r="G6" s="2597"/>
      <c r="H6" s="2597"/>
      <c r="I6" s="2597"/>
      <c r="J6" s="2597"/>
      <c r="K6" s="2597"/>
      <c r="L6" s="2596"/>
      <c r="M6" s="2597"/>
      <c r="N6" s="2597"/>
      <c r="O6" s="2597"/>
      <c r="P6" s="2597"/>
      <c r="Q6" s="2597"/>
      <c r="R6" s="2597"/>
      <c r="S6" s="2597"/>
      <c r="T6" s="2597"/>
      <c r="U6" s="2597"/>
      <c r="V6" s="2598"/>
      <c r="W6" s="2596"/>
      <c r="X6" s="2597"/>
      <c r="Y6" s="2597"/>
      <c r="Z6" s="2597"/>
      <c r="AA6" s="2597"/>
      <c r="AB6" s="2597"/>
      <c r="AC6" s="2597"/>
      <c r="AD6" s="2597"/>
      <c r="AE6" s="2597"/>
      <c r="AF6" s="2597"/>
      <c r="AG6" s="2597"/>
      <c r="AH6" s="2597"/>
      <c r="AI6" s="2593"/>
      <c r="AJ6" s="2593"/>
      <c r="AK6" s="2594"/>
    </row>
    <row r="7" spans="1:49" ht="22.5" customHeight="1" x14ac:dyDescent="0.2">
      <c r="A7" s="2602" t="s">
        <v>8</v>
      </c>
      <c r="B7" s="2602" t="s">
        <v>9</v>
      </c>
      <c r="C7" s="2599" t="s">
        <v>8</v>
      </c>
      <c r="D7" s="2599" t="s">
        <v>10</v>
      </c>
      <c r="E7" s="2599"/>
      <c r="F7" s="2599" t="s">
        <v>8</v>
      </c>
      <c r="G7" s="2599" t="s">
        <v>11</v>
      </c>
      <c r="H7" s="2599" t="s">
        <v>8</v>
      </c>
      <c r="I7" s="2599" t="s">
        <v>12</v>
      </c>
      <c r="J7" s="2599" t="s">
        <v>13</v>
      </c>
      <c r="K7" s="2600" t="s">
        <v>14</v>
      </c>
      <c r="L7" s="2599" t="s">
        <v>15</v>
      </c>
      <c r="M7" s="2602" t="s">
        <v>16</v>
      </c>
      <c r="N7" s="2599" t="s">
        <v>6</v>
      </c>
      <c r="O7" s="2599" t="s">
        <v>17</v>
      </c>
      <c r="P7" s="2610" t="s">
        <v>18</v>
      </c>
      <c r="Q7" s="2599" t="s">
        <v>19</v>
      </c>
      <c r="R7" s="2599" t="s">
        <v>20</v>
      </c>
      <c r="S7" s="2599" t="s">
        <v>21</v>
      </c>
      <c r="T7" s="2600" t="s">
        <v>18</v>
      </c>
      <c r="U7" s="2602" t="s">
        <v>8</v>
      </c>
      <c r="V7" s="2599" t="s">
        <v>22</v>
      </c>
      <c r="W7" s="2589" t="s">
        <v>23</v>
      </c>
      <c r="X7" s="2590"/>
      <c r="Y7" s="2590"/>
      <c r="Z7" s="2590"/>
      <c r="AA7" s="2590"/>
      <c r="AB7" s="2590"/>
      <c r="AC7" s="2589" t="s">
        <v>24</v>
      </c>
      <c r="AD7" s="2590"/>
      <c r="AE7" s="2590"/>
      <c r="AF7" s="2590"/>
      <c r="AG7" s="2590"/>
      <c r="AH7" s="2590"/>
      <c r="AI7" s="2604" t="s">
        <v>25</v>
      </c>
      <c r="AJ7" s="2604" t="s">
        <v>26</v>
      </c>
      <c r="AK7" s="2606" t="s">
        <v>27</v>
      </c>
    </row>
    <row r="8" spans="1:49" ht="102.75" customHeight="1" x14ac:dyDescent="0.2">
      <c r="A8" s="2603"/>
      <c r="B8" s="2603"/>
      <c r="C8" s="2599"/>
      <c r="D8" s="2599"/>
      <c r="E8" s="2599"/>
      <c r="F8" s="2599"/>
      <c r="G8" s="2599"/>
      <c r="H8" s="2599"/>
      <c r="I8" s="2599"/>
      <c r="J8" s="2599"/>
      <c r="K8" s="2601"/>
      <c r="L8" s="2599"/>
      <c r="M8" s="2603"/>
      <c r="N8" s="2599"/>
      <c r="O8" s="2599"/>
      <c r="P8" s="2610"/>
      <c r="Q8" s="2599"/>
      <c r="R8" s="2599"/>
      <c r="S8" s="2599"/>
      <c r="T8" s="2609"/>
      <c r="U8" s="2603"/>
      <c r="V8" s="2599"/>
      <c r="W8" s="1495" t="s">
        <v>28</v>
      </c>
      <c r="X8" s="1495" t="s">
        <v>29</v>
      </c>
      <c r="Y8" s="1495" t="s">
        <v>30</v>
      </c>
      <c r="Z8" s="1495" t="s">
        <v>31</v>
      </c>
      <c r="AA8" s="1495" t="s">
        <v>32</v>
      </c>
      <c r="AB8" s="1495" t="s">
        <v>33</v>
      </c>
      <c r="AC8" s="1495" t="s">
        <v>34</v>
      </c>
      <c r="AD8" s="1495" t="s">
        <v>35</v>
      </c>
      <c r="AE8" s="1495" t="s">
        <v>36</v>
      </c>
      <c r="AF8" s="1495" t="s">
        <v>37</v>
      </c>
      <c r="AG8" s="1495" t="s">
        <v>38</v>
      </c>
      <c r="AH8" s="1495" t="s">
        <v>39</v>
      </c>
      <c r="AI8" s="2605"/>
      <c r="AJ8" s="2605"/>
      <c r="AK8" s="2607"/>
    </row>
    <row r="9" spans="1:49" s="696" customFormat="1" ht="23.25" customHeight="1" x14ac:dyDescent="0.25">
      <c r="A9" s="495">
        <v>5</v>
      </c>
      <c r="B9" s="1135" t="s">
        <v>122</v>
      </c>
      <c r="C9" s="567"/>
      <c r="D9" s="567"/>
      <c r="E9" s="567"/>
      <c r="F9" s="567"/>
      <c r="G9" s="567"/>
      <c r="H9" s="567"/>
      <c r="I9" s="567"/>
      <c r="J9" s="567"/>
      <c r="K9" s="568"/>
      <c r="L9" s="567"/>
      <c r="M9" s="567"/>
      <c r="N9" s="569"/>
      <c r="O9" s="568"/>
      <c r="P9" s="1136"/>
      <c r="Q9" s="947"/>
      <c r="R9" s="568"/>
      <c r="S9" s="568"/>
      <c r="T9" s="1137"/>
      <c r="U9" s="569"/>
      <c r="V9" s="567"/>
      <c r="W9" s="567"/>
      <c r="X9" s="567"/>
      <c r="Y9" s="567"/>
      <c r="Z9" s="567"/>
      <c r="AA9" s="567"/>
      <c r="AB9" s="567"/>
      <c r="AC9" s="573"/>
      <c r="AD9" s="693"/>
      <c r="AE9" s="693"/>
      <c r="AF9" s="693"/>
      <c r="AG9" s="693"/>
      <c r="AH9" s="693"/>
      <c r="AI9" s="693"/>
      <c r="AJ9" s="693"/>
      <c r="AK9" s="695"/>
      <c r="AL9" s="775"/>
      <c r="AM9" s="775"/>
      <c r="AN9" s="775"/>
      <c r="AO9" s="775"/>
      <c r="AP9" s="775"/>
      <c r="AQ9" s="775"/>
      <c r="AR9" s="775"/>
      <c r="AS9" s="775"/>
      <c r="AT9" s="775"/>
      <c r="AU9" s="775"/>
      <c r="AV9" s="775"/>
      <c r="AW9" s="775"/>
    </row>
    <row r="10" spans="1:49" s="1140" customFormat="1" ht="23.25" customHeight="1" x14ac:dyDescent="0.25">
      <c r="A10" s="587"/>
      <c r="B10" s="588"/>
      <c r="C10" s="1138">
        <v>26</v>
      </c>
      <c r="D10" s="1139" t="s">
        <v>215</v>
      </c>
      <c r="E10" s="615"/>
      <c r="F10" s="615"/>
      <c r="G10" s="1138"/>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1139"/>
    </row>
    <row r="11" spans="1:49" s="562" customFormat="1" ht="23.25" customHeight="1" x14ac:dyDescent="0.25">
      <c r="A11" s="1141"/>
      <c r="B11" s="1141"/>
      <c r="C11" s="1142"/>
      <c r="D11" s="1143"/>
      <c r="E11" s="1144"/>
      <c r="F11" s="266">
        <v>83</v>
      </c>
      <c r="G11" s="1945" t="s">
        <v>216</v>
      </c>
      <c r="H11" s="1945"/>
      <c r="I11" s="713"/>
      <c r="J11" s="713"/>
      <c r="K11" s="713"/>
      <c r="L11" s="713"/>
      <c r="M11" s="713"/>
      <c r="N11" s="713"/>
      <c r="O11" s="713"/>
      <c r="P11" s="1145"/>
      <c r="Q11" s="713"/>
      <c r="R11" s="713"/>
      <c r="S11" s="713"/>
      <c r="T11" s="1145"/>
      <c r="U11" s="713"/>
      <c r="V11" s="713"/>
      <c r="W11" s="713"/>
      <c r="X11" s="713"/>
      <c r="Y11" s="713"/>
      <c r="Z11" s="713"/>
      <c r="AA11" s="713"/>
      <c r="AB11" s="713"/>
      <c r="AC11" s="713"/>
      <c r="AD11" s="713"/>
      <c r="AE11" s="713"/>
      <c r="AF11" s="713"/>
      <c r="AG11" s="713"/>
      <c r="AH11" s="713"/>
      <c r="AI11" s="712"/>
      <c r="AJ11" s="712"/>
      <c r="AK11" s="717"/>
    </row>
    <row r="12" spans="1:49" ht="99.75" x14ac:dyDescent="0.2">
      <c r="A12" s="601"/>
      <c r="B12" s="163"/>
      <c r="C12" s="601"/>
      <c r="D12" s="602"/>
      <c r="E12" s="1146"/>
      <c r="F12" s="623"/>
      <c r="G12" s="624"/>
      <c r="H12" s="2308">
        <v>244</v>
      </c>
      <c r="I12" s="1767" t="s">
        <v>217</v>
      </c>
      <c r="J12" s="1861" t="s">
        <v>16</v>
      </c>
      <c r="K12" s="2608">
        <v>12</v>
      </c>
      <c r="L12" s="1861" t="s">
        <v>218</v>
      </c>
      <c r="M12" s="1861">
        <v>82</v>
      </c>
      <c r="N12" s="1767" t="s">
        <v>219</v>
      </c>
      <c r="O12" s="1869">
        <f>(T12+T13+T14+T15+T16+T17+T18)/P12</f>
        <v>1</v>
      </c>
      <c r="P12" s="2305">
        <f>SUM(T12:T19)</f>
        <v>1189534666</v>
      </c>
      <c r="Q12" s="1767" t="s">
        <v>220</v>
      </c>
      <c r="R12" s="1798" t="s">
        <v>221</v>
      </c>
      <c r="S12" s="1147" t="s">
        <v>222</v>
      </c>
      <c r="T12" s="1148">
        <f>160034666+53333334</f>
        <v>213368000</v>
      </c>
      <c r="U12" s="1856">
        <v>20</v>
      </c>
      <c r="V12" s="1861" t="s">
        <v>132</v>
      </c>
      <c r="W12" s="2611">
        <v>0</v>
      </c>
      <c r="X12" s="2616">
        <v>0</v>
      </c>
      <c r="Y12" s="2611">
        <v>30</v>
      </c>
      <c r="Z12" s="2611">
        <v>0</v>
      </c>
      <c r="AA12" s="2611">
        <v>150</v>
      </c>
      <c r="AB12" s="2611">
        <v>0</v>
      </c>
      <c r="AC12" s="2611">
        <v>0</v>
      </c>
      <c r="AD12" s="2611">
        <v>0</v>
      </c>
      <c r="AE12" s="2611">
        <v>0</v>
      </c>
      <c r="AF12" s="2611">
        <v>0</v>
      </c>
      <c r="AG12" s="2611">
        <v>0</v>
      </c>
      <c r="AH12" s="2611">
        <v>0</v>
      </c>
      <c r="AI12" s="1850">
        <v>42736</v>
      </c>
      <c r="AJ12" s="1850">
        <v>43100</v>
      </c>
      <c r="AK12" s="1798" t="s">
        <v>223</v>
      </c>
    </row>
    <row r="13" spans="1:49" ht="42.75" customHeight="1" x14ac:dyDescent="0.2">
      <c r="A13" s="601"/>
      <c r="B13" s="163"/>
      <c r="C13" s="601"/>
      <c r="D13" s="602"/>
      <c r="E13" s="1146"/>
      <c r="F13" s="601"/>
      <c r="G13" s="602"/>
      <c r="H13" s="1891"/>
      <c r="I13" s="1768"/>
      <c r="J13" s="1865"/>
      <c r="K13" s="1876"/>
      <c r="L13" s="1865"/>
      <c r="M13" s="1865"/>
      <c r="N13" s="1768"/>
      <c r="O13" s="1870"/>
      <c r="P13" s="2306"/>
      <c r="Q13" s="1768"/>
      <c r="R13" s="1800"/>
      <c r="S13" s="455" t="s">
        <v>224</v>
      </c>
      <c r="T13" s="1149">
        <f>157000000+53333334</f>
        <v>210333334</v>
      </c>
      <c r="U13" s="1857"/>
      <c r="V13" s="1865"/>
      <c r="W13" s="2612"/>
      <c r="X13" s="2613"/>
      <c r="Y13" s="2612"/>
      <c r="Z13" s="2612"/>
      <c r="AA13" s="2612"/>
      <c r="AB13" s="2612"/>
      <c r="AC13" s="2612"/>
      <c r="AD13" s="2612"/>
      <c r="AE13" s="2612"/>
      <c r="AF13" s="2612"/>
      <c r="AG13" s="2612"/>
      <c r="AH13" s="2612"/>
      <c r="AI13" s="1851"/>
      <c r="AJ13" s="1851"/>
      <c r="AK13" s="1799"/>
    </row>
    <row r="14" spans="1:49" ht="39" customHeight="1" x14ac:dyDescent="0.2">
      <c r="A14" s="601"/>
      <c r="B14" s="163"/>
      <c r="C14" s="601"/>
      <c r="D14" s="602"/>
      <c r="E14" s="1146"/>
      <c r="F14" s="601"/>
      <c r="G14" s="602"/>
      <c r="H14" s="1891"/>
      <c r="I14" s="1768"/>
      <c r="J14" s="1865"/>
      <c r="K14" s="1876"/>
      <c r="L14" s="1865"/>
      <c r="M14" s="1865"/>
      <c r="N14" s="1768"/>
      <c r="O14" s="1870"/>
      <c r="P14" s="2306"/>
      <c r="Q14" s="1768"/>
      <c r="R14" s="1767" t="s">
        <v>225</v>
      </c>
      <c r="S14" s="1147" t="s">
        <v>226</v>
      </c>
      <c r="T14" s="1148">
        <f>79000000+53333333</f>
        <v>132333333</v>
      </c>
      <c r="U14" s="1857"/>
      <c r="V14" s="1865"/>
      <c r="W14" s="2612"/>
      <c r="X14" s="2613"/>
      <c r="Y14" s="2612"/>
      <c r="Z14" s="2612"/>
      <c r="AA14" s="2612"/>
      <c r="AB14" s="2612"/>
      <c r="AC14" s="2612"/>
      <c r="AD14" s="2612"/>
      <c r="AE14" s="2612"/>
      <c r="AF14" s="2612"/>
      <c r="AG14" s="2612"/>
      <c r="AH14" s="2612"/>
      <c r="AI14" s="1851"/>
      <c r="AJ14" s="1851"/>
      <c r="AK14" s="1799"/>
    </row>
    <row r="15" spans="1:49" ht="57" x14ac:dyDescent="0.2">
      <c r="A15" s="601"/>
      <c r="B15" s="163"/>
      <c r="C15" s="601"/>
      <c r="D15" s="602"/>
      <c r="E15" s="1146"/>
      <c r="F15" s="601"/>
      <c r="G15" s="602"/>
      <c r="H15" s="1891"/>
      <c r="I15" s="1768"/>
      <c r="J15" s="1865"/>
      <c r="K15" s="1876"/>
      <c r="L15" s="1865"/>
      <c r="M15" s="1865"/>
      <c r="N15" s="1768"/>
      <c r="O15" s="1870"/>
      <c r="P15" s="2306"/>
      <c r="Q15" s="1768"/>
      <c r="R15" s="1769"/>
      <c r="S15" s="1147" t="s">
        <v>227</v>
      </c>
      <c r="T15" s="1148">
        <f>79000000+53333333</f>
        <v>132333333</v>
      </c>
      <c r="U15" s="1857"/>
      <c r="V15" s="1865"/>
      <c r="W15" s="2612"/>
      <c r="X15" s="2613"/>
      <c r="Y15" s="2612"/>
      <c r="Z15" s="2612"/>
      <c r="AA15" s="2612"/>
      <c r="AB15" s="2612"/>
      <c r="AC15" s="2612"/>
      <c r="AD15" s="2612"/>
      <c r="AE15" s="2612"/>
      <c r="AF15" s="2612"/>
      <c r="AG15" s="2612"/>
      <c r="AH15" s="2612"/>
      <c r="AI15" s="1851"/>
      <c r="AJ15" s="1851"/>
      <c r="AK15" s="1799"/>
    </row>
    <row r="16" spans="1:49" ht="45.75" customHeight="1" x14ac:dyDescent="0.2">
      <c r="A16" s="601"/>
      <c r="B16" s="163"/>
      <c r="C16" s="601"/>
      <c r="D16" s="602"/>
      <c r="E16" s="1146"/>
      <c r="F16" s="601"/>
      <c r="G16" s="602"/>
      <c r="H16" s="1891"/>
      <c r="I16" s="1768"/>
      <c r="J16" s="1865"/>
      <c r="K16" s="1876"/>
      <c r="L16" s="1865"/>
      <c r="M16" s="1865"/>
      <c r="N16" s="1768"/>
      <c r="O16" s="1870"/>
      <c r="P16" s="2306"/>
      <c r="Q16" s="1768"/>
      <c r="R16" s="1861" t="s">
        <v>228</v>
      </c>
      <c r="S16" s="1147" t="s">
        <v>229</v>
      </c>
      <c r="T16" s="1148">
        <f>236000000+53333333</f>
        <v>289333333</v>
      </c>
      <c r="U16" s="1857"/>
      <c r="V16" s="1865"/>
      <c r="W16" s="2612"/>
      <c r="X16" s="2613"/>
      <c r="Y16" s="2612"/>
      <c r="Z16" s="2612"/>
      <c r="AA16" s="2612"/>
      <c r="AB16" s="2612"/>
      <c r="AC16" s="2612"/>
      <c r="AD16" s="2612"/>
      <c r="AE16" s="2612"/>
      <c r="AF16" s="2612"/>
      <c r="AG16" s="2612"/>
      <c r="AH16" s="2612"/>
      <c r="AI16" s="1851"/>
      <c r="AJ16" s="1851"/>
      <c r="AK16" s="1799"/>
    </row>
    <row r="17" spans="1:37" ht="31.5" customHeight="1" x14ac:dyDescent="0.2">
      <c r="A17" s="601"/>
      <c r="B17" s="163"/>
      <c r="C17" s="601"/>
      <c r="D17" s="602"/>
      <c r="E17" s="163"/>
      <c r="F17" s="601"/>
      <c r="G17" s="602"/>
      <c r="H17" s="1891"/>
      <c r="I17" s="1768"/>
      <c r="J17" s="1865"/>
      <c r="K17" s="1876"/>
      <c r="L17" s="1865"/>
      <c r="M17" s="1865"/>
      <c r="N17" s="1768"/>
      <c r="O17" s="1870"/>
      <c r="P17" s="2306"/>
      <c r="Q17" s="1768"/>
      <c r="R17" s="1865"/>
      <c r="S17" s="1147" t="s">
        <v>230</v>
      </c>
      <c r="T17" s="1148">
        <f>38500000+80000000</f>
        <v>118500000</v>
      </c>
      <c r="U17" s="1857"/>
      <c r="V17" s="1865"/>
      <c r="W17" s="2613"/>
      <c r="X17" s="2613"/>
      <c r="Y17" s="2612"/>
      <c r="Z17" s="2612"/>
      <c r="AA17" s="2612"/>
      <c r="AB17" s="2612"/>
      <c r="AC17" s="2612"/>
      <c r="AD17" s="2612"/>
      <c r="AE17" s="2612"/>
      <c r="AF17" s="2612"/>
      <c r="AG17" s="2612"/>
      <c r="AH17" s="2612"/>
      <c r="AI17" s="1851"/>
      <c r="AJ17" s="1851"/>
      <c r="AK17" s="1799"/>
    </row>
    <row r="18" spans="1:37" ht="14.25" customHeight="1" x14ac:dyDescent="0.2">
      <c r="A18" s="601"/>
      <c r="B18" s="163"/>
      <c r="C18" s="601"/>
      <c r="D18" s="602"/>
      <c r="E18" s="163"/>
      <c r="F18" s="601"/>
      <c r="G18" s="602"/>
      <c r="H18" s="1891"/>
      <c r="I18" s="1768"/>
      <c r="J18" s="1865"/>
      <c r="K18" s="1876"/>
      <c r="L18" s="1865"/>
      <c r="M18" s="1865"/>
      <c r="N18" s="1768"/>
      <c r="O18" s="1870"/>
      <c r="P18" s="2306"/>
      <c r="Q18" s="1768"/>
      <c r="R18" s="1865"/>
      <c r="S18" s="1767" t="s">
        <v>231</v>
      </c>
      <c r="T18" s="2614">
        <f>40000000+53333333</f>
        <v>93333333</v>
      </c>
      <c r="U18" s="1857"/>
      <c r="V18" s="1865"/>
      <c r="W18" s="2613"/>
      <c r="X18" s="2613"/>
      <c r="Y18" s="2612"/>
      <c r="Z18" s="2612"/>
      <c r="AA18" s="2612"/>
      <c r="AB18" s="2612"/>
      <c r="AC18" s="2612"/>
      <c r="AD18" s="2612"/>
      <c r="AE18" s="2612"/>
      <c r="AF18" s="2612"/>
      <c r="AG18" s="2612"/>
      <c r="AH18" s="2612"/>
      <c r="AI18" s="1851"/>
      <c r="AJ18" s="1851"/>
      <c r="AK18" s="1799"/>
    </row>
    <row r="19" spans="1:37" x14ac:dyDescent="0.2">
      <c r="A19" s="601"/>
      <c r="B19" s="163"/>
      <c r="C19" s="601"/>
      <c r="D19" s="602"/>
      <c r="E19" s="163"/>
      <c r="F19" s="601"/>
      <c r="G19" s="602"/>
      <c r="H19" s="1891"/>
      <c r="I19" s="1768"/>
      <c r="J19" s="1865"/>
      <c r="K19" s="1876"/>
      <c r="L19" s="1865"/>
      <c r="M19" s="1865"/>
      <c r="N19" s="1768"/>
      <c r="O19" s="1870"/>
      <c r="P19" s="2306"/>
      <c r="Q19" s="1768"/>
      <c r="R19" s="1865"/>
      <c r="S19" s="1769"/>
      <c r="T19" s="2615"/>
      <c r="U19" s="1857"/>
      <c r="V19" s="1865"/>
      <c r="W19" s="2613"/>
      <c r="X19" s="2613"/>
      <c r="Y19" s="2612"/>
      <c r="Z19" s="2612"/>
      <c r="AA19" s="2612"/>
      <c r="AB19" s="2612"/>
      <c r="AC19" s="2612"/>
      <c r="AD19" s="2612"/>
      <c r="AE19" s="2612"/>
      <c r="AF19" s="2612"/>
      <c r="AG19" s="2612"/>
      <c r="AH19" s="2612"/>
      <c r="AI19" s="1851"/>
      <c r="AJ19" s="1851"/>
      <c r="AK19" s="1799"/>
    </row>
    <row r="20" spans="1:37" ht="48.75" customHeight="1" x14ac:dyDescent="0.2">
      <c r="A20" s="37"/>
      <c r="B20" s="513"/>
      <c r="C20" s="37"/>
      <c r="D20" s="514"/>
      <c r="F20" s="37"/>
      <c r="G20" s="514"/>
      <c r="H20" s="2308">
        <v>245</v>
      </c>
      <c r="I20" s="1767" t="s">
        <v>232</v>
      </c>
      <c r="J20" s="1861" t="s">
        <v>16</v>
      </c>
      <c r="K20" s="2608">
        <v>1</v>
      </c>
      <c r="L20" s="1861" t="s">
        <v>233</v>
      </c>
      <c r="M20" s="1861">
        <v>83</v>
      </c>
      <c r="N20" s="1767" t="s">
        <v>234</v>
      </c>
      <c r="O20" s="1869">
        <f>(T20+T22+T24+T25+T26)/P20</f>
        <v>1</v>
      </c>
      <c r="P20" s="2305">
        <f>SUM(T20:T27)</f>
        <v>180000000</v>
      </c>
      <c r="Q20" s="1767" t="s">
        <v>235</v>
      </c>
      <c r="R20" s="1798" t="s">
        <v>236</v>
      </c>
      <c r="S20" s="1767" t="s">
        <v>237</v>
      </c>
      <c r="T20" s="2614">
        <v>50000000</v>
      </c>
      <c r="U20" s="1856">
        <v>20</v>
      </c>
      <c r="V20" s="1861" t="s">
        <v>132</v>
      </c>
      <c r="W20" s="2616">
        <v>64149</v>
      </c>
      <c r="X20" s="2616">
        <v>72224</v>
      </c>
      <c r="Y20" s="2611">
        <v>24477</v>
      </c>
      <c r="Z20" s="2611">
        <v>86843</v>
      </c>
      <c r="AA20" s="2611">
        <v>236429</v>
      </c>
      <c r="AB20" s="2611">
        <v>81384</v>
      </c>
      <c r="AC20" s="2611">
        <v>13208</v>
      </c>
      <c r="AD20" s="2611">
        <v>1817</v>
      </c>
      <c r="AE20" s="2611"/>
      <c r="AF20" s="2611"/>
      <c r="AG20" s="2611"/>
      <c r="AH20" s="2611"/>
      <c r="AI20" s="1850">
        <v>42736</v>
      </c>
      <c r="AJ20" s="1850">
        <v>43100</v>
      </c>
      <c r="AK20" s="1798" t="s">
        <v>223</v>
      </c>
    </row>
    <row r="21" spans="1:37" ht="42" customHeight="1" x14ac:dyDescent="0.2">
      <c r="A21" s="37"/>
      <c r="B21" s="513"/>
      <c r="C21" s="37"/>
      <c r="D21" s="514"/>
      <c r="F21" s="37"/>
      <c r="G21" s="514"/>
      <c r="H21" s="1891"/>
      <c r="I21" s="1768"/>
      <c r="J21" s="1865"/>
      <c r="K21" s="1876"/>
      <c r="L21" s="1865"/>
      <c r="M21" s="1865"/>
      <c r="N21" s="1768"/>
      <c r="O21" s="1870"/>
      <c r="P21" s="2306"/>
      <c r="Q21" s="1768"/>
      <c r="R21" s="1800"/>
      <c r="S21" s="1769"/>
      <c r="T21" s="2615"/>
      <c r="U21" s="1857"/>
      <c r="V21" s="1865"/>
      <c r="W21" s="2613"/>
      <c r="X21" s="2613"/>
      <c r="Y21" s="2612"/>
      <c r="Z21" s="2612"/>
      <c r="AA21" s="2612"/>
      <c r="AB21" s="2612"/>
      <c r="AC21" s="2612"/>
      <c r="AD21" s="2612"/>
      <c r="AE21" s="2612"/>
      <c r="AF21" s="2612"/>
      <c r="AG21" s="2612"/>
      <c r="AH21" s="2612"/>
      <c r="AI21" s="1851"/>
      <c r="AJ21" s="1851"/>
      <c r="AK21" s="1799"/>
    </row>
    <row r="22" spans="1:37" ht="27.75" customHeight="1" x14ac:dyDescent="0.2">
      <c r="A22" s="37"/>
      <c r="B22" s="513"/>
      <c r="C22" s="37"/>
      <c r="D22" s="514"/>
      <c r="F22" s="37"/>
      <c r="G22" s="514"/>
      <c r="H22" s="1891"/>
      <c r="I22" s="1768"/>
      <c r="J22" s="1865"/>
      <c r="K22" s="1876"/>
      <c r="L22" s="1865"/>
      <c r="M22" s="1865"/>
      <c r="N22" s="1768"/>
      <c r="O22" s="1870"/>
      <c r="P22" s="2306"/>
      <c r="Q22" s="1768"/>
      <c r="R22" s="1767" t="s">
        <v>238</v>
      </c>
      <c r="S22" s="1767" t="s">
        <v>239</v>
      </c>
      <c r="T22" s="2614">
        <v>90000000</v>
      </c>
      <c r="U22" s="1857"/>
      <c r="V22" s="1865"/>
      <c r="W22" s="2613"/>
      <c r="X22" s="2613"/>
      <c r="Y22" s="2612"/>
      <c r="Z22" s="2612"/>
      <c r="AA22" s="2612"/>
      <c r="AB22" s="2612"/>
      <c r="AC22" s="2612"/>
      <c r="AD22" s="2612"/>
      <c r="AE22" s="2612"/>
      <c r="AF22" s="2612"/>
      <c r="AG22" s="2612"/>
      <c r="AH22" s="2612"/>
      <c r="AI22" s="1851"/>
      <c r="AJ22" s="1851"/>
      <c r="AK22" s="1799"/>
    </row>
    <row r="23" spans="1:37" ht="38.25" customHeight="1" x14ac:dyDescent="0.2">
      <c r="A23" s="37"/>
      <c r="B23" s="513"/>
      <c r="C23" s="37"/>
      <c r="D23" s="514"/>
      <c r="F23" s="37"/>
      <c r="G23" s="514"/>
      <c r="H23" s="1891"/>
      <c r="I23" s="1768"/>
      <c r="J23" s="1865"/>
      <c r="K23" s="1876"/>
      <c r="L23" s="1865"/>
      <c r="M23" s="1865"/>
      <c r="N23" s="1768"/>
      <c r="O23" s="1870"/>
      <c r="P23" s="2306"/>
      <c r="Q23" s="1768"/>
      <c r="R23" s="1768"/>
      <c r="S23" s="1769"/>
      <c r="T23" s="2615"/>
      <c r="U23" s="1857"/>
      <c r="V23" s="1865"/>
      <c r="W23" s="2613"/>
      <c r="X23" s="2613"/>
      <c r="Y23" s="2612"/>
      <c r="Z23" s="2612"/>
      <c r="AA23" s="2612"/>
      <c r="AB23" s="2612"/>
      <c r="AC23" s="2612"/>
      <c r="AD23" s="2612"/>
      <c r="AE23" s="2612"/>
      <c r="AF23" s="2612"/>
      <c r="AG23" s="2612"/>
      <c r="AH23" s="2612"/>
      <c r="AI23" s="1851"/>
      <c r="AJ23" s="1851"/>
      <c r="AK23" s="1799"/>
    </row>
    <row r="24" spans="1:37" ht="44.25" customHeight="1" x14ac:dyDescent="0.2">
      <c r="A24" s="37"/>
      <c r="B24" s="513"/>
      <c r="C24" s="37"/>
      <c r="D24" s="514"/>
      <c r="F24" s="37"/>
      <c r="G24" s="514"/>
      <c r="H24" s="1891"/>
      <c r="I24" s="1768"/>
      <c r="J24" s="1865"/>
      <c r="K24" s="1876"/>
      <c r="L24" s="1865"/>
      <c r="M24" s="1865"/>
      <c r="N24" s="1768"/>
      <c r="O24" s="1870"/>
      <c r="P24" s="2306"/>
      <c r="Q24" s="1768"/>
      <c r="R24" s="1768"/>
      <c r="S24" s="1147" t="s">
        <v>240</v>
      </c>
      <c r="T24" s="1148">
        <v>10000000</v>
      </c>
      <c r="U24" s="1857"/>
      <c r="V24" s="1865"/>
      <c r="W24" s="2613"/>
      <c r="X24" s="2613"/>
      <c r="Y24" s="2612"/>
      <c r="Z24" s="2612"/>
      <c r="AA24" s="2612"/>
      <c r="AB24" s="2612"/>
      <c r="AC24" s="2612"/>
      <c r="AD24" s="2612"/>
      <c r="AE24" s="2612"/>
      <c r="AF24" s="2612"/>
      <c r="AG24" s="2612"/>
      <c r="AH24" s="2612"/>
      <c r="AI24" s="1851"/>
      <c r="AJ24" s="1851"/>
      <c r="AK24" s="1799"/>
    </row>
    <row r="25" spans="1:37" ht="36" customHeight="1" x14ac:dyDescent="0.2">
      <c r="A25" s="37"/>
      <c r="B25" s="514"/>
      <c r="C25" s="37"/>
      <c r="D25" s="514"/>
      <c r="F25" s="37"/>
      <c r="G25" s="514"/>
      <c r="H25" s="1891"/>
      <c r="I25" s="1768"/>
      <c r="J25" s="1865"/>
      <c r="K25" s="1876"/>
      <c r="L25" s="1865"/>
      <c r="M25" s="1865"/>
      <c r="N25" s="1768"/>
      <c r="O25" s="1870"/>
      <c r="P25" s="2306"/>
      <c r="Q25" s="1768"/>
      <c r="R25" s="1768"/>
      <c r="S25" s="1147" t="s">
        <v>241</v>
      </c>
      <c r="T25" s="1148">
        <v>10000000</v>
      </c>
      <c r="U25" s="1857"/>
      <c r="V25" s="1865"/>
      <c r="W25" s="2613"/>
      <c r="X25" s="2613"/>
      <c r="Y25" s="2612"/>
      <c r="Z25" s="2612"/>
      <c r="AA25" s="2612"/>
      <c r="AB25" s="2612"/>
      <c r="AC25" s="2612"/>
      <c r="AD25" s="2612"/>
      <c r="AE25" s="2612"/>
      <c r="AF25" s="2612"/>
      <c r="AG25" s="2612"/>
      <c r="AH25" s="2612"/>
      <c r="AI25" s="1851"/>
      <c r="AJ25" s="1851"/>
      <c r="AK25" s="1799"/>
    </row>
    <row r="26" spans="1:37" ht="20.25" customHeight="1" x14ac:dyDescent="0.2">
      <c r="A26" s="37"/>
      <c r="B26" s="514"/>
      <c r="C26" s="37"/>
      <c r="D26" s="514"/>
      <c r="F26" s="37"/>
      <c r="G26" s="514"/>
      <c r="H26" s="1891"/>
      <c r="I26" s="1768"/>
      <c r="J26" s="1865"/>
      <c r="K26" s="1876"/>
      <c r="L26" s="1865"/>
      <c r="M26" s="1865"/>
      <c r="N26" s="1768"/>
      <c r="O26" s="1870"/>
      <c r="P26" s="2306"/>
      <c r="Q26" s="1768"/>
      <c r="R26" s="1768"/>
      <c r="S26" s="1767" t="s">
        <v>242</v>
      </c>
      <c r="T26" s="2614">
        <v>20000000</v>
      </c>
      <c r="U26" s="1857"/>
      <c r="V26" s="1865"/>
      <c r="W26" s="2613"/>
      <c r="X26" s="2613"/>
      <c r="Y26" s="2612"/>
      <c r="Z26" s="2612"/>
      <c r="AA26" s="2612"/>
      <c r="AB26" s="2612"/>
      <c r="AC26" s="2612"/>
      <c r="AD26" s="2612"/>
      <c r="AE26" s="2612"/>
      <c r="AF26" s="2612"/>
      <c r="AG26" s="2612"/>
      <c r="AH26" s="2612"/>
      <c r="AI26" s="1851"/>
      <c r="AJ26" s="1851"/>
      <c r="AK26" s="1799"/>
    </row>
    <row r="27" spans="1:37" ht="23.25" customHeight="1" x14ac:dyDescent="0.2">
      <c r="A27" s="37"/>
      <c r="B27" s="514"/>
      <c r="C27" s="37"/>
      <c r="D27" s="514"/>
      <c r="F27" s="37"/>
      <c r="G27" s="514"/>
      <c r="H27" s="2309"/>
      <c r="I27" s="1769"/>
      <c r="J27" s="1862"/>
      <c r="K27" s="2617"/>
      <c r="L27" s="1862"/>
      <c r="M27" s="1862"/>
      <c r="N27" s="1769"/>
      <c r="O27" s="1871"/>
      <c r="P27" s="2307"/>
      <c r="Q27" s="1769"/>
      <c r="R27" s="1769"/>
      <c r="S27" s="1769"/>
      <c r="T27" s="2615"/>
      <c r="U27" s="1858"/>
      <c r="V27" s="1862"/>
      <c r="W27" s="2618"/>
      <c r="X27" s="2618"/>
      <c r="Y27" s="2612"/>
      <c r="Z27" s="2612"/>
      <c r="AA27" s="2612"/>
      <c r="AB27" s="2612"/>
      <c r="AC27" s="2612"/>
      <c r="AD27" s="2612"/>
      <c r="AE27" s="2612"/>
      <c r="AF27" s="2612"/>
      <c r="AG27" s="2612"/>
      <c r="AH27" s="2612"/>
      <c r="AI27" s="1852"/>
      <c r="AJ27" s="1851"/>
      <c r="AK27" s="1799"/>
    </row>
    <row r="28" spans="1:37" s="562" customFormat="1" ht="21" customHeight="1" x14ac:dyDescent="0.25">
      <c r="A28" s="708"/>
      <c r="B28" s="1150"/>
      <c r="C28" s="1151">
        <v>28</v>
      </c>
      <c r="D28" s="45" t="s">
        <v>177</v>
      </c>
      <c r="E28" s="45"/>
      <c r="F28" s="45"/>
      <c r="G28" s="1152"/>
      <c r="H28" s="579"/>
      <c r="I28" s="580"/>
      <c r="J28" s="579"/>
      <c r="K28" s="45"/>
      <c r="L28" s="45"/>
      <c r="M28" s="1153"/>
      <c r="N28" s="54"/>
      <c r="O28" s="582"/>
      <c r="P28" s="1154"/>
      <c r="Q28" s="580"/>
      <c r="R28" s="580"/>
      <c r="S28" s="580"/>
      <c r="T28" s="1155"/>
      <c r="U28" s="1156"/>
      <c r="V28" s="581"/>
      <c r="W28" s="579"/>
      <c r="X28" s="579"/>
      <c r="Y28" s="1138"/>
      <c r="Z28" s="45"/>
      <c r="AA28" s="45"/>
      <c r="AB28" s="45"/>
      <c r="AC28" s="45"/>
      <c r="AD28" s="45"/>
      <c r="AE28" s="45"/>
      <c r="AF28" s="45"/>
      <c r="AG28" s="45"/>
      <c r="AH28" s="45"/>
      <c r="AI28" s="1157"/>
      <c r="AJ28" s="1157"/>
      <c r="AK28" s="1158"/>
    </row>
    <row r="29" spans="1:37" s="562" customFormat="1" ht="21" customHeight="1" x14ac:dyDescent="0.25">
      <c r="A29" s="708"/>
      <c r="B29" s="1150"/>
      <c r="C29" s="708"/>
      <c r="D29" s="1150"/>
      <c r="E29" s="1159"/>
      <c r="F29" s="1160">
        <v>89</v>
      </c>
      <c r="G29" s="79" t="s">
        <v>243</v>
      </c>
      <c r="H29" s="81"/>
      <c r="I29" s="595"/>
      <c r="J29" s="81"/>
      <c r="K29" s="81"/>
      <c r="L29" s="81"/>
      <c r="M29" s="69"/>
      <c r="N29" s="56"/>
      <c r="O29" s="591"/>
      <c r="P29" s="1161"/>
      <c r="Q29" s="56"/>
      <c r="R29" s="1162"/>
      <c r="S29" s="1162"/>
      <c r="T29" s="1163"/>
      <c r="U29" s="593"/>
      <c r="V29" s="69"/>
      <c r="W29" s="81"/>
      <c r="X29" s="81"/>
      <c r="Y29" s="1164"/>
      <c r="Z29" s="81"/>
      <c r="AA29" s="81"/>
      <c r="AB29" s="81"/>
      <c r="AC29" s="81"/>
      <c r="AD29" s="81"/>
      <c r="AE29" s="81"/>
      <c r="AF29" s="81"/>
      <c r="AG29" s="81"/>
      <c r="AH29" s="81"/>
      <c r="AI29" s="594"/>
      <c r="AJ29" s="594"/>
      <c r="AK29" s="1165"/>
    </row>
    <row r="30" spans="1:37" ht="73.5" customHeight="1" x14ac:dyDescent="0.2">
      <c r="A30" s="37"/>
      <c r="B30" s="514"/>
      <c r="C30" s="37"/>
      <c r="D30" s="514"/>
      <c r="F30" s="37"/>
      <c r="G30" s="514"/>
      <c r="H30" s="1891">
        <v>288</v>
      </c>
      <c r="I30" s="1768" t="s">
        <v>244</v>
      </c>
      <c r="J30" s="1861" t="s">
        <v>16</v>
      </c>
      <c r="K30" s="2608">
        <v>1</v>
      </c>
      <c r="L30" s="1861" t="s">
        <v>245</v>
      </c>
      <c r="M30" s="1861">
        <v>81</v>
      </c>
      <c r="N30" s="1767" t="s">
        <v>246</v>
      </c>
      <c r="O30" s="1869">
        <f>(T30+T31+T32+T33)/P30</f>
        <v>1</v>
      </c>
      <c r="P30" s="2305">
        <f>SUM(T30:T37)</f>
        <v>869504873</v>
      </c>
      <c r="Q30" s="2620" t="s">
        <v>247</v>
      </c>
      <c r="R30" s="525" t="s">
        <v>248</v>
      </c>
      <c r="S30" s="525" t="s">
        <v>249</v>
      </c>
      <c r="T30" s="1166">
        <f>66500000+37500000</f>
        <v>104000000</v>
      </c>
      <c r="U30" s="1856">
        <v>20</v>
      </c>
      <c r="V30" s="1861" t="s">
        <v>132</v>
      </c>
      <c r="W30" s="2616">
        <v>64149</v>
      </c>
      <c r="X30" s="2616">
        <v>72224</v>
      </c>
      <c r="Y30" s="2612">
        <v>24477</v>
      </c>
      <c r="Z30" s="2612">
        <v>86843</v>
      </c>
      <c r="AA30" s="2612">
        <v>236429</v>
      </c>
      <c r="AB30" s="2612">
        <v>81384</v>
      </c>
      <c r="AC30" s="2612">
        <v>13208</v>
      </c>
      <c r="AD30" s="2612">
        <v>1817</v>
      </c>
      <c r="AE30" s="2612"/>
      <c r="AF30" s="2612"/>
      <c r="AG30" s="2612"/>
      <c r="AH30" s="2612"/>
      <c r="AI30" s="1850">
        <v>42736</v>
      </c>
      <c r="AJ30" s="1851">
        <v>43100</v>
      </c>
      <c r="AK30" s="1864" t="s">
        <v>223</v>
      </c>
    </row>
    <row r="31" spans="1:37" ht="71.25" x14ac:dyDescent="0.2">
      <c r="A31" s="37"/>
      <c r="B31" s="514"/>
      <c r="C31" s="37"/>
      <c r="D31" s="514"/>
      <c r="F31" s="37"/>
      <c r="G31" s="514"/>
      <c r="H31" s="1891"/>
      <c r="I31" s="1768"/>
      <c r="J31" s="1865"/>
      <c r="K31" s="1876"/>
      <c r="L31" s="1865"/>
      <c r="M31" s="1865"/>
      <c r="N31" s="1768"/>
      <c r="O31" s="1870"/>
      <c r="P31" s="2306"/>
      <c r="Q31" s="2621"/>
      <c r="R31" s="1167" t="s">
        <v>250</v>
      </c>
      <c r="S31" s="525" t="s">
        <v>251</v>
      </c>
      <c r="T31" s="1166">
        <f>184904873+37500000</f>
        <v>222404873</v>
      </c>
      <c r="U31" s="1857"/>
      <c r="V31" s="1865"/>
      <c r="W31" s="2613"/>
      <c r="X31" s="2613"/>
      <c r="Y31" s="2612"/>
      <c r="Z31" s="2612"/>
      <c r="AA31" s="2612"/>
      <c r="AB31" s="2612"/>
      <c r="AC31" s="2612"/>
      <c r="AD31" s="2612"/>
      <c r="AE31" s="2612"/>
      <c r="AF31" s="2612"/>
      <c r="AG31" s="2612"/>
      <c r="AH31" s="2612"/>
      <c r="AI31" s="1851"/>
      <c r="AJ31" s="1851"/>
      <c r="AK31" s="1864"/>
    </row>
    <row r="32" spans="1:37" ht="114" x14ac:dyDescent="0.2">
      <c r="A32" s="37"/>
      <c r="B32" s="514"/>
      <c r="C32" s="37"/>
      <c r="D32" s="514"/>
      <c r="F32" s="37"/>
      <c r="G32" s="514"/>
      <c r="H32" s="1891"/>
      <c r="I32" s="1768"/>
      <c r="J32" s="1865"/>
      <c r="K32" s="1876"/>
      <c r="L32" s="1865"/>
      <c r="M32" s="1865"/>
      <c r="N32" s="1768"/>
      <c r="O32" s="1870"/>
      <c r="P32" s="2306"/>
      <c r="Q32" s="2621"/>
      <c r="R32" s="2623" t="s">
        <v>252</v>
      </c>
      <c r="S32" s="525" t="s">
        <v>253</v>
      </c>
      <c r="T32" s="1168">
        <f>32600000+37500000</f>
        <v>70100000</v>
      </c>
      <c r="U32" s="1857"/>
      <c r="V32" s="1865"/>
      <c r="W32" s="2613"/>
      <c r="X32" s="2613"/>
      <c r="Y32" s="2612"/>
      <c r="Z32" s="2612"/>
      <c r="AA32" s="2612"/>
      <c r="AB32" s="2612"/>
      <c r="AC32" s="2612"/>
      <c r="AD32" s="2612"/>
      <c r="AE32" s="2612"/>
      <c r="AF32" s="2612"/>
      <c r="AG32" s="2612"/>
      <c r="AH32" s="2612"/>
      <c r="AI32" s="1851"/>
      <c r="AJ32" s="1851"/>
      <c r="AK32" s="1864"/>
    </row>
    <row r="33" spans="1:37" ht="12.75" customHeight="1" x14ac:dyDescent="0.2">
      <c r="A33" s="37"/>
      <c r="B33" s="514"/>
      <c r="C33" s="37"/>
      <c r="D33" s="514"/>
      <c r="F33" s="37"/>
      <c r="G33" s="514"/>
      <c r="H33" s="1891"/>
      <c r="I33" s="1768"/>
      <c r="J33" s="1865"/>
      <c r="K33" s="1876"/>
      <c r="L33" s="1865"/>
      <c r="M33" s="1865"/>
      <c r="N33" s="1768"/>
      <c r="O33" s="1870"/>
      <c r="P33" s="2306"/>
      <c r="Q33" s="2621"/>
      <c r="R33" s="2623"/>
      <c r="S33" s="2623" t="s">
        <v>254</v>
      </c>
      <c r="T33" s="2624">
        <f>435500000+37500000</f>
        <v>473000000</v>
      </c>
      <c r="U33" s="1857"/>
      <c r="V33" s="1865"/>
      <c r="W33" s="2613"/>
      <c r="X33" s="2613"/>
      <c r="Y33" s="2612"/>
      <c r="Z33" s="2612"/>
      <c r="AA33" s="2612"/>
      <c r="AB33" s="2612"/>
      <c r="AC33" s="2612"/>
      <c r="AD33" s="2612"/>
      <c r="AE33" s="2612"/>
      <c r="AF33" s="2612"/>
      <c r="AG33" s="2612"/>
      <c r="AH33" s="2612"/>
      <c r="AI33" s="1851"/>
      <c r="AJ33" s="1851"/>
      <c r="AK33" s="1864"/>
    </row>
    <row r="34" spans="1:37" x14ac:dyDescent="0.2">
      <c r="A34" s="37"/>
      <c r="B34" s="513"/>
      <c r="C34" s="37"/>
      <c r="D34" s="514"/>
      <c r="F34" s="37"/>
      <c r="G34" s="514"/>
      <c r="H34" s="1891"/>
      <c r="I34" s="1768"/>
      <c r="J34" s="1865"/>
      <c r="K34" s="1876"/>
      <c r="L34" s="1865"/>
      <c r="M34" s="1865"/>
      <c r="N34" s="1768"/>
      <c r="O34" s="1870"/>
      <c r="P34" s="2306"/>
      <c r="Q34" s="2621"/>
      <c r="R34" s="2623"/>
      <c r="S34" s="2623"/>
      <c r="T34" s="2625"/>
      <c r="U34" s="1857"/>
      <c r="V34" s="1865"/>
      <c r="W34" s="2613"/>
      <c r="X34" s="2613"/>
      <c r="Y34" s="2612"/>
      <c r="Z34" s="2612"/>
      <c r="AA34" s="2612"/>
      <c r="AB34" s="2612"/>
      <c r="AC34" s="2612"/>
      <c r="AD34" s="2612"/>
      <c r="AE34" s="2612"/>
      <c r="AF34" s="2612"/>
      <c r="AG34" s="2612"/>
      <c r="AH34" s="2612"/>
      <c r="AI34" s="1851"/>
      <c r="AJ34" s="1851"/>
      <c r="AK34" s="1864"/>
    </row>
    <row r="35" spans="1:37" x14ac:dyDescent="0.2">
      <c r="A35" s="37"/>
      <c r="B35" s="513"/>
      <c r="C35" s="37"/>
      <c r="D35" s="514"/>
      <c r="F35" s="37"/>
      <c r="G35" s="514"/>
      <c r="H35" s="1891"/>
      <c r="I35" s="1768"/>
      <c r="J35" s="1865"/>
      <c r="K35" s="1876"/>
      <c r="L35" s="1865"/>
      <c r="M35" s="1865"/>
      <c r="N35" s="1768"/>
      <c r="O35" s="1870"/>
      <c r="P35" s="2306"/>
      <c r="Q35" s="2621"/>
      <c r="R35" s="2623"/>
      <c r="S35" s="2623"/>
      <c r="T35" s="2625"/>
      <c r="U35" s="1857"/>
      <c r="V35" s="1865"/>
      <c r="W35" s="2613"/>
      <c r="X35" s="2613"/>
      <c r="Y35" s="2612"/>
      <c r="Z35" s="2612"/>
      <c r="AA35" s="2612"/>
      <c r="AB35" s="2612"/>
      <c r="AC35" s="2612"/>
      <c r="AD35" s="2612"/>
      <c r="AE35" s="2612"/>
      <c r="AF35" s="2612"/>
      <c r="AG35" s="2612"/>
      <c r="AH35" s="2612"/>
      <c r="AI35" s="1851"/>
      <c r="AJ35" s="1851"/>
      <c r="AK35" s="1864"/>
    </row>
    <row r="36" spans="1:37" x14ac:dyDescent="0.2">
      <c r="A36" s="37"/>
      <c r="B36" s="513"/>
      <c r="C36" s="37"/>
      <c r="D36" s="514"/>
      <c r="F36" s="37"/>
      <c r="G36" s="514"/>
      <c r="H36" s="1891"/>
      <c r="I36" s="1768"/>
      <c r="J36" s="1865"/>
      <c r="K36" s="1876"/>
      <c r="L36" s="1865"/>
      <c r="M36" s="1865"/>
      <c r="N36" s="1768"/>
      <c r="O36" s="1870"/>
      <c r="P36" s="2306"/>
      <c r="Q36" s="2621"/>
      <c r="R36" s="2623"/>
      <c r="S36" s="2623"/>
      <c r="T36" s="2625"/>
      <c r="U36" s="1857"/>
      <c r="V36" s="1865"/>
      <c r="W36" s="2613"/>
      <c r="X36" s="2613"/>
      <c r="Y36" s="2612"/>
      <c r="Z36" s="2612"/>
      <c r="AA36" s="2612"/>
      <c r="AB36" s="2612"/>
      <c r="AC36" s="2612"/>
      <c r="AD36" s="2612"/>
      <c r="AE36" s="2612"/>
      <c r="AF36" s="2612"/>
      <c r="AG36" s="2612"/>
      <c r="AH36" s="2612"/>
      <c r="AI36" s="1851"/>
      <c r="AJ36" s="1851"/>
      <c r="AK36" s="1864"/>
    </row>
    <row r="37" spans="1:37" x14ac:dyDescent="0.2">
      <c r="A37" s="37"/>
      <c r="B37" s="513"/>
      <c r="C37" s="37"/>
      <c r="D37" s="514"/>
      <c r="F37" s="37"/>
      <c r="G37" s="514"/>
      <c r="H37" s="1891"/>
      <c r="I37" s="1768"/>
      <c r="J37" s="1865"/>
      <c r="K37" s="1876"/>
      <c r="L37" s="1865"/>
      <c r="M37" s="1865"/>
      <c r="N37" s="1768"/>
      <c r="O37" s="1870"/>
      <c r="P37" s="2307"/>
      <c r="Q37" s="2622"/>
      <c r="R37" s="2623"/>
      <c r="S37" s="2623"/>
      <c r="T37" s="2626"/>
      <c r="U37" s="1858"/>
      <c r="V37" s="1862"/>
      <c r="W37" s="2618"/>
      <c r="X37" s="2618"/>
      <c r="Y37" s="2619"/>
      <c r="Z37" s="2619"/>
      <c r="AA37" s="2619"/>
      <c r="AB37" s="2619"/>
      <c r="AC37" s="2619"/>
      <c r="AD37" s="2619"/>
      <c r="AE37" s="2619"/>
      <c r="AF37" s="2619"/>
      <c r="AG37" s="2619"/>
      <c r="AH37" s="2619"/>
      <c r="AI37" s="1852"/>
      <c r="AJ37" s="1852"/>
      <c r="AK37" s="1864"/>
    </row>
    <row r="38" spans="1:37" s="78" customFormat="1" ht="22.5" customHeight="1" x14ac:dyDescent="0.25">
      <c r="A38" s="507"/>
      <c r="B38" s="1169"/>
      <c r="C38" s="1169"/>
      <c r="D38" s="1169"/>
      <c r="E38" s="1169"/>
      <c r="F38" s="1169"/>
      <c r="G38" s="1169"/>
      <c r="H38" s="1169"/>
      <c r="I38" s="1169"/>
      <c r="J38" s="1169"/>
      <c r="K38" s="1169"/>
      <c r="L38" s="1169"/>
      <c r="M38" s="1169"/>
      <c r="N38" s="2011" t="s">
        <v>255</v>
      </c>
      <c r="O38" s="2012"/>
      <c r="P38" s="1170">
        <f>SUM(P30+P20+P12)</f>
        <v>2239039539</v>
      </c>
      <c r="Q38" s="507"/>
      <c r="R38" s="1169"/>
      <c r="S38" s="556"/>
      <c r="T38" s="1171">
        <f>SUM(T12:T27)+SUM(T30:T37)</f>
        <v>2239039539</v>
      </c>
      <c r="U38" s="507"/>
      <c r="V38" s="1169"/>
      <c r="W38" s="1169"/>
      <c r="X38" s="1169"/>
      <c r="Y38" s="1169"/>
      <c r="Z38" s="1169"/>
      <c r="AA38" s="1169"/>
      <c r="AB38" s="1169"/>
      <c r="AC38" s="1169"/>
      <c r="AD38" s="1169"/>
      <c r="AE38" s="1172"/>
      <c r="AF38" s="1169"/>
      <c r="AG38" s="1169"/>
      <c r="AH38" s="1169"/>
      <c r="AI38" s="558"/>
      <c r="AJ38" s="558"/>
      <c r="AK38" s="807"/>
    </row>
    <row r="39" spans="1:37" x14ac:dyDescent="0.2">
      <c r="AE39" s="651"/>
    </row>
    <row r="40" spans="1:37" x14ac:dyDescent="0.2">
      <c r="AE40" s="970"/>
    </row>
    <row r="41" spans="1:37" x14ac:dyDescent="0.2">
      <c r="AE41" s="970"/>
    </row>
    <row r="42" spans="1:37" ht="15" x14ac:dyDescent="0.2">
      <c r="K42" s="1922" t="s">
        <v>256</v>
      </c>
      <c r="L42" s="1922"/>
      <c r="M42" s="1922"/>
      <c r="AE42" s="970"/>
    </row>
    <row r="43" spans="1:37" x14ac:dyDescent="0.2">
      <c r="K43" s="1933" t="s">
        <v>257</v>
      </c>
      <c r="L43" s="1933"/>
      <c r="M43" s="1933"/>
    </row>
  </sheetData>
  <mergeCells count="134">
    <mergeCell ref="A1:AI2"/>
    <mergeCell ref="A3:AI3"/>
    <mergeCell ref="A4:AI4"/>
    <mergeCell ref="N38:O38"/>
    <mergeCell ref="K42:M42"/>
    <mergeCell ref="K43:M43"/>
    <mergeCell ref="AC30:AC37"/>
    <mergeCell ref="AD30:AD37"/>
    <mergeCell ref="AE30:AE37"/>
    <mergeCell ref="Z30:Z37"/>
    <mergeCell ref="AA30:AA37"/>
    <mergeCell ref="AB30:AB37"/>
    <mergeCell ref="V30:V37"/>
    <mergeCell ref="W30:W37"/>
    <mergeCell ref="AI30:AI37"/>
    <mergeCell ref="H30:H37"/>
    <mergeCell ref="I30:I37"/>
    <mergeCell ref="J30:J37"/>
    <mergeCell ref="K30:K37"/>
    <mergeCell ref="L30:L37"/>
    <mergeCell ref="AD20:AD27"/>
    <mergeCell ref="AE20:AE27"/>
    <mergeCell ref="Z20:Z27"/>
    <mergeCell ref="AA20:AA27"/>
    <mergeCell ref="AJ30:AJ37"/>
    <mergeCell ref="AK30:AK37"/>
    <mergeCell ref="AF30:AF37"/>
    <mergeCell ref="AG30:AG37"/>
    <mergeCell ref="AH30:AH37"/>
    <mergeCell ref="X30:X37"/>
    <mergeCell ref="Y30:Y37"/>
    <mergeCell ref="M30:M37"/>
    <mergeCell ref="N30:N37"/>
    <mergeCell ref="O30:O37"/>
    <mergeCell ref="P30:P37"/>
    <mergeCell ref="Q30:Q37"/>
    <mergeCell ref="U30:U37"/>
    <mergeCell ref="R32:R37"/>
    <mergeCell ref="S33:S37"/>
    <mergeCell ref="T33:T37"/>
    <mergeCell ref="AB20:AB27"/>
    <mergeCell ref="W20:W27"/>
    <mergeCell ref="X20:X27"/>
    <mergeCell ref="Y20:Y27"/>
    <mergeCell ref="AI20:AI27"/>
    <mergeCell ref="AJ20:AJ27"/>
    <mergeCell ref="AK20:AK27"/>
    <mergeCell ref="R22:R27"/>
    <mergeCell ref="S22:S23"/>
    <mergeCell ref="T22:T23"/>
    <mergeCell ref="AF20:AF27"/>
    <mergeCell ref="AG20:AG27"/>
    <mergeCell ref="AH20:AH27"/>
    <mergeCell ref="AC20:AC27"/>
    <mergeCell ref="S20:S21"/>
    <mergeCell ref="T20:T21"/>
    <mergeCell ref="U20:U27"/>
    <mergeCell ref="V20:V27"/>
    <mergeCell ref="S26:S27"/>
    <mergeCell ref="T26:T27"/>
    <mergeCell ref="M20:M27"/>
    <mergeCell ref="N20:N27"/>
    <mergeCell ref="O20:O27"/>
    <mergeCell ref="P20:P27"/>
    <mergeCell ref="Q20:Q27"/>
    <mergeCell ref="R20:R21"/>
    <mergeCell ref="H20:H27"/>
    <mergeCell ref="I20:I27"/>
    <mergeCell ref="J20:J27"/>
    <mergeCell ref="K20:K27"/>
    <mergeCell ref="L20:L27"/>
    <mergeCell ref="AI12:AI19"/>
    <mergeCell ref="AJ12:AJ19"/>
    <mergeCell ref="AK12:AK19"/>
    <mergeCell ref="R14:R15"/>
    <mergeCell ref="R16:R19"/>
    <mergeCell ref="S18:S19"/>
    <mergeCell ref="T18:T19"/>
    <mergeCell ref="AF12:AF19"/>
    <mergeCell ref="AG12:AG19"/>
    <mergeCell ref="AH12:AH19"/>
    <mergeCell ref="AC12:AC19"/>
    <mergeCell ref="AD12:AD19"/>
    <mergeCell ref="AE12:AE19"/>
    <mergeCell ref="Z12:Z19"/>
    <mergeCell ref="AA12:AA19"/>
    <mergeCell ref="AB12:AB19"/>
    <mergeCell ref="X12:X19"/>
    <mergeCell ref="Y12:Y19"/>
    <mergeCell ref="G11:H11"/>
    <mergeCell ref="H12:H19"/>
    <mergeCell ref="I12:I19"/>
    <mergeCell ref="J12:J19"/>
    <mergeCell ref="K12:K19"/>
    <mergeCell ref="L12:L19"/>
    <mergeCell ref="M12:M19"/>
    <mergeCell ref="N12:N19"/>
    <mergeCell ref="W7:AB7"/>
    <mergeCell ref="T7:T8"/>
    <mergeCell ref="U7:U8"/>
    <mergeCell ref="V7:V8"/>
    <mergeCell ref="N7:N8"/>
    <mergeCell ref="O7:O8"/>
    <mergeCell ref="P7:P8"/>
    <mergeCell ref="Q7:Q8"/>
    <mergeCell ref="R7:R8"/>
    <mergeCell ref="W12:W19"/>
    <mergeCell ref="O12:O19"/>
    <mergeCell ref="P12:P19"/>
    <mergeCell ref="Q12:Q19"/>
    <mergeCell ref="R12:R13"/>
    <mergeCell ref="U12:U19"/>
    <mergeCell ref="V12:V19"/>
    <mergeCell ref="AC7:AH7"/>
    <mergeCell ref="AI5:AK6"/>
    <mergeCell ref="A5:K6"/>
    <mergeCell ref="L5:V6"/>
    <mergeCell ref="W5:AH6"/>
    <mergeCell ref="S7:S8"/>
    <mergeCell ref="H7:H8"/>
    <mergeCell ref="I7:I8"/>
    <mergeCell ref="J7:J8"/>
    <mergeCell ref="K7:K8"/>
    <mergeCell ref="L7:L8"/>
    <mergeCell ref="M7:M8"/>
    <mergeCell ref="A7:A8"/>
    <mergeCell ref="B7:B8"/>
    <mergeCell ref="C7:C8"/>
    <mergeCell ref="D7:E8"/>
    <mergeCell ref="F7:F8"/>
    <mergeCell ref="G7:G8"/>
    <mergeCell ref="AI7:AI8"/>
    <mergeCell ref="AJ7:AJ8"/>
    <mergeCell ref="AK7:AK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ADMINISTRATIVA</vt:lpstr>
      <vt:lpstr>PLANEACION</vt:lpstr>
      <vt:lpstr>HACIENDA</vt:lpstr>
      <vt:lpstr>AGUAS E INFRAESTRUCTURA</vt:lpstr>
      <vt:lpstr>CULTURA</vt:lpstr>
      <vt:lpstr>TURISMO</vt:lpstr>
      <vt:lpstr>AGRICULTURA</vt:lpstr>
      <vt:lpstr>INTERIOR</vt:lpstr>
      <vt:lpstr>PRIVADA</vt:lpstr>
      <vt:lpstr>EDUCACION</vt:lpstr>
      <vt:lpstr>FAMILIA</vt:lpstr>
      <vt:lpstr>REPRES. JUDICIAL</vt:lpstr>
      <vt:lpstr>SALUD</vt:lpstr>
      <vt:lpstr>INDEPORTES</vt:lpstr>
      <vt:lpstr>PROMOTORA</vt:lpstr>
      <vt:lpstr>IDTQ</vt:lpstr>
      <vt:lpstr>FAMILIA!Área_de_impresión</vt:lpstr>
      <vt:lpstr>EDUCACION!Títulos_a_imprimir</vt:lpstr>
      <vt:lpstr>HACIENDA!Títulos_a_imprimir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AUXPLANEACION03</cp:lastModifiedBy>
  <cp:revision/>
  <dcterms:created xsi:type="dcterms:W3CDTF">2017-04-05T21:48:10Z</dcterms:created>
  <dcterms:modified xsi:type="dcterms:W3CDTF">2017-05-19T00:08:21Z</dcterms:modified>
  <cp:category/>
  <cp:contentStatus/>
</cp:coreProperties>
</file>